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90" windowWidth="24615" windowHeight="11760" activeTab="3"/>
  </bookViews>
  <sheets>
    <sheet name="참조" sheetId="1" r:id="rId1"/>
    <sheet name="물질수지 (2010년)" sheetId="10" r:id="rId2"/>
    <sheet name="물질수지 (2015년)" sheetId="23" r:id="rId3"/>
    <sheet name="물질수지 (2020년)" sheetId="24" r:id="rId4"/>
    <sheet name="물질수지 (2025년)" sheetId="25" r:id="rId5"/>
    <sheet name="Sheet3" sheetId="3" r:id="rId6"/>
  </sheets>
  <definedNames>
    <definedName name="_xlnm.Print_Area" localSheetId="1">'물질수지 (2010년)'!$A$1:$W$40</definedName>
    <definedName name="_xlnm.Print_Area" localSheetId="2">'물질수지 (2015년)'!$A$1:$W$39</definedName>
    <definedName name="_xlnm.Print_Area" localSheetId="3">'물질수지 (2020년)'!$A$1:$W$39</definedName>
    <definedName name="_xlnm.Print_Area" localSheetId="4">'물질수지 (2025년)'!$A$1:$W$39</definedName>
  </definedNames>
  <calcPr calcId="125725" iterate="1"/>
</workbook>
</file>

<file path=xl/calcChain.xml><?xml version="1.0" encoding="utf-8"?>
<calcChain xmlns="http://schemas.openxmlformats.org/spreadsheetml/2006/main">
  <c r="P47" i="25"/>
  <c r="F47"/>
  <c r="P46"/>
  <c r="P45"/>
  <c r="P44"/>
  <c r="U52"/>
  <c r="U51"/>
  <c r="M35"/>
  <c r="I35"/>
  <c r="U50"/>
  <c r="U49"/>
  <c r="U48"/>
  <c r="L28"/>
  <c r="H28"/>
  <c r="W24"/>
  <c r="E24"/>
  <c r="E23"/>
  <c r="R22"/>
  <c r="E22"/>
  <c r="E21"/>
  <c r="E20"/>
  <c r="L19"/>
  <c r="H19"/>
  <c r="M8"/>
  <c r="P47" i="24"/>
  <c r="F47"/>
  <c r="P46"/>
  <c r="P45"/>
  <c r="P44"/>
  <c r="U52"/>
  <c r="U51"/>
  <c r="M35"/>
  <c r="I35"/>
  <c r="U50"/>
  <c r="U49"/>
  <c r="U48"/>
  <c r="L28"/>
  <c r="H28"/>
  <c r="W24"/>
  <c r="E24"/>
  <c r="E23"/>
  <c r="R22"/>
  <c r="E22"/>
  <c r="E21"/>
  <c r="E20"/>
  <c r="L19"/>
  <c r="H19"/>
  <c r="M8"/>
  <c r="P47" i="23"/>
  <c r="F47"/>
  <c r="P46"/>
  <c r="P45"/>
  <c r="P44"/>
  <c r="V52"/>
  <c r="V51"/>
  <c r="M35"/>
  <c r="I35"/>
  <c r="V50"/>
  <c r="V49"/>
  <c r="V48"/>
  <c r="L28"/>
  <c r="H28"/>
  <c r="W24"/>
  <c r="E24"/>
  <c r="E23"/>
  <c r="R22"/>
  <c r="E22"/>
  <c r="E21"/>
  <c r="E20"/>
  <c r="L19"/>
  <c r="H19"/>
  <c r="M8"/>
  <c r="W25" i="10"/>
  <c r="P48"/>
  <c r="P47"/>
  <c r="P46"/>
  <c r="P45"/>
  <c r="D8" i="1"/>
  <c r="F48" i="10"/>
  <c r="M36"/>
  <c r="I36"/>
  <c r="V52"/>
  <c r="L29"/>
  <c r="H29"/>
  <c r="E25"/>
  <c r="E24"/>
  <c r="R23"/>
  <c r="E23"/>
  <c r="E22"/>
  <c r="E21"/>
  <c r="L20"/>
  <c r="H20"/>
  <c r="M9"/>
  <c r="E5" i="1"/>
  <c r="D6" i="24"/>
  <c r="D8"/>
  <c r="D10"/>
  <c r="D6" i="25"/>
  <c r="D8"/>
  <c r="D10"/>
  <c r="D7" i="24"/>
  <c r="D9"/>
  <c r="D7" i="25"/>
  <c r="D9"/>
  <c r="D6" i="23"/>
  <c r="D8"/>
  <c r="D10"/>
  <c r="D7"/>
  <c r="D9"/>
  <c r="V51" i="10"/>
  <c r="V49"/>
  <c r="V53"/>
  <c r="D7"/>
  <c r="D8"/>
  <c r="D9"/>
  <c r="D10"/>
  <c r="D11"/>
  <c r="V50"/>
  <c r="D19" i="25" l="1"/>
  <c r="H5" s="1"/>
  <c r="I9" s="1"/>
  <c r="D19" i="24"/>
  <c r="H5" s="1"/>
  <c r="I6" s="1"/>
  <c r="H6" s="1"/>
  <c r="D19" i="23"/>
  <c r="H5" s="1"/>
  <c r="I10" s="1"/>
  <c r="D20" i="10"/>
  <c r="H6" s="1"/>
  <c r="I9" s="1"/>
  <c r="I10" i="25" l="1"/>
  <c r="H10" s="1"/>
  <c r="L10" s="1"/>
  <c r="H9"/>
  <c r="I6"/>
  <c r="H6" s="1"/>
  <c r="L6" s="1"/>
  <c r="I7"/>
  <c r="H7" s="1"/>
  <c r="L7" s="1"/>
  <c r="I8"/>
  <c r="H8" s="1"/>
  <c r="L8" s="1"/>
  <c r="I7" i="24"/>
  <c r="H7" s="1"/>
  <c r="L7" s="1"/>
  <c r="P7" s="1"/>
  <c r="U7" s="1"/>
  <c r="I10"/>
  <c r="H10" s="1"/>
  <c r="L10" s="1"/>
  <c r="P10" s="1"/>
  <c r="I8"/>
  <c r="H8" s="1"/>
  <c r="L8" s="1"/>
  <c r="L5" s="1"/>
  <c r="P5" s="1"/>
  <c r="G47" s="1"/>
  <c r="L6"/>
  <c r="I9"/>
  <c r="H9" s="1"/>
  <c r="I6" i="23"/>
  <c r="H6" s="1"/>
  <c r="L6" s="1"/>
  <c r="I7"/>
  <c r="H7" s="1"/>
  <c r="L7" s="1"/>
  <c r="I9"/>
  <c r="H9" s="1"/>
  <c r="L9" s="1"/>
  <c r="P9" s="1"/>
  <c r="H10"/>
  <c r="L10" s="1"/>
  <c r="I8"/>
  <c r="H8" s="1"/>
  <c r="I10" i="10"/>
  <c r="H10" s="1"/>
  <c r="I7"/>
  <c r="H7" s="1"/>
  <c r="I8"/>
  <c r="H8" s="1"/>
  <c r="H9"/>
  <c r="I11"/>
  <c r="H11" s="1"/>
  <c r="P6" i="23" l="1"/>
  <c r="U6" s="1"/>
  <c r="Z36" s="1"/>
  <c r="U20" s="1"/>
  <c r="Y20" s="1"/>
  <c r="P7" i="25"/>
  <c r="P10"/>
  <c r="P8"/>
  <c r="L5"/>
  <c r="P5" s="1"/>
  <c r="G47" s="1"/>
  <c r="P6"/>
  <c r="L9"/>
  <c r="P9" s="1"/>
  <c r="M10" i="24"/>
  <c r="M7"/>
  <c r="Q7"/>
  <c r="L45" s="1"/>
  <c r="L49" s="1"/>
  <c r="P8"/>
  <c r="Q8" s="1"/>
  <c r="L46" s="1"/>
  <c r="M6"/>
  <c r="Q10"/>
  <c r="L48" s="1"/>
  <c r="L9"/>
  <c r="M9" s="1"/>
  <c r="P6"/>
  <c r="Z37"/>
  <c r="U21" s="1"/>
  <c r="Y21" s="1"/>
  <c r="L8" i="23"/>
  <c r="L5" s="1"/>
  <c r="M7" s="1"/>
  <c r="P7"/>
  <c r="P10"/>
  <c r="U9"/>
  <c r="L11" i="10"/>
  <c r="P11" s="1"/>
  <c r="L10"/>
  <c r="L9"/>
  <c r="L6" s="1"/>
  <c r="P6" s="1"/>
  <c r="G48" s="1"/>
  <c r="L8"/>
  <c r="L7"/>
  <c r="P7" s="1"/>
  <c r="M10" i="23" l="1"/>
  <c r="U8" i="24"/>
  <c r="F49" s="1"/>
  <c r="M6" i="25"/>
  <c r="M9"/>
  <c r="U6"/>
  <c r="Q6"/>
  <c r="L44" s="1"/>
  <c r="Q8"/>
  <c r="L46" s="1"/>
  <c r="U8"/>
  <c r="Z38" s="1"/>
  <c r="U22" s="1"/>
  <c r="Y22" s="1"/>
  <c r="U7"/>
  <c r="Z37" s="1"/>
  <c r="U21" s="1"/>
  <c r="Y21" s="1"/>
  <c r="Q7"/>
  <c r="L45" s="1"/>
  <c r="L49" s="1"/>
  <c r="Q10"/>
  <c r="L48" s="1"/>
  <c r="U9"/>
  <c r="Q9"/>
  <c r="L47" s="1"/>
  <c r="M10"/>
  <c r="M7"/>
  <c r="Z38" i="24"/>
  <c r="U22" s="1"/>
  <c r="Y22" s="1"/>
  <c r="P43"/>
  <c r="T42" s="1"/>
  <c r="U42" s="1"/>
  <c r="T43"/>
  <c r="U43" s="1"/>
  <c r="Q6"/>
  <c r="L44" s="1"/>
  <c r="U6"/>
  <c r="P9"/>
  <c r="P5" i="23"/>
  <c r="M9"/>
  <c r="M6"/>
  <c r="U7"/>
  <c r="Z37" s="1"/>
  <c r="U21" s="1"/>
  <c r="Y21" s="1"/>
  <c r="Q7"/>
  <c r="L45" s="1"/>
  <c r="L49" s="1"/>
  <c r="F45"/>
  <c r="Q10"/>
  <c r="L48" s="1"/>
  <c r="P8"/>
  <c r="Z39"/>
  <c r="U23"/>
  <c r="Y23" s="1"/>
  <c r="M8" i="10"/>
  <c r="Q11"/>
  <c r="L49" s="1"/>
  <c r="M7"/>
  <c r="P9"/>
  <c r="Q9" s="1"/>
  <c r="L47" s="1"/>
  <c r="M10"/>
  <c r="P8"/>
  <c r="P10"/>
  <c r="U7"/>
  <c r="Q7"/>
  <c r="L45" s="1"/>
  <c r="U9"/>
  <c r="F50" s="1"/>
  <c r="M11"/>
  <c r="Z39" i="25" l="1"/>
  <c r="U23"/>
  <c r="Y23" s="1"/>
  <c r="T43"/>
  <c r="U43" s="1"/>
  <c r="P43"/>
  <c r="T42" s="1"/>
  <c r="U42" s="1"/>
  <c r="F45"/>
  <c r="Z36"/>
  <c r="U20" s="1"/>
  <c r="Y20" s="1"/>
  <c r="F49"/>
  <c r="U44" i="24"/>
  <c r="Q24" s="1"/>
  <c r="U10" s="1"/>
  <c r="Z36"/>
  <c r="U20" s="1"/>
  <c r="U9"/>
  <c r="Q9"/>
  <c r="L47" s="1"/>
  <c r="F45"/>
  <c r="I42" s="1"/>
  <c r="Q22" s="1"/>
  <c r="U8" i="23"/>
  <c r="Z38" s="1"/>
  <c r="U22" s="1"/>
  <c r="Y22" s="1"/>
  <c r="Q8"/>
  <c r="L46" s="1"/>
  <c r="T43"/>
  <c r="U43" s="1"/>
  <c r="P43"/>
  <c r="T42" s="1"/>
  <c r="U42" s="1"/>
  <c r="G47"/>
  <c r="Q6"/>
  <c r="L44" s="1"/>
  <c r="Q9"/>
  <c r="L47" s="1"/>
  <c r="Z49" i="10"/>
  <c r="U21" s="1"/>
  <c r="Y21" s="1"/>
  <c r="U10"/>
  <c r="Q10"/>
  <c r="L48" s="1"/>
  <c r="U8"/>
  <c r="Q8"/>
  <c r="L46" s="1"/>
  <c r="L50" s="1"/>
  <c r="Z51"/>
  <c r="U23" s="1"/>
  <c r="Y23" s="1"/>
  <c r="F46"/>
  <c r="I43" s="1"/>
  <c r="Q23" s="1"/>
  <c r="I42" i="25" l="1"/>
  <c r="Q22" s="1"/>
  <c r="U44"/>
  <c r="Q24" s="1"/>
  <c r="P37" i="24"/>
  <c r="L37" s="1"/>
  <c r="R10"/>
  <c r="U16"/>
  <c r="U24" s="1"/>
  <c r="Y24" s="1"/>
  <c r="Z40"/>
  <c r="Y20"/>
  <c r="Q20"/>
  <c r="Q23"/>
  <c r="Q19"/>
  <c r="Q21"/>
  <c r="P35"/>
  <c r="U23"/>
  <c r="Z39"/>
  <c r="F49" i="23"/>
  <c r="I42" s="1"/>
  <c r="Q22" s="1"/>
  <c r="U44"/>
  <c r="Q24" s="1"/>
  <c r="Q21" i="10"/>
  <c r="Q24"/>
  <c r="Q20"/>
  <c r="P36"/>
  <c r="Q22"/>
  <c r="Z50"/>
  <c r="U22" s="1"/>
  <c r="Y22" s="1"/>
  <c r="U24"/>
  <c r="Y24" s="1"/>
  <c r="Z52"/>
  <c r="P44"/>
  <c r="T43" s="1"/>
  <c r="U43" s="1"/>
  <c r="T44"/>
  <c r="U44" s="1"/>
  <c r="Q21" i="25" l="1"/>
  <c r="Q20"/>
  <c r="P35"/>
  <c r="Q19"/>
  <c r="Q23"/>
  <c r="R24"/>
  <c r="U10"/>
  <c r="P37"/>
  <c r="R10"/>
  <c r="L24" i="24"/>
  <c r="M24" s="1"/>
  <c r="H37"/>
  <c r="H24" s="1"/>
  <c r="I24" s="1"/>
  <c r="L35"/>
  <c r="L22" s="1"/>
  <c r="M22" s="1"/>
  <c r="AA31"/>
  <c r="AA32"/>
  <c r="P32"/>
  <c r="R24"/>
  <c r="U5"/>
  <c r="R20"/>
  <c r="P33"/>
  <c r="Y23"/>
  <c r="P34"/>
  <c r="R21"/>
  <c r="R23"/>
  <c r="P36"/>
  <c r="Q23" i="23"/>
  <c r="P36" s="1"/>
  <c r="P35"/>
  <c r="L35" s="1"/>
  <c r="Q21"/>
  <c r="P34" s="1"/>
  <c r="Q19"/>
  <c r="R24" s="1"/>
  <c r="Q20"/>
  <c r="P37"/>
  <c r="R10"/>
  <c r="U10"/>
  <c r="P33"/>
  <c r="U45" i="10"/>
  <c r="Q25" s="1"/>
  <c r="U11" s="1"/>
  <c r="R22"/>
  <c r="P35"/>
  <c r="U6"/>
  <c r="P33"/>
  <c r="Q36" s="1"/>
  <c r="R21"/>
  <c r="P34"/>
  <c r="L36"/>
  <c r="R24"/>
  <c r="P37"/>
  <c r="D24" i="24" l="1"/>
  <c r="AA11" s="1"/>
  <c r="AD11" s="1"/>
  <c r="L22" i="23"/>
  <c r="M22" s="1"/>
  <c r="R21"/>
  <c r="U16" i="25"/>
  <c r="Z40"/>
  <c r="R23"/>
  <c r="P36"/>
  <c r="L35"/>
  <c r="R21"/>
  <c r="P34"/>
  <c r="AA32"/>
  <c r="L37"/>
  <c r="L24" s="1"/>
  <c r="M24" s="1"/>
  <c r="AA31"/>
  <c r="U5"/>
  <c r="P32"/>
  <c r="Q37" s="1"/>
  <c r="R20"/>
  <c r="P33"/>
  <c r="L36" i="24"/>
  <c r="L23" s="1"/>
  <c r="M23" s="1"/>
  <c r="Q36"/>
  <c r="Q34"/>
  <c r="L34"/>
  <c r="L33"/>
  <c r="Q33"/>
  <c r="L20"/>
  <c r="M20" s="1"/>
  <c r="V8"/>
  <c r="P49" s="1"/>
  <c r="Z35"/>
  <c r="V7"/>
  <c r="V6"/>
  <c r="V10"/>
  <c r="V9"/>
  <c r="Q35"/>
  <c r="AA26"/>
  <c r="Q37"/>
  <c r="L32"/>
  <c r="H35"/>
  <c r="H32" s="1"/>
  <c r="I37" s="1"/>
  <c r="R23" i="23"/>
  <c r="R20"/>
  <c r="P32"/>
  <c r="Q36" s="1"/>
  <c r="U5"/>
  <c r="V8" s="1"/>
  <c r="P49" s="1"/>
  <c r="H35"/>
  <c r="L32"/>
  <c r="L36"/>
  <c r="U16"/>
  <c r="Z40"/>
  <c r="U24"/>
  <c r="Y24" s="1"/>
  <c r="V10"/>
  <c r="AA31"/>
  <c r="L37"/>
  <c r="L24" s="1"/>
  <c r="M24" s="1"/>
  <c r="AA32"/>
  <c r="AA26"/>
  <c r="L34"/>
  <c r="L33"/>
  <c r="Z35"/>
  <c r="V7"/>
  <c r="V6"/>
  <c r="P38" i="10"/>
  <c r="AA32" s="1"/>
  <c r="R11"/>
  <c r="R25"/>
  <c r="Q37"/>
  <c r="L37"/>
  <c r="L24" s="1"/>
  <c r="M24" s="1"/>
  <c r="H36"/>
  <c r="H33" s="1"/>
  <c r="L33"/>
  <c r="AA6" s="1"/>
  <c r="AD6" s="1"/>
  <c r="U17"/>
  <c r="U25" s="1"/>
  <c r="V11"/>
  <c r="Z53"/>
  <c r="V9"/>
  <c r="P50" s="1"/>
  <c r="Z48"/>
  <c r="V10"/>
  <c r="V8"/>
  <c r="V7"/>
  <c r="U20"/>
  <c r="Q38"/>
  <c r="L34"/>
  <c r="Q34"/>
  <c r="L21"/>
  <c r="M21" s="1"/>
  <c r="AA27"/>
  <c r="L35"/>
  <c r="Q35"/>
  <c r="L22"/>
  <c r="M22" s="1"/>
  <c r="L23"/>
  <c r="M23" s="1"/>
  <c r="Q33" i="23" l="1"/>
  <c r="Q34"/>
  <c r="Q35"/>
  <c r="Q37"/>
  <c r="V6" i="25"/>
  <c r="V8"/>
  <c r="P49" s="1"/>
  <c r="V7"/>
  <c r="V9"/>
  <c r="Z35"/>
  <c r="AA40" s="1"/>
  <c r="Q34"/>
  <c r="L34"/>
  <c r="L21" s="1"/>
  <c r="M21" s="1"/>
  <c r="L22"/>
  <c r="M22" s="1"/>
  <c r="L32"/>
  <c r="AA5" s="1"/>
  <c r="AD5" s="1"/>
  <c r="H35"/>
  <c r="H32" s="1"/>
  <c r="L36"/>
  <c r="L23" s="1"/>
  <c r="M23" s="1"/>
  <c r="Q36"/>
  <c r="U24"/>
  <c r="Q33"/>
  <c r="L33"/>
  <c r="AA26"/>
  <c r="H37"/>
  <c r="I37" s="1"/>
  <c r="Q35"/>
  <c r="V10"/>
  <c r="H22" i="24"/>
  <c r="D22" s="1"/>
  <c r="AA9" s="1"/>
  <c r="AD9" s="1"/>
  <c r="AA6"/>
  <c r="AD6" s="1"/>
  <c r="M37"/>
  <c r="M33"/>
  <c r="H33"/>
  <c r="I33" s="1"/>
  <c r="AA40"/>
  <c r="AA36"/>
  <c r="AA37"/>
  <c r="AA38"/>
  <c r="AA39"/>
  <c r="L21"/>
  <c r="M21" s="1"/>
  <c r="M34"/>
  <c r="H34"/>
  <c r="I34" s="1"/>
  <c r="H36"/>
  <c r="I36" s="1"/>
  <c r="M36"/>
  <c r="AA5"/>
  <c r="AD5" s="1"/>
  <c r="U19"/>
  <c r="V9" i="23"/>
  <c r="AA5"/>
  <c r="AD5" s="1"/>
  <c r="H32"/>
  <c r="AA6" s="1"/>
  <c r="AD6" s="1"/>
  <c r="H22"/>
  <c r="AA39"/>
  <c r="U19"/>
  <c r="AA36"/>
  <c r="AA38"/>
  <c r="AA37"/>
  <c r="L21"/>
  <c r="M21" s="1"/>
  <c r="M34"/>
  <c r="H34"/>
  <c r="M36"/>
  <c r="L23"/>
  <c r="M23" s="1"/>
  <c r="H36"/>
  <c r="M33"/>
  <c r="L20"/>
  <c r="M20" s="1"/>
  <c r="H33"/>
  <c r="H20"/>
  <c r="H37"/>
  <c r="M37"/>
  <c r="AA40"/>
  <c r="AA33" i="10"/>
  <c r="L38"/>
  <c r="L25" s="1"/>
  <c r="M25" s="1"/>
  <c r="AA7"/>
  <c r="AD7" s="1"/>
  <c r="H23"/>
  <c r="I23" s="1"/>
  <c r="M35"/>
  <c r="H35"/>
  <c r="I35" s="1"/>
  <c r="V17"/>
  <c r="H34"/>
  <c r="I34" s="1"/>
  <c r="M34"/>
  <c r="M38"/>
  <c r="V21"/>
  <c r="V24"/>
  <c r="V22"/>
  <c r="V23"/>
  <c r="AA51"/>
  <c r="AA52"/>
  <c r="AA49"/>
  <c r="AA50"/>
  <c r="Y25"/>
  <c r="V25"/>
  <c r="H37"/>
  <c r="I37" s="1"/>
  <c r="M37"/>
  <c r="H24"/>
  <c r="AA53"/>
  <c r="M37" i="25" l="1"/>
  <c r="H24"/>
  <c r="D24" s="1"/>
  <c r="AA11" s="1"/>
  <c r="AD11" s="1"/>
  <c r="H22"/>
  <c r="D22" s="1"/>
  <c r="AA9" s="1"/>
  <c r="AD9" s="1"/>
  <c r="AA6"/>
  <c r="AD6" s="1"/>
  <c r="H33"/>
  <c r="I33" s="1"/>
  <c r="M33"/>
  <c r="H20"/>
  <c r="Y24"/>
  <c r="I22"/>
  <c r="AA38"/>
  <c r="AA37"/>
  <c r="AA39"/>
  <c r="AA36"/>
  <c r="M36"/>
  <c r="H36"/>
  <c r="I36" s="1"/>
  <c r="H34"/>
  <c r="I34" s="1"/>
  <c r="M34"/>
  <c r="L20"/>
  <c r="M20" s="1"/>
  <c r="U19"/>
  <c r="H21" i="24"/>
  <c r="D21" s="1"/>
  <c r="AA8" s="1"/>
  <c r="AD8" s="1"/>
  <c r="I22"/>
  <c r="H23"/>
  <c r="I23" s="1"/>
  <c r="V21"/>
  <c r="V16"/>
  <c r="V24"/>
  <c r="V22"/>
  <c r="V20"/>
  <c r="V23"/>
  <c r="H20"/>
  <c r="I21"/>
  <c r="I37" i="23"/>
  <c r="I33"/>
  <c r="I22"/>
  <c r="D22"/>
  <c r="AA9" s="1"/>
  <c r="AD9" s="1"/>
  <c r="H24"/>
  <c r="I24" s="1"/>
  <c r="D20"/>
  <c r="AA7" s="1"/>
  <c r="AD7" s="1"/>
  <c r="I20"/>
  <c r="I36"/>
  <c r="H23"/>
  <c r="I34"/>
  <c r="H21"/>
  <c r="V16"/>
  <c r="V22"/>
  <c r="V20"/>
  <c r="V24"/>
  <c r="V23"/>
  <c r="V21"/>
  <c r="H38" i="10"/>
  <c r="I38" s="1"/>
  <c r="D23"/>
  <c r="AA10" s="1"/>
  <c r="AD10" s="1"/>
  <c r="H22"/>
  <c r="I22" s="1"/>
  <c r="H21"/>
  <c r="D21" s="1"/>
  <c r="AA8" s="1"/>
  <c r="AD8" s="1"/>
  <c r="I24"/>
  <c r="D24"/>
  <c r="AA11" s="1"/>
  <c r="AD11" s="1"/>
  <c r="D22"/>
  <c r="AA9" s="1"/>
  <c r="AD9" s="1"/>
  <c r="I24" i="25" l="1"/>
  <c r="D23" i="24"/>
  <c r="AA10" s="1"/>
  <c r="AD10" s="1"/>
  <c r="D24" i="23"/>
  <c r="AA11" s="1"/>
  <c r="AD11" s="1"/>
  <c r="H25" i="10"/>
  <c r="I25" s="1"/>
  <c r="V20" i="25"/>
  <c r="V23"/>
  <c r="V21"/>
  <c r="V22"/>
  <c r="V16"/>
  <c r="I20"/>
  <c r="D20"/>
  <c r="AA7" s="1"/>
  <c r="AD7" s="1"/>
  <c r="V24"/>
  <c r="H21"/>
  <c r="H23"/>
  <c r="D20" i="24"/>
  <c r="AA7" s="1"/>
  <c r="AD7" s="1"/>
  <c r="I20"/>
  <c r="D21" i="23"/>
  <c r="AA8" s="1"/>
  <c r="AD8" s="1"/>
  <c r="I21"/>
  <c r="D23"/>
  <c r="AA10" s="1"/>
  <c r="AD10" s="1"/>
  <c r="I23"/>
  <c r="I21" i="10"/>
  <c r="D25"/>
  <c r="AA12" s="1"/>
  <c r="AD12" s="1"/>
  <c r="I21" i="25" l="1"/>
  <c r="D21"/>
  <c r="AA8" s="1"/>
  <c r="AD8" s="1"/>
  <c r="I23"/>
  <c r="D23"/>
  <c r="AA10" s="1"/>
  <c r="AD10" s="1"/>
</calcChain>
</file>

<file path=xl/sharedStrings.xml><?xml version="1.0" encoding="utf-8"?>
<sst xmlns="http://schemas.openxmlformats.org/spreadsheetml/2006/main" count="782" uniqueCount="153">
  <si>
    <t>1. 설계수량 및 수질</t>
    <phoneticPr fontId="1" type="noConversion"/>
  </si>
  <si>
    <t>Q=</t>
    <phoneticPr fontId="1" type="noConversion"/>
  </si>
  <si>
    <t>BOD</t>
    <phoneticPr fontId="1" type="noConversion"/>
  </si>
  <si>
    <t>SS</t>
    <phoneticPr fontId="1" type="noConversion"/>
  </si>
  <si>
    <t>T-N</t>
    <phoneticPr fontId="1" type="noConversion"/>
  </si>
  <si>
    <t>T-P</t>
    <phoneticPr fontId="1" type="noConversion"/>
  </si>
  <si>
    <t>유입수</t>
    <phoneticPr fontId="1" type="noConversion"/>
  </si>
  <si>
    <t>2. 최초침전지</t>
    <phoneticPr fontId="1" type="noConversion"/>
  </si>
  <si>
    <t>형식</t>
    <phoneticPr fontId="1" type="noConversion"/>
  </si>
  <si>
    <t>형식:</t>
    <phoneticPr fontId="1" type="noConversion"/>
  </si>
  <si>
    <t>중력식</t>
    <phoneticPr fontId="1" type="noConversion"/>
  </si>
  <si>
    <t>처리효율</t>
    <phoneticPr fontId="1" type="noConversion"/>
  </si>
  <si>
    <t>TS</t>
    <phoneticPr fontId="1" type="noConversion"/>
  </si>
  <si>
    <t>FSS/TSS</t>
    <phoneticPr fontId="1" type="noConversion"/>
  </si>
  <si>
    <t>I-N</t>
    <phoneticPr fontId="1" type="noConversion"/>
  </si>
  <si>
    <t>I-P</t>
    <phoneticPr fontId="1" type="noConversion"/>
  </si>
  <si>
    <t>3. DNR 반응조</t>
    <phoneticPr fontId="1" type="noConversion"/>
  </si>
  <si>
    <t>반송률</t>
    <phoneticPr fontId="1" type="noConversion"/>
  </si>
  <si>
    <t>내부반송률</t>
    <phoneticPr fontId="1" type="noConversion"/>
  </si>
  <si>
    <t>매생물증식에 의한 T-N</t>
    <phoneticPr fontId="1" type="noConversion"/>
  </si>
  <si>
    <t>무산소조로 유입되는 T-N</t>
    <phoneticPr fontId="1" type="noConversion"/>
  </si>
  <si>
    <t>내부반송수의 Nox</t>
    <phoneticPr fontId="1" type="noConversion"/>
  </si>
  <si>
    <t>무산소조에서의 고율탈질</t>
    <phoneticPr fontId="1" type="noConversion"/>
  </si>
  <si>
    <t>무산소조에서 2차탈질</t>
    <phoneticPr fontId="1" type="noConversion"/>
  </si>
  <si>
    <t>유출수내 T-N</t>
    <phoneticPr fontId="1" type="noConversion"/>
  </si>
  <si>
    <t>반응조 체류시간</t>
    <phoneticPr fontId="1" type="noConversion"/>
  </si>
  <si>
    <t>질소 함유량</t>
    <phoneticPr fontId="1" type="noConversion"/>
  </si>
  <si>
    <t xml:space="preserve">P 방출량 </t>
    <phoneticPr fontId="1" type="noConversion"/>
  </si>
  <si>
    <t>RBDCOD 소모량= P방출량 x gRBDCOD/Prel(2)</t>
    <phoneticPr fontId="1" type="noConversion"/>
  </si>
  <si>
    <t>탈질이용 COD</t>
    <phoneticPr fontId="1" type="noConversion"/>
  </si>
  <si>
    <t>=RBDCODt(COD의 25%)-인방출용 RBDCOD</t>
    <phoneticPr fontId="1" type="noConversion"/>
  </si>
  <si>
    <t>고율탈질율= 탈질이용 COD/탈질시 COD소모율</t>
    <phoneticPr fontId="1" type="noConversion"/>
  </si>
  <si>
    <t>내부반송수 Nox의 탈질률</t>
    <phoneticPr fontId="1" type="noConversion"/>
  </si>
  <si>
    <t>고형물체류시간</t>
    <phoneticPr fontId="1" type="noConversion"/>
  </si>
  <si>
    <t>반응조내 MLSS농도</t>
    <phoneticPr fontId="1" type="noConversion"/>
  </si>
  <si>
    <t>MLVSS/MLSS</t>
    <phoneticPr fontId="1" type="noConversion"/>
  </si>
  <si>
    <t>반응조내 인의 유입량</t>
    <phoneticPr fontId="1" type="noConversion"/>
  </si>
  <si>
    <t>미생물증식에 의한 인 제거</t>
    <phoneticPr fontId="1" type="noConversion"/>
  </si>
  <si>
    <t>처리후 T-P량</t>
    <phoneticPr fontId="1" type="noConversion"/>
  </si>
  <si>
    <t>처리후 T-P농도</t>
    <phoneticPr fontId="1" type="noConversion"/>
  </si>
  <si>
    <t>잉여슬러지량(VSS)</t>
    <phoneticPr fontId="1" type="noConversion"/>
  </si>
  <si>
    <t>잉여슬러지량(TSS)</t>
    <phoneticPr fontId="1" type="noConversion"/>
  </si>
  <si>
    <t>4. 최종침전지</t>
    <phoneticPr fontId="1" type="noConversion"/>
  </si>
  <si>
    <r>
      <t>COD</t>
    </r>
    <r>
      <rPr>
        <vertAlign val="subscript"/>
        <sz val="11"/>
        <color indexed="8"/>
        <rFont val="맑은 고딕"/>
        <family val="3"/>
        <charset val="129"/>
      </rPr>
      <t>Mn</t>
    </r>
    <phoneticPr fontId="1" type="noConversion"/>
  </si>
  <si>
    <r>
      <t>COD</t>
    </r>
    <r>
      <rPr>
        <vertAlign val="subscript"/>
        <sz val="11"/>
        <color indexed="8"/>
        <rFont val="맑은 고딕"/>
        <family val="3"/>
        <charset val="129"/>
      </rPr>
      <t>cr</t>
    </r>
    <phoneticPr fontId="1" type="noConversion"/>
  </si>
  <si>
    <t>5. 부상농축조</t>
    <phoneticPr fontId="1" type="noConversion"/>
  </si>
  <si>
    <t>원심농축기</t>
    <phoneticPr fontId="1" type="noConversion"/>
  </si>
  <si>
    <t>처리효율</t>
    <phoneticPr fontId="1" type="noConversion"/>
  </si>
  <si>
    <t>상등수</t>
    <phoneticPr fontId="1" type="noConversion"/>
  </si>
  <si>
    <t>SBOD</t>
    <phoneticPr fontId="1" type="noConversion"/>
  </si>
  <si>
    <t>COD</t>
    <phoneticPr fontId="1" type="noConversion"/>
  </si>
  <si>
    <t>함수율</t>
    <phoneticPr fontId="1" type="noConversion"/>
  </si>
  <si>
    <t>유기물함유율</t>
    <phoneticPr fontId="1" type="noConversion"/>
  </si>
  <si>
    <t>유기물분해율</t>
    <phoneticPr fontId="1" type="noConversion"/>
  </si>
  <si>
    <t>함수율</t>
    <phoneticPr fontId="1" type="noConversion"/>
  </si>
  <si>
    <t>소화슬러지내 질소함량</t>
    <phoneticPr fontId="1" type="noConversion"/>
  </si>
  <si>
    <t>소화슬러지내 인함량</t>
    <phoneticPr fontId="1" type="noConversion"/>
  </si>
  <si>
    <t>혐기성 2단소화</t>
    <phoneticPr fontId="1" type="noConversion"/>
  </si>
  <si>
    <t>6. 소화조(1)</t>
    <phoneticPr fontId="1" type="noConversion"/>
  </si>
  <si>
    <t>7. 소화조(2)</t>
    <phoneticPr fontId="1" type="noConversion"/>
  </si>
  <si>
    <t xml:space="preserve">형식: </t>
    <phoneticPr fontId="1" type="noConversion"/>
  </si>
  <si>
    <t xml:space="preserve"> </t>
    <phoneticPr fontId="1" type="noConversion"/>
  </si>
  <si>
    <t>혐기성 2단 소화</t>
    <phoneticPr fontId="1" type="noConversion"/>
  </si>
  <si>
    <t>유기물함량</t>
    <phoneticPr fontId="1" type="noConversion"/>
  </si>
  <si>
    <t>용출되는 질소량</t>
    <phoneticPr fontId="1" type="noConversion"/>
  </si>
  <si>
    <t>용출되는 인 량</t>
    <phoneticPr fontId="1" type="noConversion"/>
  </si>
  <si>
    <t>(인의 재용출량 포함, 보통 25~35%)</t>
    <phoneticPr fontId="1" type="noConversion"/>
  </si>
  <si>
    <t>8. 탈수기</t>
    <phoneticPr fontId="1" type="noConversion"/>
  </si>
  <si>
    <t>벨트프레스</t>
    <phoneticPr fontId="1" type="noConversion"/>
  </si>
  <si>
    <t>9. 반류수내 인 부하감소율</t>
    <phoneticPr fontId="1" type="noConversion"/>
  </si>
  <si>
    <t>반류수내  SS부하감소율</t>
    <phoneticPr fontId="1" type="noConversion"/>
  </si>
  <si>
    <t>10. 분뇨 및 정화조 패액</t>
    <phoneticPr fontId="1" type="noConversion"/>
  </si>
  <si>
    <t>유입량</t>
    <phoneticPr fontId="1" type="noConversion"/>
  </si>
  <si>
    <t>폐액성상</t>
    <phoneticPr fontId="1" type="noConversion"/>
  </si>
  <si>
    <t>Q</t>
    <phoneticPr fontId="1" type="noConversion"/>
  </si>
  <si>
    <t>최초 침전지</t>
    <phoneticPr fontId="1" type="noConversion"/>
  </si>
  <si>
    <t>설계수질</t>
    <phoneticPr fontId="1" type="noConversion"/>
  </si>
  <si>
    <t>제거율</t>
    <phoneticPr fontId="1" type="noConversion"/>
  </si>
  <si>
    <t>반송수</t>
    <phoneticPr fontId="1" type="noConversion"/>
  </si>
  <si>
    <t>최종침전지 유출수</t>
    <phoneticPr fontId="1" type="noConversion"/>
  </si>
  <si>
    <t>전체</t>
    <phoneticPr fontId="1" type="noConversion"/>
  </si>
  <si>
    <t>최종침전지</t>
    <phoneticPr fontId="1" type="noConversion"/>
  </si>
  <si>
    <t>(기존 소화조)</t>
    <phoneticPr fontId="1" type="noConversion"/>
  </si>
  <si>
    <t>탈수기</t>
    <phoneticPr fontId="1" type="noConversion"/>
  </si>
  <si>
    <t>농축여액</t>
    <phoneticPr fontId="1" type="noConversion"/>
  </si>
  <si>
    <t>농축액</t>
    <phoneticPr fontId="1" type="noConversion"/>
  </si>
  <si>
    <t>탈수여액</t>
    <phoneticPr fontId="1" type="noConversion"/>
  </si>
  <si>
    <t>탈수케익</t>
    <phoneticPr fontId="1" type="noConversion"/>
  </si>
  <si>
    <t xml:space="preserve"> 하수찌꺼기 저류조</t>
    <phoneticPr fontId="1" type="noConversion"/>
  </si>
  <si>
    <t>하수찌꺼기 저류조</t>
    <phoneticPr fontId="1" type="noConversion"/>
  </si>
  <si>
    <t>회수율</t>
    <phoneticPr fontId="1" type="noConversion"/>
  </si>
  <si>
    <t>값만입력</t>
    <phoneticPr fontId="1" type="noConversion"/>
  </si>
  <si>
    <t>순환참조</t>
    <phoneticPr fontId="1" type="noConversion"/>
  </si>
  <si>
    <t>반송수농도</t>
    <phoneticPr fontId="1" type="noConversion"/>
  </si>
  <si>
    <t>단위(kg/일, mg/L)</t>
    <phoneticPr fontId="1" type="noConversion"/>
  </si>
  <si>
    <t>슬러지인함량</t>
    <phoneticPr fontId="1" type="noConversion"/>
  </si>
  <si>
    <t>VS</t>
    <phoneticPr fontId="1" type="noConversion"/>
  </si>
  <si>
    <t>용량대비 잉여발생량</t>
    <phoneticPr fontId="1" type="noConversion"/>
  </si>
  <si>
    <t>1. 고형물 수지계산(2010년, 천안처리장)</t>
    <phoneticPr fontId="1" type="noConversion"/>
  </si>
  <si>
    <t>유입수질</t>
    <phoneticPr fontId="1" type="noConversion"/>
  </si>
  <si>
    <t>제거유기물량</t>
    <phoneticPr fontId="1" type="noConversion"/>
  </si>
  <si>
    <t>자기산화율</t>
    <phoneticPr fontId="1" type="noConversion"/>
  </si>
  <si>
    <t>MLVSS</t>
    <phoneticPr fontId="1" type="noConversion"/>
  </si>
  <si>
    <t>BOD슬러지전환율</t>
    <phoneticPr fontId="1" type="noConversion"/>
  </si>
  <si>
    <t>SS슬러지전환율</t>
    <phoneticPr fontId="1" type="noConversion"/>
  </si>
  <si>
    <t>a:</t>
    <phoneticPr fontId="1" type="noConversion"/>
  </si>
  <si>
    <t>Sr</t>
    <phoneticPr fontId="1" type="noConversion"/>
  </si>
  <si>
    <t>b</t>
    <phoneticPr fontId="1" type="noConversion"/>
  </si>
  <si>
    <t>X</t>
    <phoneticPr fontId="1" type="noConversion"/>
  </si>
  <si>
    <t>c</t>
    <phoneticPr fontId="1" type="noConversion"/>
  </si>
  <si>
    <t>Ss</t>
    <phoneticPr fontId="1" type="noConversion"/>
  </si>
  <si>
    <t>반응조제거SS</t>
    <phoneticPr fontId="1" type="noConversion"/>
  </si>
  <si>
    <t>슬러지발생량 =a*Sr-b*X+c*Ss</t>
    <phoneticPr fontId="1" type="noConversion"/>
  </si>
  <si>
    <t>슬러지질소함량</t>
    <phoneticPr fontId="1" type="noConversion"/>
  </si>
  <si>
    <t>최초 침전지  슬러지</t>
    <phoneticPr fontId="1" type="noConversion"/>
  </si>
  <si>
    <t>인 함유량</t>
    <phoneticPr fontId="1" type="noConversion"/>
  </si>
  <si>
    <t>인제거량</t>
    <phoneticPr fontId="1" type="noConversion"/>
  </si>
  <si>
    <t>rbdCOD</t>
    <phoneticPr fontId="1" type="noConversion"/>
  </si>
  <si>
    <t>Y</t>
    <phoneticPr fontId="1" type="noConversion"/>
  </si>
  <si>
    <t>Kd</t>
    <phoneticPr fontId="1" type="noConversion"/>
  </si>
  <si>
    <t>SRT</t>
    <phoneticPr fontId="1" type="noConversion"/>
  </si>
  <si>
    <t>PAOs인농도</t>
    <phoneticPr fontId="1" type="noConversion"/>
  </si>
  <si>
    <t>기타인농도</t>
    <phoneticPr fontId="1" type="noConversion"/>
  </si>
  <si>
    <t>유출수 VSS</t>
    <phoneticPr fontId="1" type="noConversion"/>
  </si>
  <si>
    <t>PAO제거량</t>
    <phoneticPr fontId="1" type="noConversion"/>
  </si>
  <si>
    <t>mg/L</t>
    <phoneticPr fontId="1" type="noConversion"/>
  </si>
  <si>
    <t>kg/d</t>
    <phoneticPr fontId="1" type="noConversion"/>
  </si>
  <si>
    <t xml:space="preserve"> 반응조</t>
    <phoneticPr fontId="1" type="noConversion"/>
  </si>
  <si>
    <t>최종 침전지 잉여 슬러지</t>
    <phoneticPr fontId="1" type="noConversion"/>
  </si>
  <si>
    <t>Q</t>
  </si>
  <si>
    <t>BOD</t>
  </si>
  <si>
    <t>COD</t>
  </si>
  <si>
    <t>SS</t>
  </si>
  <si>
    <t>T-N</t>
  </si>
  <si>
    <t>T-P</t>
  </si>
  <si>
    <t>후단처리 역세수</t>
    <phoneticPr fontId="1" type="noConversion"/>
  </si>
  <si>
    <t>축산폐수 연계처리</t>
    <phoneticPr fontId="1" type="noConversion"/>
  </si>
  <si>
    <t>후단처리시설</t>
    <phoneticPr fontId="1" type="noConversion"/>
  </si>
  <si>
    <t>후단처리시설 통과시</t>
    <phoneticPr fontId="1" type="noConversion"/>
  </si>
  <si>
    <t>1침유출 RBDCOD/TCOD</t>
    <phoneticPr fontId="1" type="noConversion"/>
  </si>
  <si>
    <t>1침유출 bCOD/TCOD</t>
    <phoneticPr fontId="1" type="noConversion"/>
  </si>
  <si>
    <t>약품주입처리</t>
    <phoneticPr fontId="1" type="noConversion"/>
  </si>
  <si>
    <t>약품주입처리</t>
    <phoneticPr fontId="1" type="noConversion"/>
  </si>
  <si>
    <t>반송슬러지 50~100%</t>
    <phoneticPr fontId="1" type="noConversion"/>
  </si>
  <si>
    <t xml:space="preserve"> DNR 반응조</t>
    <phoneticPr fontId="1" type="noConversion"/>
  </si>
  <si>
    <t>원심농축</t>
    <phoneticPr fontId="1" type="noConversion"/>
  </si>
  <si>
    <t>2. 성환 공공하수처리시설</t>
    <phoneticPr fontId="1" type="noConversion"/>
  </si>
  <si>
    <t>DNR 반응조</t>
    <phoneticPr fontId="1" type="noConversion"/>
  </si>
  <si>
    <t>2.1 1단계(2010년)</t>
    <phoneticPr fontId="1" type="noConversion"/>
  </si>
  <si>
    <t>2.4 4단계(2025년)</t>
    <phoneticPr fontId="1" type="noConversion"/>
  </si>
  <si>
    <t>2.3 3단계(2020년)</t>
    <phoneticPr fontId="1" type="noConversion"/>
  </si>
  <si>
    <t>2.2 2단계(2015년)</t>
    <phoneticPr fontId="1" type="noConversion"/>
  </si>
  <si>
    <t>가. 기존 1단계 처리시설 (Q=24000㎥/일)</t>
    <phoneticPr fontId="1" type="noConversion"/>
  </si>
</sst>
</file>

<file path=xl/styles.xml><?xml version="1.0" encoding="utf-8"?>
<styleSheet xmlns="http://schemas.openxmlformats.org/spreadsheetml/2006/main">
  <numFmts count="14">
    <numFmt numFmtId="176" formatCode="0\ &quot;㎎/ℓ&quot;"/>
    <numFmt numFmtId="177" formatCode="0\ &quot;㎥/일&quot;"/>
    <numFmt numFmtId="178" formatCode="0.00\ &quot;㎎/ℓ&quot;"/>
    <numFmt numFmtId="179" formatCode="0.0\ &quot;㎎/ℓ&quot;"/>
    <numFmt numFmtId="180" formatCode="0.0%"/>
    <numFmt numFmtId="181" formatCode="0\ &quot;일&quot;"/>
    <numFmt numFmtId="182" formatCode="0\ &quot;㎏/일&quot;"/>
    <numFmt numFmtId="183" formatCode="0\ &quot;gCOD/gNO3&quot;"/>
    <numFmt numFmtId="184" formatCode="0_ "/>
    <numFmt numFmtId="185" formatCode="0_);[Red]\(0\)"/>
    <numFmt numFmtId="186" formatCode="0.0_);[Red]\(0.0\)"/>
    <numFmt numFmtId="187" formatCode="0.00_);[Red]\(0.00\)"/>
    <numFmt numFmtId="188" formatCode="0.0_ "/>
    <numFmt numFmtId="189" formatCode="0.00_ 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vertAlign val="subscript"/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double">
        <color indexed="64"/>
      </bottom>
      <diagonal/>
    </border>
    <border>
      <left/>
      <right/>
      <top style="mediumDashed">
        <color indexed="64"/>
      </top>
      <bottom style="double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double">
        <color indexed="64"/>
      </bottom>
      <diagonal/>
    </border>
    <border>
      <left style="mediumDashed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/>
      <right style="mediumDash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8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8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8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18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180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81" fontId="0" fillId="0" borderId="27" xfId="0" applyNumberFormat="1" applyBorder="1">
      <alignment vertical="center"/>
    </xf>
    <xf numFmtId="176" fontId="0" fillId="0" borderId="5" xfId="0" applyNumberFormat="1" applyBorder="1">
      <alignment vertical="center"/>
    </xf>
    <xf numFmtId="9" fontId="0" fillId="0" borderId="5" xfId="0" applyNumberFormat="1" applyBorder="1">
      <alignment vertical="center"/>
    </xf>
    <xf numFmtId="182" fontId="0" fillId="0" borderId="5" xfId="0" applyNumberFormat="1" applyBorder="1">
      <alignment vertical="center"/>
    </xf>
    <xf numFmtId="179" fontId="0" fillId="0" borderId="11" xfId="0" applyNumberFormat="1" applyBorder="1">
      <alignment vertical="center"/>
    </xf>
    <xf numFmtId="9" fontId="0" fillId="0" borderId="15" xfId="0" applyNumberFormat="1" applyBorder="1">
      <alignment vertical="center"/>
    </xf>
    <xf numFmtId="183" fontId="0" fillId="0" borderId="13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quotePrefix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179" fontId="0" fillId="0" borderId="34" xfId="0" applyNumberFormat="1" applyBorder="1">
      <alignment vertical="center"/>
    </xf>
    <xf numFmtId="0" fontId="3" fillId="0" borderId="0" xfId="0" applyFont="1">
      <alignment vertical="center"/>
    </xf>
    <xf numFmtId="176" fontId="0" fillId="0" borderId="35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4" xfId="0" applyFont="1" applyBorder="1">
      <alignment vertical="center"/>
    </xf>
    <xf numFmtId="180" fontId="3" fillId="0" borderId="27" xfId="0" applyNumberFormat="1" applyFont="1" applyBorder="1">
      <alignment vertical="center"/>
    </xf>
    <xf numFmtId="180" fontId="4" fillId="0" borderId="26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9" xfId="0" applyFont="1" applyBorder="1">
      <alignment vertical="center"/>
    </xf>
    <xf numFmtId="180" fontId="3" fillId="0" borderId="5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9" xfId="0" applyFont="1" applyBorder="1">
      <alignment vertical="center"/>
    </xf>
    <xf numFmtId="180" fontId="4" fillId="0" borderId="5" xfId="0" applyNumberFormat="1" applyFont="1" applyBorder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9" fontId="0" fillId="0" borderId="27" xfId="0" applyNumberFormat="1" applyBorder="1">
      <alignment vertical="center"/>
    </xf>
    <xf numFmtId="0" fontId="0" fillId="0" borderId="36" xfId="0" applyBorder="1">
      <alignment vertical="center"/>
    </xf>
    <xf numFmtId="176" fontId="0" fillId="0" borderId="37" xfId="0" applyNumberForma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12" xfId="0" applyFont="1" applyBorder="1">
      <alignment vertical="center"/>
    </xf>
    <xf numFmtId="184" fontId="4" fillId="0" borderId="17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184" fontId="4" fillId="0" borderId="18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25" xfId="0" applyFont="1" applyBorder="1">
      <alignment vertical="center"/>
    </xf>
    <xf numFmtId="184" fontId="4" fillId="0" borderId="0" xfId="0" applyNumberFormat="1" applyFont="1" applyBorder="1">
      <alignment vertical="center"/>
    </xf>
    <xf numFmtId="185" fontId="4" fillId="0" borderId="40" xfId="0" applyNumberFormat="1" applyFont="1" applyBorder="1">
      <alignment vertical="center"/>
    </xf>
    <xf numFmtId="185" fontId="4" fillId="0" borderId="17" xfId="0" applyNumberFormat="1" applyFont="1" applyBorder="1">
      <alignment vertical="center"/>
    </xf>
    <xf numFmtId="185" fontId="4" fillId="0" borderId="13" xfId="0" applyNumberFormat="1" applyFont="1" applyBorder="1">
      <alignment vertical="center"/>
    </xf>
    <xf numFmtId="185" fontId="4" fillId="0" borderId="12" xfId="0" applyNumberFormat="1" applyFont="1" applyBorder="1">
      <alignment vertical="center"/>
    </xf>
    <xf numFmtId="185" fontId="4" fillId="0" borderId="18" xfId="0" applyNumberFormat="1" applyFont="1" applyBorder="1">
      <alignment vertical="center"/>
    </xf>
    <xf numFmtId="185" fontId="4" fillId="0" borderId="15" xfId="0" applyNumberFormat="1" applyFont="1" applyBorder="1">
      <alignment vertical="center"/>
    </xf>
    <xf numFmtId="185" fontId="4" fillId="0" borderId="14" xfId="0" applyNumberFormat="1" applyFont="1" applyBorder="1">
      <alignment vertical="center"/>
    </xf>
    <xf numFmtId="186" fontId="4" fillId="0" borderId="13" xfId="0" applyNumberFormat="1" applyFont="1" applyBorder="1">
      <alignment vertical="center"/>
    </xf>
    <xf numFmtId="187" fontId="4" fillId="0" borderId="13" xfId="0" applyNumberFormat="1" applyFont="1" applyBorder="1">
      <alignment vertical="center"/>
    </xf>
    <xf numFmtId="187" fontId="4" fillId="0" borderId="15" xfId="0" applyNumberFormat="1" applyFont="1" applyBorder="1">
      <alignment vertical="center"/>
    </xf>
    <xf numFmtId="0" fontId="4" fillId="0" borderId="35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184" fontId="4" fillId="0" borderId="13" xfId="0" applyNumberFormat="1" applyFont="1" applyBorder="1">
      <alignment vertical="center"/>
    </xf>
    <xf numFmtId="184" fontId="4" fillId="0" borderId="15" xfId="0" applyNumberFormat="1" applyFont="1" applyBorder="1">
      <alignment vertical="center"/>
    </xf>
    <xf numFmtId="0" fontId="4" fillId="2" borderId="47" xfId="0" applyFont="1" applyFill="1" applyBorder="1">
      <alignment vertical="center"/>
    </xf>
    <xf numFmtId="9" fontId="4" fillId="2" borderId="48" xfId="0" applyNumberFormat="1" applyFont="1" applyFill="1" applyBorder="1">
      <alignment vertical="center"/>
    </xf>
    <xf numFmtId="9" fontId="4" fillId="2" borderId="49" xfId="0" applyNumberFormat="1" applyFont="1" applyFill="1" applyBorder="1">
      <alignment vertical="center"/>
    </xf>
    <xf numFmtId="9" fontId="4" fillId="2" borderId="50" xfId="0" applyNumberFormat="1" applyFont="1" applyFill="1" applyBorder="1">
      <alignment vertical="center"/>
    </xf>
    <xf numFmtId="180" fontId="4" fillId="2" borderId="48" xfId="0" applyNumberFormat="1" applyFont="1" applyFill="1" applyBorder="1">
      <alignment vertical="center"/>
    </xf>
    <xf numFmtId="180" fontId="4" fillId="2" borderId="51" xfId="0" applyNumberFormat="1" applyFont="1" applyFill="1" applyBorder="1">
      <alignment vertical="center"/>
    </xf>
    <xf numFmtId="186" fontId="4" fillId="0" borderId="15" xfId="0" applyNumberFormat="1" applyFont="1" applyBorder="1">
      <alignment vertical="center"/>
    </xf>
    <xf numFmtId="185" fontId="4" fillId="0" borderId="0" xfId="0" applyNumberFormat="1" applyFont="1" applyBorder="1">
      <alignment vertical="center"/>
    </xf>
    <xf numFmtId="0" fontId="3" fillId="0" borderId="49" xfId="0" applyFont="1" applyBorder="1">
      <alignment vertical="center"/>
    </xf>
    <xf numFmtId="185" fontId="4" fillId="0" borderId="49" xfId="0" applyNumberFormat="1" applyFont="1" applyBorder="1">
      <alignment vertical="center"/>
    </xf>
    <xf numFmtId="186" fontId="4" fillId="0" borderId="49" xfId="0" applyNumberFormat="1" applyFont="1" applyBorder="1">
      <alignment vertical="center"/>
    </xf>
    <xf numFmtId="187" fontId="4" fillId="0" borderId="49" xfId="0" applyNumberFormat="1" applyFont="1" applyBorder="1">
      <alignment vertical="center"/>
    </xf>
    <xf numFmtId="187" fontId="4" fillId="0" borderId="0" xfId="0" applyNumberFormat="1" applyFont="1" applyBorder="1">
      <alignment vertical="center"/>
    </xf>
    <xf numFmtId="9" fontId="4" fillId="0" borderId="0" xfId="0" applyNumberFormat="1" applyFont="1" applyFill="1" applyBorder="1">
      <alignment vertical="center"/>
    </xf>
    <xf numFmtId="185" fontId="4" fillId="0" borderId="39" xfId="0" applyNumberFormat="1" applyFont="1" applyBorder="1">
      <alignment vertical="center"/>
    </xf>
    <xf numFmtId="0" fontId="3" fillId="0" borderId="52" xfId="0" applyFont="1" applyBorder="1">
      <alignment vertical="center"/>
    </xf>
    <xf numFmtId="187" fontId="4" fillId="0" borderId="0" xfId="0" applyNumberFormat="1" applyFont="1">
      <alignment vertical="center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179" fontId="0" fillId="2" borderId="35" xfId="0" applyNumberFormat="1" applyFill="1" applyBorder="1">
      <alignment vertical="center"/>
    </xf>
    <xf numFmtId="0" fontId="0" fillId="2" borderId="4" xfId="0" applyFill="1" applyBorder="1">
      <alignment vertical="center"/>
    </xf>
    <xf numFmtId="179" fontId="0" fillId="2" borderId="5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0" fontId="0" fillId="2" borderId="55" xfId="0" applyFill="1" applyBorder="1">
      <alignment vertical="center"/>
    </xf>
    <xf numFmtId="178" fontId="0" fillId="2" borderId="25" xfId="0" applyNumberFormat="1" applyFill="1" applyBorder="1">
      <alignment vertical="center"/>
    </xf>
    <xf numFmtId="0" fontId="0" fillId="2" borderId="56" xfId="0" applyFill="1" applyBorder="1">
      <alignment vertical="center"/>
    </xf>
    <xf numFmtId="180" fontId="0" fillId="2" borderId="57" xfId="0" applyNumberFormat="1" applyFill="1" applyBorder="1">
      <alignment vertical="center"/>
    </xf>
    <xf numFmtId="180" fontId="0" fillId="2" borderId="58" xfId="0" applyNumberFormat="1" applyFill="1" applyBorder="1">
      <alignment vertical="center"/>
    </xf>
    <xf numFmtId="180" fontId="0" fillId="2" borderId="59" xfId="0" applyNumberFormat="1" applyFill="1" applyBorder="1">
      <alignment vertical="center"/>
    </xf>
    <xf numFmtId="180" fontId="0" fillId="2" borderId="60" xfId="0" applyNumberFormat="1" applyFill="1" applyBorder="1">
      <alignment vertical="center"/>
    </xf>
    <xf numFmtId="9" fontId="0" fillId="2" borderId="61" xfId="0" applyNumberFormat="1" applyFill="1" applyBorder="1">
      <alignment vertical="center"/>
    </xf>
    <xf numFmtId="9" fontId="0" fillId="2" borderId="5" xfId="0" applyNumberFormat="1" applyFill="1" applyBorder="1">
      <alignment vertical="center"/>
    </xf>
    <xf numFmtId="0" fontId="0" fillId="2" borderId="1" xfId="0" applyFill="1" applyBorder="1">
      <alignment vertical="center"/>
    </xf>
    <xf numFmtId="180" fontId="0" fillId="2" borderId="41" xfId="0" applyNumberFormat="1" applyFill="1" applyBorder="1">
      <alignment vertical="center"/>
    </xf>
    <xf numFmtId="0" fontId="0" fillId="2" borderId="2" xfId="0" applyFill="1" applyBorder="1">
      <alignment vertical="center"/>
    </xf>
    <xf numFmtId="180" fontId="0" fillId="2" borderId="35" xfId="0" applyNumberFormat="1" applyFill="1" applyBorder="1">
      <alignment vertical="center"/>
    </xf>
    <xf numFmtId="0" fontId="0" fillId="2" borderId="0" xfId="0" applyFill="1">
      <alignment vertical="center"/>
    </xf>
    <xf numFmtId="177" fontId="0" fillId="2" borderId="0" xfId="0" applyNumberFormat="1" applyFill="1">
      <alignment vertical="center"/>
    </xf>
    <xf numFmtId="9" fontId="4" fillId="0" borderId="0" xfId="0" applyNumberFormat="1" applyFont="1" applyBorder="1">
      <alignment vertical="center"/>
    </xf>
    <xf numFmtId="185" fontId="4" fillId="0" borderId="13" xfId="0" applyNumberFormat="1" applyFont="1" applyBorder="1" applyAlignment="1">
      <alignment vertical="center" shrinkToFit="1"/>
    </xf>
    <xf numFmtId="185" fontId="4" fillId="0" borderId="15" xfId="0" applyNumberFormat="1" applyFont="1" applyBorder="1" applyAlignment="1">
      <alignment vertical="center" shrinkToFit="1"/>
    </xf>
    <xf numFmtId="187" fontId="4" fillId="0" borderId="0" xfId="0" applyNumberFormat="1" applyFont="1" applyBorder="1" applyAlignment="1">
      <alignment vertical="center" shrinkToFit="1"/>
    </xf>
    <xf numFmtId="186" fontId="4" fillId="0" borderId="0" xfId="0" applyNumberFormat="1" applyFont="1" applyBorder="1" applyAlignment="1">
      <alignment vertical="center" shrinkToFit="1"/>
    </xf>
    <xf numFmtId="0" fontId="0" fillId="2" borderId="36" xfId="0" applyFill="1" applyBorder="1">
      <alignment vertical="center"/>
    </xf>
    <xf numFmtId="182" fontId="0" fillId="2" borderId="0" xfId="0" applyNumberFormat="1" applyFill="1">
      <alignment vertical="center"/>
    </xf>
    <xf numFmtId="177" fontId="3" fillId="2" borderId="62" xfId="0" applyNumberFormat="1" applyFont="1" applyFill="1" applyBorder="1" applyAlignment="1">
      <alignment vertical="center" shrinkToFit="1"/>
    </xf>
    <xf numFmtId="177" fontId="0" fillId="0" borderId="0" xfId="0" applyNumberFormat="1" applyAlignment="1">
      <alignment vertical="center" shrinkToFit="1"/>
    </xf>
    <xf numFmtId="185" fontId="3" fillId="0" borderId="0" xfId="0" applyNumberFormat="1" applyFont="1">
      <alignment vertical="center"/>
    </xf>
    <xf numFmtId="9" fontId="4" fillId="0" borderId="0" xfId="0" applyNumberFormat="1" applyFont="1">
      <alignment vertical="center"/>
    </xf>
    <xf numFmtId="0" fontId="4" fillId="0" borderId="63" xfId="0" applyFont="1" applyBorder="1">
      <alignment vertical="center"/>
    </xf>
    <xf numFmtId="9" fontId="4" fillId="0" borderId="35" xfId="0" applyNumberFormat="1" applyFont="1" applyBorder="1">
      <alignment vertical="center"/>
    </xf>
    <xf numFmtId="0" fontId="4" fillId="0" borderId="64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186" fontId="3" fillId="0" borderId="0" xfId="0" applyNumberFormat="1" applyFont="1">
      <alignment vertical="center"/>
    </xf>
    <xf numFmtId="9" fontId="0" fillId="2" borderId="54" xfId="0" applyNumberFormat="1" applyFill="1" applyBorder="1" applyAlignment="1">
      <alignment vertical="center" shrinkToFit="1"/>
    </xf>
    <xf numFmtId="9" fontId="0" fillId="2" borderId="4" xfId="0" applyNumberFormat="1" applyFill="1" applyBorder="1" applyAlignment="1">
      <alignment vertical="center" shrinkToFit="1"/>
    </xf>
    <xf numFmtId="9" fontId="0" fillId="2" borderId="55" xfId="0" applyNumberFormat="1" applyFill="1" applyBorder="1" applyAlignment="1">
      <alignment vertical="center" shrinkToFit="1"/>
    </xf>
    <xf numFmtId="184" fontId="0" fillId="2" borderId="35" xfId="0" applyNumberFormat="1" applyFill="1" applyBorder="1" applyAlignment="1">
      <alignment vertical="center" shrinkToFit="1"/>
    </xf>
    <xf numFmtId="184" fontId="0" fillId="2" borderId="5" xfId="0" applyNumberFormat="1" applyFill="1" applyBorder="1" applyAlignment="1">
      <alignment vertical="center" shrinkToFit="1"/>
    </xf>
    <xf numFmtId="184" fontId="0" fillId="2" borderId="25" xfId="0" applyNumberForma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80" fontId="4" fillId="2" borderId="19" xfId="0" applyNumberFormat="1" applyFont="1" applyFill="1" applyBorder="1">
      <alignment vertical="center"/>
    </xf>
    <xf numFmtId="180" fontId="4" fillId="2" borderId="68" xfId="0" applyNumberFormat="1" applyFont="1" applyFill="1" applyBorder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71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185" fontId="4" fillId="0" borderId="76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6" fillId="0" borderId="78" xfId="0" applyFont="1" applyBorder="1">
      <alignment vertical="center"/>
    </xf>
    <xf numFmtId="0" fontId="6" fillId="0" borderId="79" xfId="0" applyFont="1" applyBorder="1">
      <alignment vertical="center"/>
    </xf>
    <xf numFmtId="0" fontId="6" fillId="0" borderId="80" xfId="0" applyFont="1" applyBorder="1">
      <alignment vertical="center"/>
    </xf>
    <xf numFmtId="0" fontId="6" fillId="0" borderId="81" xfId="0" applyFont="1" applyBorder="1">
      <alignment vertical="center"/>
    </xf>
    <xf numFmtId="188" fontId="0" fillId="0" borderId="0" xfId="0" applyNumberFormat="1">
      <alignment vertical="center"/>
    </xf>
    <xf numFmtId="0" fontId="3" fillId="0" borderId="6" xfId="0" applyFont="1" applyBorder="1">
      <alignment vertical="center"/>
    </xf>
    <xf numFmtId="0" fontId="4" fillId="0" borderId="76" xfId="0" applyFont="1" applyBorder="1">
      <alignment vertical="center"/>
    </xf>
    <xf numFmtId="0" fontId="3" fillId="0" borderId="82" xfId="0" applyFont="1" applyBorder="1">
      <alignment vertical="center"/>
    </xf>
    <xf numFmtId="0" fontId="3" fillId="0" borderId="83" xfId="0" applyFont="1" applyBorder="1">
      <alignment vertical="center"/>
    </xf>
    <xf numFmtId="0" fontId="0" fillId="0" borderId="84" xfId="0" applyBorder="1" applyAlignment="1">
      <alignment vertical="center"/>
    </xf>
    <xf numFmtId="189" fontId="4" fillId="0" borderId="74" xfId="0" applyNumberFormat="1" applyFont="1" applyBorder="1">
      <alignment vertical="center"/>
    </xf>
    <xf numFmtId="185" fontId="4" fillId="0" borderId="85" xfId="0" applyNumberFormat="1" applyFont="1" applyBorder="1" applyAlignment="1">
      <alignment vertical="center"/>
    </xf>
    <xf numFmtId="0" fontId="3" fillId="0" borderId="4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5" xfId="0" applyFont="1" applyBorder="1">
      <alignment vertical="center"/>
    </xf>
    <xf numFmtId="180" fontId="4" fillId="0" borderId="35" xfId="0" applyNumberFormat="1" applyFont="1" applyFill="1" applyBorder="1">
      <alignment vertical="center"/>
    </xf>
    <xf numFmtId="0" fontId="3" fillId="0" borderId="86" xfId="0" applyFont="1" applyBorder="1">
      <alignment vertical="center"/>
    </xf>
    <xf numFmtId="180" fontId="4" fillId="2" borderId="87" xfId="0" applyNumberFormat="1" applyFont="1" applyFill="1" applyBorder="1">
      <alignment vertical="center"/>
    </xf>
    <xf numFmtId="0" fontId="4" fillId="2" borderId="88" xfId="0" applyFont="1" applyFill="1" applyBorder="1">
      <alignment vertical="center"/>
    </xf>
    <xf numFmtId="180" fontId="4" fillId="2" borderId="89" xfId="0" applyNumberFormat="1" applyFont="1" applyFill="1" applyBorder="1">
      <alignment vertical="center"/>
    </xf>
    <xf numFmtId="180" fontId="4" fillId="2" borderId="90" xfId="0" applyNumberFormat="1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7" fillId="0" borderId="23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38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185" fontId="4" fillId="0" borderId="85" xfId="0" applyNumberFormat="1" applyFont="1" applyBorder="1" applyAlignment="1">
      <alignment vertical="center"/>
    </xf>
    <xf numFmtId="0" fontId="0" fillId="0" borderId="91" xfId="0" applyBorder="1" applyAlignment="1">
      <alignment vertical="center"/>
    </xf>
    <xf numFmtId="188" fontId="4" fillId="0" borderId="85" xfId="0" applyNumberFormat="1" applyFont="1" applyBorder="1" applyAlignment="1">
      <alignment vertical="center"/>
    </xf>
    <xf numFmtId="188" fontId="0" fillId="0" borderId="91" xfId="0" applyNumberFormat="1" applyBorder="1" applyAlignment="1">
      <alignment vertical="center"/>
    </xf>
    <xf numFmtId="184" fontId="4" fillId="0" borderId="85" xfId="0" applyNumberFormat="1" applyFont="1" applyBorder="1" applyAlignment="1">
      <alignment vertical="center"/>
    </xf>
  </cellXfs>
  <cellStyles count="1">
    <cellStyle name="표준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12</xdr:row>
      <xdr:rowOff>142875</xdr:rowOff>
    </xdr:from>
    <xdr:to>
      <xdr:col>7</xdr:col>
      <xdr:colOff>0</xdr:colOff>
      <xdr:row>12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9072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4</xdr:col>
      <xdr:colOff>38100</xdr:colOff>
      <xdr:row>13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200025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14</xdr:row>
      <xdr:rowOff>47624</xdr:rowOff>
    </xdr:from>
    <xdr:to>
      <xdr:col>15</xdr:col>
      <xdr:colOff>0</xdr:colOff>
      <xdr:row>27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8611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14</xdr:row>
      <xdr:rowOff>133350</xdr:rowOff>
    </xdr:from>
    <xdr:to>
      <xdr:col>15</xdr:col>
      <xdr:colOff>1</xdr:colOff>
      <xdr:row>15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8600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12</xdr:row>
      <xdr:rowOff>134144</xdr:rowOff>
    </xdr:from>
    <xdr:to>
      <xdr:col>6</xdr:col>
      <xdr:colOff>200820</xdr:colOff>
      <xdr:row>14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11455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28</xdr:row>
      <xdr:rowOff>142874</xdr:rowOff>
    </xdr:from>
    <xdr:to>
      <xdr:col>13</xdr:col>
      <xdr:colOff>361950</xdr:colOff>
      <xdr:row>28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42912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28</xdr:row>
      <xdr:rowOff>142875</xdr:rowOff>
    </xdr:from>
    <xdr:to>
      <xdr:col>9</xdr:col>
      <xdr:colOff>123829</xdr:colOff>
      <xdr:row>29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42912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13</xdr:row>
      <xdr:rowOff>0</xdr:rowOff>
    </xdr:from>
    <xdr:to>
      <xdr:col>13</xdr:col>
      <xdr:colOff>9525</xdr:colOff>
      <xdr:row>13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200025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12</xdr:row>
      <xdr:rowOff>142875</xdr:rowOff>
    </xdr:from>
    <xdr:to>
      <xdr:col>17</xdr:col>
      <xdr:colOff>9525</xdr:colOff>
      <xdr:row>12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907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25</xdr:row>
      <xdr:rowOff>85725</xdr:rowOff>
    </xdr:from>
    <xdr:to>
      <xdr:col>18</xdr:col>
      <xdr:colOff>257175</xdr:colOff>
      <xdr:row>25</xdr:row>
      <xdr:rowOff>88109</xdr:rowOff>
    </xdr:to>
    <xdr:cxnSp macro="">
      <xdr:nvCxnSpPr>
        <xdr:cNvPr id="11" name="직선 연결선 10"/>
        <xdr:cNvCxnSpPr/>
      </xdr:nvCxnSpPr>
      <xdr:spPr>
        <a:xfrm rot="10800000" flipV="1">
          <a:off x="438152" y="3914775"/>
          <a:ext cx="6819898" cy="238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13</xdr:row>
      <xdr:rowOff>19051</xdr:rowOff>
    </xdr:from>
    <xdr:to>
      <xdr:col>2</xdr:col>
      <xdr:colOff>1</xdr:colOff>
      <xdr:row>25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95275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25</xdr:row>
      <xdr:rowOff>95252</xdr:rowOff>
    </xdr:from>
    <xdr:to>
      <xdr:col>10</xdr:col>
      <xdr:colOff>420688</xdr:colOff>
      <xdr:row>26</xdr:row>
      <xdr:rowOff>142877</xdr:rowOff>
    </xdr:to>
    <xdr:cxnSp macro="">
      <xdr:nvCxnSpPr>
        <xdr:cNvPr id="14" name="직선 연결선 13"/>
        <xdr:cNvCxnSpPr/>
      </xdr:nvCxnSpPr>
      <xdr:spPr>
        <a:xfrm rot="5400000">
          <a:off x="3920331" y="402352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14</xdr:row>
      <xdr:rowOff>19843</xdr:rowOff>
    </xdr:from>
    <xdr:to>
      <xdr:col>5</xdr:col>
      <xdr:colOff>67471</xdr:colOff>
      <xdr:row>16</xdr:row>
      <xdr:rowOff>142878</xdr:rowOff>
    </xdr:to>
    <xdr:cxnSp macro="">
      <xdr:nvCxnSpPr>
        <xdr:cNvPr id="17" name="직선 연결선 16"/>
        <xdr:cNvCxnSpPr/>
      </xdr:nvCxnSpPr>
      <xdr:spPr>
        <a:xfrm rot="5400000">
          <a:off x="1586706" y="238601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16</xdr:row>
      <xdr:rowOff>142875</xdr:rowOff>
    </xdr:from>
    <xdr:to>
      <xdr:col>15</xdr:col>
      <xdr:colOff>0</xdr:colOff>
      <xdr:row>17</xdr:row>
      <xdr:rowOff>9525</xdr:rowOff>
    </xdr:to>
    <xdr:cxnSp macro="">
      <xdr:nvCxnSpPr>
        <xdr:cNvPr id="18" name="직선 연결선 17"/>
        <xdr:cNvCxnSpPr/>
      </xdr:nvCxnSpPr>
      <xdr:spPr>
        <a:xfrm>
          <a:off x="1790700" y="260032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</xdr:row>
      <xdr:rowOff>85726</xdr:rowOff>
    </xdr:from>
    <xdr:to>
      <xdr:col>7</xdr:col>
      <xdr:colOff>1588</xdr:colOff>
      <xdr:row>26</xdr:row>
      <xdr:rowOff>133351</xdr:rowOff>
    </xdr:to>
    <xdr:cxnSp macro="">
      <xdr:nvCxnSpPr>
        <xdr:cNvPr id="22" name="직선 연결선 21"/>
        <xdr:cNvCxnSpPr/>
      </xdr:nvCxnSpPr>
      <xdr:spPr>
        <a:xfrm rot="5400000">
          <a:off x="2491581" y="401399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12</xdr:row>
      <xdr:rowOff>142875</xdr:rowOff>
    </xdr:from>
    <xdr:to>
      <xdr:col>20</xdr:col>
      <xdr:colOff>28575</xdr:colOff>
      <xdr:row>12</xdr:row>
      <xdr:rowOff>144463</xdr:rowOff>
    </xdr:to>
    <xdr:cxnSp macro="">
      <xdr:nvCxnSpPr>
        <xdr:cNvPr id="34" name="직선 화살표 연결선 33"/>
        <xdr:cNvCxnSpPr/>
      </xdr:nvCxnSpPr>
      <xdr:spPr>
        <a:xfrm>
          <a:off x="7458075" y="1990725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228603</xdr:colOff>
      <xdr:row>13</xdr:row>
      <xdr:rowOff>142875</xdr:rowOff>
    </xdr:from>
    <xdr:to>
      <xdr:col>18</xdr:col>
      <xdr:colOff>238124</xdr:colOff>
      <xdr:row>25</xdr:row>
      <xdr:rowOff>95249</xdr:rowOff>
    </xdr:to>
    <xdr:cxnSp macro="">
      <xdr:nvCxnSpPr>
        <xdr:cNvPr id="38" name="직선 화살표 연결선 37"/>
        <xdr:cNvCxnSpPr/>
      </xdr:nvCxnSpPr>
      <xdr:spPr>
        <a:xfrm rot="16200000" flipV="1">
          <a:off x="6343652" y="3028951"/>
          <a:ext cx="1781174" cy="9521"/>
        </a:xfrm>
        <a:prstGeom prst="straightConnector1">
          <a:avLst/>
        </a:prstGeom>
        <a:ln>
          <a:headEnd type="arrow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9072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200025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8611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8600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11455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42912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42912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200025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907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85725</xdr:rowOff>
    </xdr:from>
    <xdr:to>
      <xdr:col>18</xdr:col>
      <xdr:colOff>257175</xdr:colOff>
      <xdr:row>24</xdr:row>
      <xdr:rowOff>88109</xdr:rowOff>
    </xdr:to>
    <xdr:cxnSp macro="">
      <xdr:nvCxnSpPr>
        <xdr:cNvPr id="11" name="직선 연결선 10"/>
        <xdr:cNvCxnSpPr/>
      </xdr:nvCxnSpPr>
      <xdr:spPr>
        <a:xfrm rot="10800000" flipV="1">
          <a:off x="438152" y="3914775"/>
          <a:ext cx="6819898" cy="238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95275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402352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8601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60032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401399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11</xdr:row>
      <xdr:rowOff>142875</xdr:rowOff>
    </xdr:from>
    <xdr:to>
      <xdr:col>20</xdr:col>
      <xdr:colOff>28575</xdr:colOff>
      <xdr:row>11</xdr:row>
      <xdr:rowOff>144463</xdr:rowOff>
    </xdr:to>
    <xdr:cxnSp macro="">
      <xdr:nvCxnSpPr>
        <xdr:cNvPr id="18" name="직선 화살표 연결선 17"/>
        <xdr:cNvCxnSpPr/>
      </xdr:nvCxnSpPr>
      <xdr:spPr>
        <a:xfrm>
          <a:off x="7458075" y="1990725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228603</xdr:colOff>
      <xdr:row>12</xdr:row>
      <xdr:rowOff>142875</xdr:rowOff>
    </xdr:from>
    <xdr:to>
      <xdr:col>18</xdr:col>
      <xdr:colOff>238124</xdr:colOff>
      <xdr:row>24</xdr:row>
      <xdr:rowOff>95249</xdr:rowOff>
    </xdr:to>
    <xdr:cxnSp macro="">
      <xdr:nvCxnSpPr>
        <xdr:cNvPr id="19" name="직선 화살표 연결선 18"/>
        <xdr:cNvCxnSpPr/>
      </xdr:nvCxnSpPr>
      <xdr:spPr>
        <a:xfrm rot="16200000" flipV="1">
          <a:off x="6343652" y="3028951"/>
          <a:ext cx="1781174" cy="9521"/>
        </a:xfrm>
        <a:prstGeom prst="straightConnector1">
          <a:avLst/>
        </a:prstGeom>
        <a:ln>
          <a:headEnd type="arrow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9072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200025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8611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8600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11455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42912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42912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200025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907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85725</xdr:rowOff>
    </xdr:from>
    <xdr:to>
      <xdr:col>18</xdr:col>
      <xdr:colOff>257175</xdr:colOff>
      <xdr:row>24</xdr:row>
      <xdr:rowOff>88109</xdr:rowOff>
    </xdr:to>
    <xdr:cxnSp macro="">
      <xdr:nvCxnSpPr>
        <xdr:cNvPr id="11" name="직선 연결선 10"/>
        <xdr:cNvCxnSpPr/>
      </xdr:nvCxnSpPr>
      <xdr:spPr>
        <a:xfrm rot="10800000" flipV="1">
          <a:off x="438152" y="3914775"/>
          <a:ext cx="6819898" cy="238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95275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402352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8601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60032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401399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11</xdr:row>
      <xdr:rowOff>142875</xdr:rowOff>
    </xdr:from>
    <xdr:to>
      <xdr:col>20</xdr:col>
      <xdr:colOff>28575</xdr:colOff>
      <xdr:row>11</xdr:row>
      <xdr:rowOff>144463</xdr:rowOff>
    </xdr:to>
    <xdr:cxnSp macro="">
      <xdr:nvCxnSpPr>
        <xdr:cNvPr id="18" name="직선 화살표 연결선 17"/>
        <xdr:cNvCxnSpPr/>
      </xdr:nvCxnSpPr>
      <xdr:spPr>
        <a:xfrm>
          <a:off x="7458075" y="1990725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228603</xdr:colOff>
      <xdr:row>12</xdr:row>
      <xdr:rowOff>142875</xdr:rowOff>
    </xdr:from>
    <xdr:to>
      <xdr:col>18</xdr:col>
      <xdr:colOff>238124</xdr:colOff>
      <xdr:row>24</xdr:row>
      <xdr:rowOff>95249</xdr:rowOff>
    </xdr:to>
    <xdr:cxnSp macro="">
      <xdr:nvCxnSpPr>
        <xdr:cNvPr id="19" name="직선 화살표 연결선 18"/>
        <xdr:cNvCxnSpPr/>
      </xdr:nvCxnSpPr>
      <xdr:spPr>
        <a:xfrm rot="16200000" flipV="1">
          <a:off x="6343652" y="3028951"/>
          <a:ext cx="1781174" cy="9521"/>
        </a:xfrm>
        <a:prstGeom prst="straightConnector1">
          <a:avLst/>
        </a:prstGeom>
        <a:ln>
          <a:headEnd type="arrow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9072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200025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8611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8600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11455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42912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42912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200025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907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85725</xdr:rowOff>
    </xdr:from>
    <xdr:to>
      <xdr:col>18</xdr:col>
      <xdr:colOff>257175</xdr:colOff>
      <xdr:row>24</xdr:row>
      <xdr:rowOff>88109</xdr:rowOff>
    </xdr:to>
    <xdr:cxnSp macro="">
      <xdr:nvCxnSpPr>
        <xdr:cNvPr id="11" name="직선 연결선 10"/>
        <xdr:cNvCxnSpPr/>
      </xdr:nvCxnSpPr>
      <xdr:spPr>
        <a:xfrm rot="10800000" flipV="1">
          <a:off x="438152" y="3914775"/>
          <a:ext cx="6819898" cy="238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95275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402352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8601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60032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401399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11</xdr:row>
      <xdr:rowOff>142875</xdr:rowOff>
    </xdr:from>
    <xdr:to>
      <xdr:col>20</xdr:col>
      <xdr:colOff>28575</xdr:colOff>
      <xdr:row>11</xdr:row>
      <xdr:rowOff>144463</xdr:rowOff>
    </xdr:to>
    <xdr:cxnSp macro="">
      <xdr:nvCxnSpPr>
        <xdr:cNvPr id="18" name="직선 화살표 연결선 17"/>
        <xdr:cNvCxnSpPr/>
      </xdr:nvCxnSpPr>
      <xdr:spPr>
        <a:xfrm>
          <a:off x="7458075" y="1990725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228603</xdr:colOff>
      <xdr:row>12</xdr:row>
      <xdr:rowOff>142875</xdr:rowOff>
    </xdr:from>
    <xdr:to>
      <xdr:col>18</xdr:col>
      <xdr:colOff>238124</xdr:colOff>
      <xdr:row>24</xdr:row>
      <xdr:rowOff>95249</xdr:rowOff>
    </xdr:to>
    <xdr:cxnSp macro="">
      <xdr:nvCxnSpPr>
        <xdr:cNvPr id="19" name="직선 화살표 연결선 18"/>
        <xdr:cNvCxnSpPr/>
      </xdr:nvCxnSpPr>
      <xdr:spPr>
        <a:xfrm rot="16200000" flipV="1">
          <a:off x="6343652" y="3028951"/>
          <a:ext cx="1781174" cy="9521"/>
        </a:xfrm>
        <a:prstGeom prst="straightConnector1">
          <a:avLst/>
        </a:prstGeom>
        <a:ln>
          <a:headEnd type="arrow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J79"/>
  <sheetViews>
    <sheetView topLeftCell="A39" workbookViewId="0">
      <selection activeCell="G49" sqref="G49"/>
    </sheetView>
  </sheetViews>
  <sheetFormatPr defaultRowHeight="16.5"/>
  <cols>
    <col min="1" max="1" width="2.625" customWidth="1"/>
    <col min="2" max="2" width="7.25" customWidth="1"/>
    <col min="3" max="3" width="7.75" customWidth="1"/>
    <col min="4" max="5" width="9.75" customWidth="1"/>
    <col min="6" max="6" width="5.75" customWidth="1"/>
    <col min="7" max="7" width="13.375" customWidth="1"/>
    <col min="9" max="9" width="10" customWidth="1"/>
  </cols>
  <sheetData>
    <row r="2" spans="2:8">
      <c r="B2" t="s">
        <v>98</v>
      </c>
    </row>
    <row r="4" spans="2:8" ht="17.25" thickBot="1">
      <c r="B4" t="s">
        <v>0</v>
      </c>
    </row>
    <row r="5" spans="2:8" ht="17.25" thickBot="1">
      <c r="B5" t="s">
        <v>6</v>
      </c>
      <c r="C5" s="133" t="s">
        <v>1</v>
      </c>
      <c r="D5" s="161">
        <v>142900</v>
      </c>
      <c r="E5" s="162">
        <f>143100-I59</f>
        <v>142920</v>
      </c>
    </row>
    <row r="6" spans="2:8" ht="17.25" thickTop="1">
      <c r="C6" s="134" t="s">
        <v>2</v>
      </c>
      <c r="D6" s="135">
        <v>196</v>
      </c>
      <c r="F6" s="196" t="s">
        <v>139</v>
      </c>
      <c r="G6" s="7"/>
      <c r="H6" s="8">
        <v>0.3</v>
      </c>
    </row>
    <row r="7" spans="2:8" ht="18">
      <c r="C7" s="136" t="s">
        <v>43</v>
      </c>
      <c r="D7" s="137">
        <v>159</v>
      </c>
      <c r="F7" s="6" t="s">
        <v>140</v>
      </c>
      <c r="G7" s="7"/>
      <c r="H7" s="8">
        <v>0.87</v>
      </c>
    </row>
    <row r="8" spans="2:8" ht="18">
      <c r="C8" s="136" t="s">
        <v>44</v>
      </c>
      <c r="D8" s="137">
        <f>D7*1.7</f>
        <v>270.3</v>
      </c>
    </row>
    <row r="9" spans="2:8">
      <c r="C9" s="136" t="s">
        <v>3</v>
      </c>
      <c r="D9" s="137">
        <v>188</v>
      </c>
    </row>
    <row r="10" spans="2:8">
      <c r="C10" s="136" t="s">
        <v>4</v>
      </c>
      <c r="D10" s="138">
        <v>41.9</v>
      </c>
      <c r="G10" s="195"/>
    </row>
    <row r="11" spans="2:8" ht="17.25" thickBot="1">
      <c r="C11" s="139" t="s">
        <v>5</v>
      </c>
      <c r="D11" s="140">
        <v>6</v>
      </c>
    </row>
    <row r="13" spans="2:8">
      <c r="B13" t="s">
        <v>7</v>
      </c>
    </row>
    <row r="14" spans="2:8" ht="17.25" thickBot="1">
      <c r="B14" t="s">
        <v>9</v>
      </c>
      <c r="D14" t="s">
        <v>10</v>
      </c>
    </row>
    <row r="15" spans="2:8">
      <c r="B15" s="49" t="s">
        <v>47</v>
      </c>
      <c r="C15" s="141" t="s">
        <v>2</v>
      </c>
      <c r="D15" s="142">
        <v>0.3</v>
      </c>
    </row>
    <row r="16" spans="2:8" ht="18">
      <c r="C16" s="136" t="s">
        <v>43</v>
      </c>
      <c r="D16" s="143">
        <v>0.3</v>
      </c>
    </row>
    <row r="17" spans="2:10">
      <c r="C17" s="136" t="s">
        <v>3</v>
      </c>
      <c r="D17" s="143">
        <v>0.5</v>
      </c>
      <c r="F17" s="10" t="s">
        <v>13</v>
      </c>
      <c r="G17" s="11">
        <v>0.4</v>
      </c>
    </row>
    <row r="18" spans="2:10">
      <c r="C18" s="136" t="s">
        <v>4</v>
      </c>
      <c r="D18" s="143">
        <v>0.15</v>
      </c>
      <c r="F18" s="12" t="s">
        <v>14</v>
      </c>
      <c r="G18" s="13">
        <v>0.4</v>
      </c>
    </row>
    <row r="19" spans="2:10">
      <c r="C19" s="134" t="s">
        <v>5</v>
      </c>
      <c r="D19" s="144">
        <v>0.15</v>
      </c>
      <c r="F19" s="14" t="s">
        <v>15</v>
      </c>
      <c r="G19" s="15">
        <v>0.4</v>
      </c>
      <c r="J19" s="29"/>
    </row>
    <row r="20" spans="2:10" ht="17.25" thickBot="1">
      <c r="C20" s="159" t="s">
        <v>12</v>
      </c>
      <c r="D20" s="145">
        <v>0.03</v>
      </c>
    </row>
    <row r="22" spans="2:10">
      <c r="B22" t="s">
        <v>16</v>
      </c>
    </row>
    <row r="23" spans="2:10" ht="17.25" thickBot="1"/>
    <row r="24" spans="2:10">
      <c r="B24" s="1" t="s">
        <v>17</v>
      </c>
      <c r="C24" s="23"/>
      <c r="D24" s="23"/>
      <c r="E24" s="30">
        <v>0.45</v>
      </c>
      <c r="F24" s="1" t="s">
        <v>33</v>
      </c>
      <c r="G24" s="23"/>
      <c r="H24" s="23"/>
      <c r="I24" s="35">
        <v>10</v>
      </c>
    </row>
    <row r="25" spans="2:10">
      <c r="B25" s="9" t="s">
        <v>18</v>
      </c>
      <c r="C25" s="19"/>
      <c r="D25" s="19"/>
      <c r="E25" s="31">
        <v>1</v>
      </c>
      <c r="F25" s="9" t="s">
        <v>34</v>
      </c>
      <c r="G25" s="19"/>
      <c r="H25" s="19"/>
      <c r="I25" s="36">
        <v>2500</v>
      </c>
    </row>
    <row r="26" spans="2:10">
      <c r="B26" s="9" t="s">
        <v>19</v>
      </c>
      <c r="C26" s="19"/>
      <c r="D26" s="19"/>
      <c r="E26" s="32"/>
      <c r="F26" s="9" t="s">
        <v>35</v>
      </c>
      <c r="G26" s="19"/>
      <c r="H26" s="19"/>
      <c r="I26" s="37">
        <v>0.8</v>
      </c>
    </row>
    <row r="27" spans="2:10">
      <c r="B27" s="9" t="s">
        <v>20</v>
      </c>
      <c r="C27" s="19"/>
      <c r="D27" s="19"/>
      <c r="E27" s="32"/>
      <c r="F27" s="9" t="s">
        <v>36</v>
      </c>
      <c r="G27" s="19"/>
      <c r="H27" s="19"/>
      <c r="I27" s="38">
        <v>393</v>
      </c>
    </row>
    <row r="28" spans="2:10">
      <c r="B28" s="9" t="s">
        <v>21</v>
      </c>
      <c r="C28" s="19"/>
      <c r="D28" s="19"/>
      <c r="E28" s="32"/>
      <c r="F28" s="9" t="s">
        <v>37</v>
      </c>
      <c r="G28" s="19"/>
      <c r="H28" s="19"/>
      <c r="I28" s="38">
        <v>325</v>
      </c>
    </row>
    <row r="29" spans="2:10">
      <c r="B29" s="9" t="s">
        <v>22</v>
      </c>
      <c r="C29" s="19"/>
      <c r="D29" s="19"/>
      <c r="E29" s="32"/>
      <c r="F29" s="9" t="s">
        <v>38</v>
      </c>
      <c r="G29" s="19"/>
      <c r="H29" s="19"/>
      <c r="I29" s="38">
        <v>68</v>
      </c>
    </row>
    <row r="30" spans="2:10">
      <c r="B30" s="9" t="s">
        <v>23</v>
      </c>
      <c r="C30" s="19"/>
      <c r="D30" s="19"/>
      <c r="E30" s="32"/>
      <c r="F30" s="9" t="s">
        <v>39</v>
      </c>
      <c r="G30" s="19"/>
      <c r="H30" s="19"/>
      <c r="I30" s="5">
        <v>1</v>
      </c>
    </row>
    <row r="31" spans="2:10">
      <c r="B31" s="9" t="s">
        <v>24</v>
      </c>
      <c r="C31" s="19"/>
      <c r="D31" s="19"/>
      <c r="E31" s="32"/>
      <c r="F31" s="9" t="s">
        <v>40</v>
      </c>
      <c r="G31" s="19"/>
      <c r="H31" s="19"/>
      <c r="I31" s="38"/>
    </row>
    <row r="32" spans="2:10">
      <c r="B32" s="9" t="s">
        <v>25</v>
      </c>
      <c r="C32" s="19"/>
      <c r="D32" s="19"/>
      <c r="E32" s="33">
        <v>7</v>
      </c>
      <c r="F32" s="9" t="s">
        <v>41</v>
      </c>
      <c r="G32" s="19"/>
      <c r="H32" s="19"/>
      <c r="I32" s="38"/>
    </row>
    <row r="33" spans="2:9">
      <c r="B33" s="9" t="s">
        <v>26</v>
      </c>
      <c r="C33" s="19"/>
      <c r="D33" s="19"/>
      <c r="E33" s="31">
        <v>0.1</v>
      </c>
      <c r="F33" s="9"/>
      <c r="G33" s="19"/>
      <c r="H33" s="19"/>
      <c r="I33" s="28"/>
    </row>
    <row r="34" spans="2:9">
      <c r="B34" s="9" t="s">
        <v>115</v>
      </c>
      <c r="C34" s="19"/>
      <c r="D34" s="19"/>
      <c r="E34" s="31">
        <v>0.06</v>
      </c>
      <c r="F34" s="9"/>
      <c r="G34" s="19"/>
      <c r="H34" s="19"/>
      <c r="I34" s="28"/>
    </row>
    <row r="35" spans="2:9" ht="17.25" thickBot="1">
      <c r="B35" s="3" t="s">
        <v>27</v>
      </c>
      <c r="C35" s="25"/>
      <c r="D35" s="25"/>
      <c r="E35" s="34"/>
      <c r="F35" s="3"/>
      <c r="G35" s="25"/>
      <c r="H35" s="25"/>
      <c r="I35" s="27"/>
    </row>
    <row r="37" spans="2:9">
      <c r="B37" s="10" t="s">
        <v>28</v>
      </c>
      <c r="C37" s="16"/>
      <c r="D37" s="16"/>
      <c r="E37" s="16"/>
      <c r="F37" s="16"/>
      <c r="G37" s="39">
        <v>25.5</v>
      </c>
    </row>
    <row r="38" spans="2:9">
      <c r="B38" s="42" t="s">
        <v>29</v>
      </c>
      <c r="C38" s="43"/>
      <c r="D38" s="44"/>
      <c r="E38" s="44"/>
      <c r="F38" s="44"/>
      <c r="G38" s="48">
        <v>19</v>
      </c>
    </row>
    <row r="39" spans="2:9">
      <c r="B39" s="45" t="s">
        <v>30</v>
      </c>
      <c r="C39" s="46"/>
      <c r="D39" s="46"/>
      <c r="E39" s="46"/>
      <c r="F39" s="46"/>
      <c r="G39" s="47"/>
    </row>
    <row r="40" spans="2:9">
      <c r="B40" s="12" t="s">
        <v>31</v>
      </c>
      <c r="C40" s="17"/>
      <c r="D40" s="17"/>
      <c r="E40" s="17"/>
      <c r="F40" s="17"/>
      <c r="G40" s="41">
        <v>7</v>
      </c>
    </row>
    <row r="41" spans="2:9">
      <c r="B41" s="14" t="s">
        <v>32</v>
      </c>
      <c r="C41" s="18"/>
      <c r="D41" s="20"/>
      <c r="E41" s="22"/>
      <c r="F41" s="21"/>
      <c r="G41" s="40">
        <v>0.9</v>
      </c>
    </row>
    <row r="45" spans="2:9">
      <c r="B45" t="s">
        <v>42</v>
      </c>
      <c r="E45" s="29" t="s">
        <v>67</v>
      </c>
    </row>
    <row r="46" spans="2:9" ht="17.25" thickBot="1">
      <c r="B46" t="s">
        <v>8</v>
      </c>
      <c r="D46" t="s">
        <v>10</v>
      </c>
      <c r="E46" s="29" t="s">
        <v>8</v>
      </c>
      <c r="G46" t="s">
        <v>68</v>
      </c>
    </row>
    <row r="47" spans="2:9">
      <c r="B47" s="49" t="s">
        <v>47</v>
      </c>
      <c r="C47" s="141" t="s">
        <v>2</v>
      </c>
      <c r="D47" s="142">
        <v>0.94299999999999995</v>
      </c>
      <c r="E47" s="29" t="s">
        <v>11</v>
      </c>
      <c r="F47" s="141" t="s">
        <v>3</v>
      </c>
      <c r="G47" s="146">
        <v>0.95</v>
      </c>
    </row>
    <row r="48" spans="2:9" ht="18">
      <c r="C48" s="136" t="s">
        <v>43</v>
      </c>
      <c r="D48" s="143">
        <v>0.9</v>
      </c>
      <c r="F48" s="136" t="s">
        <v>12</v>
      </c>
      <c r="G48" s="147">
        <v>0.22</v>
      </c>
    </row>
    <row r="49" spans="2:9">
      <c r="C49" s="136" t="s">
        <v>3</v>
      </c>
      <c r="D49" s="143">
        <v>0.94</v>
      </c>
      <c r="E49" s="29" t="s">
        <v>48</v>
      </c>
      <c r="F49" s="4" t="s">
        <v>2</v>
      </c>
      <c r="G49" s="36">
        <v>1000</v>
      </c>
    </row>
    <row r="50" spans="2:9" ht="17.25" thickBot="1">
      <c r="C50" s="136" t="s">
        <v>4</v>
      </c>
      <c r="D50" s="143">
        <v>0.85</v>
      </c>
      <c r="F50" s="73" t="s">
        <v>50</v>
      </c>
      <c r="G50" s="74">
        <v>3000</v>
      </c>
    </row>
    <row r="51" spans="2:9">
      <c r="C51" s="134" t="s">
        <v>5</v>
      </c>
      <c r="D51" s="144">
        <v>0.9</v>
      </c>
    </row>
    <row r="52" spans="2:9" ht="17.25" thickBot="1">
      <c r="C52" s="139" t="s">
        <v>12</v>
      </c>
      <c r="D52" s="145">
        <v>8.0000000000000002E-3</v>
      </c>
    </row>
    <row r="54" spans="2:9">
      <c r="B54" t="s">
        <v>45</v>
      </c>
      <c r="E54" t="s">
        <v>69</v>
      </c>
      <c r="I54" s="71">
        <v>0.6</v>
      </c>
    </row>
    <row r="55" spans="2:9" ht="17.25" thickBot="1">
      <c r="B55" t="s">
        <v>8</v>
      </c>
      <c r="D55" t="s">
        <v>46</v>
      </c>
      <c r="E55" s="70"/>
      <c r="F55" t="s">
        <v>70</v>
      </c>
      <c r="I55" s="71">
        <v>0.5</v>
      </c>
    </row>
    <row r="56" spans="2:9">
      <c r="B56" s="49" t="s">
        <v>11</v>
      </c>
      <c r="C56" s="148" t="s">
        <v>3</v>
      </c>
      <c r="D56" s="149">
        <v>0.85</v>
      </c>
    </row>
    <row r="57" spans="2:9">
      <c r="C57" s="150" t="s">
        <v>12</v>
      </c>
      <c r="D57" s="151">
        <v>3.5000000000000003E-2</v>
      </c>
    </row>
    <row r="58" spans="2:9">
      <c r="B58" t="s">
        <v>48</v>
      </c>
      <c r="C58" s="2" t="s">
        <v>49</v>
      </c>
      <c r="D58" s="50">
        <v>500</v>
      </c>
      <c r="E58" s="70" t="s">
        <v>71</v>
      </c>
    </row>
    <row r="59" spans="2:9">
      <c r="C59" s="2" t="s">
        <v>2</v>
      </c>
      <c r="D59" s="50">
        <v>1000</v>
      </c>
      <c r="G59" s="152" t="s">
        <v>72</v>
      </c>
      <c r="H59" s="152"/>
      <c r="I59" s="153">
        <v>180</v>
      </c>
    </row>
    <row r="60" spans="2:9" ht="17.25" thickBot="1">
      <c r="C60" s="3" t="s">
        <v>50</v>
      </c>
      <c r="D60" s="51">
        <v>1400</v>
      </c>
      <c r="G60" s="152" t="s">
        <v>73</v>
      </c>
      <c r="H60" s="152" t="s">
        <v>2</v>
      </c>
      <c r="I60" s="160">
        <v>3763</v>
      </c>
    </row>
    <row r="61" spans="2:9">
      <c r="G61" s="152"/>
      <c r="H61" s="152" t="s">
        <v>50</v>
      </c>
      <c r="I61" s="160">
        <v>3175</v>
      </c>
    </row>
    <row r="62" spans="2:9">
      <c r="B62" t="s">
        <v>58</v>
      </c>
      <c r="G62" s="152"/>
      <c r="H62" s="152" t="s">
        <v>3</v>
      </c>
      <c r="I62" s="160">
        <v>15921</v>
      </c>
    </row>
    <row r="63" spans="2:9" ht="17.25" thickBot="1">
      <c r="B63" t="s">
        <v>8</v>
      </c>
      <c r="C63" t="s">
        <v>57</v>
      </c>
      <c r="G63" s="152"/>
      <c r="H63" s="152" t="s">
        <v>4</v>
      </c>
      <c r="I63" s="160">
        <v>1374</v>
      </c>
    </row>
    <row r="64" spans="2:9">
      <c r="B64" s="54" t="s">
        <v>52</v>
      </c>
      <c r="C64" s="55"/>
      <c r="D64" s="62">
        <v>0.6</v>
      </c>
      <c r="G64" s="152"/>
      <c r="H64" s="152" t="s">
        <v>5</v>
      </c>
      <c r="I64" s="160">
        <v>105</v>
      </c>
    </row>
    <row r="65" spans="2:5">
      <c r="B65" s="64" t="s">
        <v>53</v>
      </c>
      <c r="C65" s="65"/>
      <c r="D65" s="66">
        <v>0.5</v>
      </c>
    </row>
    <row r="66" spans="2:5">
      <c r="B66" s="64" t="s">
        <v>54</v>
      </c>
      <c r="C66" s="65"/>
      <c r="D66" s="66">
        <v>0.97</v>
      </c>
    </row>
    <row r="67" spans="2:5">
      <c r="B67" s="67" t="s">
        <v>55</v>
      </c>
      <c r="C67" s="68"/>
      <c r="D67" s="69">
        <v>0.04</v>
      </c>
    </row>
    <row r="68" spans="2:5" ht="17.25" thickBot="1">
      <c r="B68" s="60" t="s">
        <v>56</v>
      </c>
      <c r="C68" s="61"/>
      <c r="D68" s="63">
        <v>0.05</v>
      </c>
    </row>
    <row r="70" spans="2:5">
      <c r="B70" t="s">
        <v>59</v>
      </c>
    </row>
    <row r="71" spans="2:5" ht="17.25" thickBot="1">
      <c r="B71" t="s">
        <v>60</v>
      </c>
      <c r="C71" t="s">
        <v>61</v>
      </c>
      <c r="D71" t="s">
        <v>62</v>
      </c>
    </row>
    <row r="72" spans="2:5">
      <c r="B72" s="1" t="s">
        <v>11</v>
      </c>
      <c r="C72" s="23" t="s">
        <v>3</v>
      </c>
      <c r="D72" s="23"/>
      <c r="E72" s="72">
        <v>0.95</v>
      </c>
    </row>
    <row r="73" spans="2:5">
      <c r="B73" s="9"/>
      <c r="C73" s="19" t="s">
        <v>51</v>
      </c>
      <c r="D73" s="19"/>
      <c r="E73" s="37">
        <v>0.96</v>
      </c>
    </row>
    <row r="74" spans="2:5">
      <c r="B74" s="9" t="s">
        <v>48</v>
      </c>
      <c r="C74" s="19" t="s">
        <v>2</v>
      </c>
      <c r="D74" s="19"/>
      <c r="E74" s="36">
        <v>1800</v>
      </c>
    </row>
    <row r="75" spans="2:5">
      <c r="B75" s="9"/>
      <c r="C75" s="19" t="s">
        <v>63</v>
      </c>
      <c r="D75" s="19"/>
      <c r="E75" s="37">
        <v>0.6</v>
      </c>
    </row>
    <row r="76" spans="2:5">
      <c r="B76" s="9"/>
      <c r="C76" s="19" t="s">
        <v>50</v>
      </c>
      <c r="D76" s="19"/>
      <c r="E76" s="36">
        <v>4500</v>
      </c>
    </row>
    <row r="77" spans="2:5">
      <c r="B77" s="9" t="s">
        <v>64</v>
      </c>
      <c r="C77" s="19"/>
      <c r="D77" s="19"/>
      <c r="E77" s="37">
        <v>0.05</v>
      </c>
    </row>
    <row r="78" spans="2:5">
      <c r="B78" s="9" t="s">
        <v>65</v>
      </c>
      <c r="C78" s="19"/>
      <c r="D78" s="19"/>
      <c r="E78" s="37">
        <v>0.4</v>
      </c>
    </row>
    <row r="79" spans="2:5" ht="17.25" thickBot="1">
      <c r="B79" s="3" t="s">
        <v>66</v>
      </c>
      <c r="C79" s="25"/>
      <c r="D79" s="25"/>
      <c r="E79" s="2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D53"/>
  <sheetViews>
    <sheetView view="pageBreakPreview" zoomScaleSheetLayoutView="100" workbookViewId="0">
      <selection activeCell="AB6" sqref="AB6:AB12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9.5" customHeight="1">
      <c r="A1" s="1"/>
      <c r="B1" s="23"/>
      <c r="C1" s="213" t="s">
        <v>146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203"/>
      <c r="X1" s="76"/>
    </row>
    <row r="2" spans="1:30" ht="16.5" customHeight="1">
      <c r="A2" s="2"/>
      <c r="B2" s="24"/>
      <c r="C2" s="214" t="s">
        <v>148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205"/>
      <c r="X2" s="76"/>
      <c r="Y2" s="52"/>
      <c r="Z2" s="52"/>
      <c r="AA2" s="52"/>
      <c r="AB2" s="52"/>
      <c r="AC2" s="52"/>
    </row>
    <row r="3" spans="1:30" ht="16.5" customHeight="1">
      <c r="A3" s="2"/>
      <c r="B3" s="24"/>
      <c r="C3" s="212" t="s">
        <v>152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 t="s">
        <v>94</v>
      </c>
      <c r="V3" s="76"/>
      <c r="W3" s="204"/>
      <c r="X3" s="76"/>
    </row>
    <row r="4" spans="1:30" ht="12" customHeight="1">
      <c r="A4" s="2"/>
      <c r="B4" s="24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204"/>
      <c r="X4" s="76"/>
    </row>
    <row r="5" spans="1:30" s="52" customFormat="1" ht="12" customHeight="1" thickBot="1">
      <c r="A5" s="56"/>
      <c r="B5" s="57"/>
      <c r="C5" s="77" t="s">
        <v>99</v>
      </c>
      <c r="D5" s="101"/>
      <c r="E5" s="102"/>
      <c r="F5" s="57"/>
      <c r="G5" s="103" t="s">
        <v>76</v>
      </c>
      <c r="H5" s="131"/>
      <c r="I5" s="102"/>
      <c r="J5" s="124"/>
      <c r="K5" s="109" t="s">
        <v>114</v>
      </c>
      <c r="L5" s="110"/>
      <c r="M5" s="111"/>
      <c r="N5" s="59"/>
      <c r="O5" s="103" t="s">
        <v>144</v>
      </c>
      <c r="P5" s="131"/>
      <c r="Q5" s="102"/>
      <c r="R5" s="57"/>
      <c r="S5" s="57"/>
      <c r="T5" s="103" t="s">
        <v>79</v>
      </c>
      <c r="U5" s="104"/>
      <c r="V5" s="105"/>
      <c r="W5" s="205"/>
      <c r="X5" s="57"/>
      <c r="Z5" s="59"/>
      <c r="AA5" s="113" t="s">
        <v>92</v>
      </c>
      <c r="AB5" s="113" t="s">
        <v>91</v>
      </c>
    </row>
    <row r="6" spans="1:30" s="53" customFormat="1" ht="12" customHeight="1" thickTop="1">
      <c r="A6" s="58"/>
      <c r="B6" s="59"/>
      <c r="C6" s="78" t="s">
        <v>74</v>
      </c>
      <c r="D6" s="218">
        <v>19497</v>
      </c>
      <c r="E6" s="219"/>
      <c r="F6" s="123"/>
      <c r="G6" s="90" t="s">
        <v>74</v>
      </c>
      <c r="H6" s="218">
        <f>D6+D20</f>
        <v>19689.063411740222</v>
      </c>
      <c r="I6" s="219"/>
      <c r="J6" s="125"/>
      <c r="K6" s="79" t="s">
        <v>74</v>
      </c>
      <c r="L6" s="218">
        <f>L9/M9*10^3</f>
        <v>83.97403445589201</v>
      </c>
      <c r="M6" s="219"/>
      <c r="N6" s="116" t="s">
        <v>77</v>
      </c>
      <c r="O6" s="130" t="s">
        <v>74</v>
      </c>
      <c r="P6" s="218">
        <f t="shared" ref="P6:P11" si="0">H6-L6</f>
        <v>19605.08937728433</v>
      </c>
      <c r="Q6" s="219"/>
      <c r="R6" s="116" t="s">
        <v>77</v>
      </c>
      <c r="S6" s="59"/>
      <c r="T6" s="90" t="s">
        <v>74</v>
      </c>
      <c r="U6" s="218">
        <f>P6-Q20</f>
        <v>19484.203679850292</v>
      </c>
      <c r="V6" s="219"/>
      <c r="W6" s="100"/>
      <c r="X6" s="59"/>
      <c r="Z6" s="113" t="s">
        <v>84</v>
      </c>
      <c r="AA6" s="157">
        <f>P33-L33</f>
        <v>120.19228557059478</v>
      </c>
      <c r="AB6" s="157">
        <v>120.1922926908898</v>
      </c>
      <c r="AD6" s="132">
        <f>AA6-AB6</f>
        <v>-7.1202950238102858E-6</v>
      </c>
    </row>
    <row r="7" spans="1:30" s="53" customFormat="1" ht="12" customHeight="1">
      <c r="A7" s="58"/>
      <c r="B7" s="59"/>
      <c r="C7" s="80" t="s">
        <v>2</v>
      </c>
      <c r="D7" s="91">
        <f>$D$6*E7/10^3</f>
        <v>4347.8310000000001</v>
      </c>
      <c r="E7" s="97">
        <v>223</v>
      </c>
      <c r="F7" s="123"/>
      <c r="G7" s="93" t="s">
        <v>2</v>
      </c>
      <c r="H7" s="91">
        <f>$H$6*I7/10^3</f>
        <v>4732.851586567208</v>
      </c>
      <c r="I7" s="97">
        <f>($D$6*E7+$D$20*E21)/$H$6</f>
        <v>240.3797218584352</v>
      </c>
      <c r="J7" s="126"/>
      <c r="K7" s="80" t="s">
        <v>2</v>
      </c>
      <c r="L7" s="91">
        <f>H7*N7</f>
        <v>1419.8554759701624</v>
      </c>
      <c r="M7" s="82">
        <f>L7/$L$6*10^3</f>
        <v>16908.267956518775</v>
      </c>
      <c r="N7" s="117">
        <v>0.3</v>
      </c>
      <c r="O7" s="93" t="s">
        <v>2</v>
      </c>
      <c r="P7" s="91">
        <f t="shared" si="0"/>
        <v>3312.9961105970456</v>
      </c>
      <c r="Q7" s="97">
        <f>P7/$P$6*10^3</f>
        <v>168.98653440650403</v>
      </c>
      <c r="R7" s="120">
        <v>0.94499999999999995</v>
      </c>
      <c r="S7" s="59"/>
      <c r="T7" s="93" t="s">
        <v>2</v>
      </c>
      <c r="U7" s="91">
        <f>P7*(1-R7)</f>
        <v>182.21478608283766</v>
      </c>
      <c r="V7" s="97">
        <f>U7/$U$6*10^3</f>
        <v>9.3519236955665885</v>
      </c>
      <c r="W7" s="100"/>
      <c r="X7" s="59"/>
      <c r="Z7" s="113" t="s">
        <v>86</v>
      </c>
      <c r="AA7" s="157">
        <f>L33-H33</f>
        <v>71.871116364253012</v>
      </c>
      <c r="AB7" s="157">
        <v>71.871119049332407</v>
      </c>
      <c r="AD7" s="132">
        <f t="shared" ref="AD7:AD12" si="1">AA7-AB7</f>
        <v>-2.6850793943822282E-6</v>
      </c>
    </row>
    <row r="8" spans="1:30" s="53" customFormat="1" ht="12" customHeight="1">
      <c r="A8" s="58"/>
      <c r="B8" s="59"/>
      <c r="C8" s="80" t="s">
        <v>50</v>
      </c>
      <c r="D8" s="91">
        <f>$D$6*E8/10^3</f>
        <v>3704.43</v>
      </c>
      <c r="E8" s="97">
        <v>190</v>
      </c>
      <c r="F8" s="123"/>
      <c r="G8" s="93" t="s">
        <v>50</v>
      </c>
      <c r="H8" s="91">
        <f>$H$6*I8/10^3</f>
        <v>4069.7742692748211</v>
      </c>
      <c r="I8" s="97">
        <f>($D$6*E8+$D$20*E22)/$H$6</f>
        <v>206.70227852728081</v>
      </c>
      <c r="J8" s="126"/>
      <c r="K8" s="80" t="s">
        <v>50</v>
      </c>
      <c r="L8" s="91">
        <f>H8*N8</f>
        <v>1220.9322807824462</v>
      </c>
      <c r="M8" s="82">
        <f>L8/$L$6*10^3</f>
        <v>14539.402431876131</v>
      </c>
      <c r="N8" s="118">
        <v>0.3</v>
      </c>
      <c r="O8" s="93" t="s">
        <v>50</v>
      </c>
      <c r="P8" s="91">
        <f t="shared" si="0"/>
        <v>2848.8419884923751</v>
      </c>
      <c r="Q8" s="97">
        <f>P8/$P$6*10^3</f>
        <v>145.31134919452191</v>
      </c>
      <c r="R8" s="120">
        <v>0.9</v>
      </c>
      <c r="S8" s="59"/>
      <c r="T8" s="93" t="s">
        <v>50</v>
      </c>
      <c r="U8" s="91">
        <f>P8*(1-R8)</f>
        <v>284.88419884923746</v>
      </c>
      <c r="V8" s="97">
        <f>U8/$U$6*10^3</f>
        <v>14.621290329861013</v>
      </c>
      <c r="W8" s="100"/>
      <c r="X8" s="59"/>
      <c r="Z8" s="113" t="s">
        <v>93</v>
      </c>
      <c r="AA8" s="158">
        <f>D21/$D$20*10^3</f>
        <v>2004.6533593502484</v>
      </c>
      <c r="AB8" s="158">
        <v>2004.6534791747442</v>
      </c>
      <c r="AD8" s="132">
        <f t="shared" si="1"/>
        <v>-1.1982449586867006E-4</v>
      </c>
    </row>
    <row r="9" spans="1:30" s="53" customFormat="1" ht="12" customHeight="1">
      <c r="A9" s="58"/>
      <c r="B9" s="59"/>
      <c r="C9" s="80" t="s">
        <v>3</v>
      </c>
      <c r="D9" s="91">
        <f>$D$6*E9/10^3</f>
        <v>4367.3280000000004</v>
      </c>
      <c r="E9" s="97">
        <v>224</v>
      </c>
      <c r="F9" s="123"/>
      <c r="G9" s="93" t="s">
        <v>3</v>
      </c>
      <c r="H9" s="91">
        <f>$H$6*I9/10^3</f>
        <v>5038.4420673535205</v>
      </c>
      <c r="I9" s="97">
        <f>($D$6*E9+$D$20*E23)/$H$6</f>
        <v>255.90054549518041</v>
      </c>
      <c r="J9" s="126"/>
      <c r="K9" s="80" t="s">
        <v>3</v>
      </c>
      <c r="L9" s="91">
        <f>H9*N9</f>
        <v>2519.2210336767603</v>
      </c>
      <c r="M9" s="82">
        <f>참조!D20*10^6</f>
        <v>30000</v>
      </c>
      <c r="N9" s="118">
        <v>0.5</v>
      </c>
      <c r="O9" s="93" t="s">
        <v>3</v>
      </c>
      <c r="P9" s="91">
        <f t="shared" si="0"/>
        <v>2519.2210336767603</v>
      </c>
      <c r="Q9" s="97">
        <f>P9/$P$6*10^3</f>
        <v>128.49831924743407</v>
      </c>
      <c r="R9" s="120">
        <v>0.95</v>
      </c>
      <c r="S9" s="59"/>
      <c r="T9" s="93" t="s">
        <v>3</v>
      </c>
      <c r="U9" s="91">
        <f>P9*(1-R9)</f>
        <v>125.96105168383812</v>
      </c>
      <c r="V9" s="97">
        <f>U9/$U$6*10^3</f>
        <v>6.4647780198531546</v>
      </c>
      <c r="W9" s="100"/>
      <c r="X9" s="59"/>
      <c r="Z9" s="59"/>
      <c r="AA9" s="158">
        <f>D22/$D$20*10^3</f>
        <v>1902.2063732714689</v>
      </c>
      <c r="AB9" s="158">
        <v>1902.2064950557683</v>
      </c>
      <c r="AD9" s="132">
        <f t="shared" si="1"/>
        <v>-1.2178429938103363E-4</v>
      </c>
    </row>
    <row r="10" spans="1:30" s="53" customFormat="1" ht="12" customHeight="1">
      <c r="A10" s="58"/>
      <c r="B10" s="59"/>
      <c r="C10" s="80" t="s">
        <v>4</v>
      </c>
      <c r="D10" s="91">
        <f>$D$6*E10/10^3</f>
        <v>914.40929999999992</v>
      </c>
      <c r="E10" s="98">
        <v>46.9</v>
      </c>
      <c r="F10" s="123"/>
      <c r="G10" s="93" t="s">
        <v>4</v>
      </c>
      <c r="H10" s="91">
        <f>$H$6*I10/10^3</f>
        <v>960.76787257079491</v>
      </c>
      <c r="I10" s="97">
        <f>($D$6*E10+$D$20*E24)/$H$6</f>
        <v>48.797032772920367</v>
      </c>
      <c r="J10" s="127"/>
      <c r="K10" s="80" t="s">
        <v>4</v>
      </c>
      <c r="L10" s="91">
        <f>H10*N10</f>
        <v>144.11518088561922</v>
      </c>
      <c r="M10" s="114">
        <f>L10/$L$6*10^3</f>
        <v>1716.187412209149</v>
      </c>
      <c r="N10" s="118">
        <v>0.15</v>
      </c>
      <c r="O10" s="93" t="s">
        <v>4</v>
      </c>
      <c r="P10" s="91">
        <f t="shared" si="0"/>
        <v>816.65269168517568</v>
      </c>
      <c r="Q10" s="98">
        <f>P10/$P$6*10^3</f>
        <v>41.655137396690471</v>
      </c>
      <c r="R10" s="120">
        <v>0.75</v>
      </c>
      <c r="S10" s="59"/>
      <c r="T10" s="93" t="s">
        <v>4</v>
      </c>
      <c r="U10" s="91">
        <f>P10*(1-R10)</f>
        <v>204.16317292129392</v>
      </c>
      <c r="V10" s="98">
        <f>U10/$U$6*10^3</f>
        <v>10.478394512598456</v>
      </c>
      <c r="W10" s="100"/>
      <c r="X10" s="59"/>
      <c r="Z10" s="59"/>
      <c r="AA10" s="158">
        <f>D23/$D$20*10^3</f>
        <v>3494.2314985996254</v>
      </c>
      <c r="AB10" s="158">
        <v>3494.2317293688652</v>
      </c>
      <c r="AD10" s="132">
        <f t="shared" si="1"/>
        <v>-2.3076923980624997E-4</v>
      </c>
    </row>
    <row r="11" spans="1:30" s="53" customFormat="1" ht="12" customHeight="1">
      <c r="A11" s="58"/>
      <c r="B11" s="59"/>
      <c r="C11" s="83" t="s">
        <v>5</v>
      </c>
      <c r="D11" s="94">
        <f>$D$6*E11/10^3</f>
        <v>144.27780000000001</v>
      </c>
      <c r="E11" s="99">
        <v>7.4</v>
      </c>
      <c r="F11" s="123"/>
      <c r="G11" s="96" t="s">
        <v>5</v>
      </c>
      <c r="H11" s="94">
        <f>$H$6*I11/10^3</f>
        <v>171.47978050628964</v>
      </c>
      <c r="I11" s="122">
        <f>($D$6*E11+$D$20*E25)/$H$6</f>
        <v>8.7093924642468998</v>
      </c>
      <c r="J11" s="127"/>
      <c r="K11" s="83" t="s">
        <v>5</v>
      </c>
      <c r="L11" s="94">
        <f>H11*N11</f>
        <v>25.721967075943446</v>
      </c>
      <c r="M11" s="115">
        <f>L11/L6*10^3</f>
        <v>306.30857791468986</v>
      </c>
      <c r="N11" s="119">
        <v>0.15</v>
      </c>
      <c r="O11" s="96" t="s">
        <v>5</v>
      </c>
      <c r="P11" s="94">
        <f t="shared" si="0"/>
        <v>145.7578134303462</v>
      </c>
      <c r="Q11" s="99">
        <f>P11/$P$6*10^3</f>
        <v>7.4346926262539883</v>
      </c>
      <c r="R11" s="121">
        <f>Q25/P11</f>
        <v>0.79300733794509959</v>
      </c>
      <c r="S11" s="59"/>
      <c r="T11" s="96" t="s">
        <v>5</v>
      </c>
      <c r="U11" s="94">
        <f>P11-Q25</f>
        <v>30.170797817248882</v>
      </c>
      <c r="V11" s="99">
        <f>U11/$U$6*10^3</f>
        <v>1.5484747702802037</v>
      </c>
      <c r="W11" s="100"/>
      <c r="X11" s="59"/>
      <c r="Z11" s="59"/>
      <c r="AA11" s="158">
        <f>D24/$D$20*10^3</f>
        <v>241.37116645634867</v>
      </c>
      <c r="AB11" s="158">
        <v>241.37118127162023</v>
      </c>
      <c r="AD11" s="132">
        <f t="shared" si="1"/>
        <v>-1.481527155533513E-5</v>
      </c>
    </row>
    <row r="12" spans="1:30" s="53" customFormat="1" ht="12" customHeight="1" thickBot="1">
      <c r="A12" s="58"/>
      <c r="B12" s="59"/>
      <c r="C12" s="59"/>
      <c r="D12" s="123"/>
      <c r="E12" s="128"/>
      <c r="F12" s="123"/>
      <c r="G12" s="123"/>
      <c r="H12" s="123"/>
      <c r="I12" s="128"/>
      <c r="J12" s="128"/>
      <c r="K12" s="59"/>
      <c r="L12" s="123"/>
      <c r="M12" s="89"/>
      <c r="N12" s="129"/>
      <c r="O12" s="129"/>
      <c r="P12" s="123"/>
      <c r="Q12" s="123"/>
      <c r="R12" s="128"/>
      <c r="S12" s="59"/>
      <c r="T12" s="123"/>
      <c r="U12" s="123"/>
      <c r="V12" s="128"/>
      <c r="W12" s="206"/>
      <c r="X12" s="59"/>
      <c r="Z12" s="59"/>
      <c r="AA12" s="158">
        <f>D25/$D$20*10^3</f>
        <v>141.63019869933751</v>
      </c>
      <c r="AB12" s="158">
        <v>141.63020566916725</v>
      </c>
      <c r="AD12" s="132">
        <f t="shared" si="1"/>
        <v>-6.9698297409104271E-6</v>
      </c>
    </row>
    <row r="13" spans="1:30" s="53" customFormat="1" ht="12" customHeight="1">
      <c r="A13" s="58"/>
      <c r="B13" s="59"/>
      <c r="C13" s="59"/>
      <c r="D13" s="59"/>
      <c r="E13" s="85" t="s">
        <v>75</v>
      </c>
      <c r="F13" s="87"/>
      <c r="G13" s="58"/>
      <c r="H13" s="85"/>
      <c r="I13" s="167" t="s">
        <v>147</v>
      </c>
      <c r="J13" s="168"/>
      <c r="K13" s="86"/>
      <c r="L13" s="87"/>
      <c r="M13" s="59"/>
      <c r="N13" s="85" t="s">
        <v>81</v>
      </c>
      <c r="O13" s="86"/>
      <c r="P13" s="87"/>
      <c r="Q13" s="59"/>
      <c r="R13" s="191" t="s">
        <v>137</v>
      </c>
      <c r="S13" s="192"/>
      <c r="T13" s="177"/>
      <c r="U13" s="59"/>
      <c r="V13" s="59"/>
      <c r="W13" s="100"/>
      <c r="X13" s="59"/>
    </row>
    <row r="14" spans="1:30" s="53" customFormat="1" ht="12" customHeight="1" thickBot="1">
      <c r="A14" s="58"/>
      <c r="B14" s="59"/>
      <c r="C14" s="59"/>
      <c r="D14" s="59"/>
      <c r="E14" s="60"/>
      <c r="F14" s="88"/>
      <c r="G14" s="58"/>
      <c r="H14" s="60"/>
      <c r="I14" s="165"/>
      <c r="J14" s="169"/>
      <c r="K14" s="61"/>
      <c r="L14" s="88"/>
      <c r="M14" s="59"/>
      <c r="N14" s="60"/>
      <c r="O14" s="61"/>
      <c r="P14" s="88"/>
      <c r="Q14" s="59"/>
      <c r="R14" s="193"/>
      <c r="S14" s="194"/>
      <c r="T14" s="177"/>
      <c r="U14" s="59"/>
      <c r="V14" s="59"/>
      <c r="W14" s="100"/>
      <c r="X14" s="59"/>
    </row>
    <row r="15" spans="1:30" s="53" customFormat="1" ht="12" customHeight="1" thickBot="1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100"/>
      <c r="X15" s="59"/>
    </row>
    <row r="16" spans="1:30" ht="12" customHeigh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 t="s">
        <v>143</v>
      </c>
      <c r="M16" s="24"/>
      <c r="N16" s="24"/>
      <c r="O16" s="24"/>
      <c r="P16" s="76"/>
      <c r="Q16" s="24"/>
      <c r="R16" s="24"/>
      <c r="S16" s="76"/>
      <c r="T16" s="198" t="s">
        <v>142</v>
      </c>
      <c r="U16" s="199"/>
      <c r="V16" s="199"/>
      <c r="W16" s="207"/>
      <c r="X16" s="24"/>
      <c r="Y16"/>
      <c r="Z16"/>
      <c r="AA16"/>
      <c r="AB16"/>
      <c r="AC16"/>
    </row>
    <row r="17" spans="1:29" ht="12" customHeight="1" thickBot="1">
      <c r="A17" s="2"/>
      <c r="B17" s="24"/>
      <c r="C17" s="24"/>
      <c r="D17" s="24"/>
      <c r="E17" s="24"/>
      <c r="F17" s="76"/>
      <c r="G17" s="24"/>
      <c r="H17" s="24"/>
      <c r="I17" s="24"/>
      <c r="J17" s="24"/>
      <c r="K17" s="24"/>
      <c r="L17" s="24"/>
      <c r="M17" s="24"/>
      <c r="N17" s="24"/>
      <c r="O17" s="24"/>
      <c r="P17" s="76"/>
      <c r="Q17" s="24"/>
      <c r="R17" s="24"/>
      <c r="S17" s="76"/>
      <c r="T17" s="188" t="s">
        <v>134</v>
      </c>
      <c r="U17" s="189">
        <f>U11*W17</f>
        <v>19.611018581211773</v>
      </c>
      <c r="V17" s="197">
        <f>U17/$U$20*10^3</f>
        <v>1.0376377326619921</v>
      </c>
      <c r="W17" s="208">
        <v>0.65</v>
      </c>
      <c r="X17" s="24"/>
      <c r="Y17"/>
      <c r="Z17"/>
      <c r="AA17"/>
      <c r="AB17"/>
      <c r="AC17"/>
    </row>
    <row r="18" spans="1:29" s="53" customFormat="1" ht="12" customHeight="1" thickBot="1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100"/>
      <c r="X18" s="59"/>
    </row>
    <row r="19" spans="1:29" s="53" customFormat="1" ht="12" customHeight="1" thickBot="1">
      <c r="A19" s="58"/>
      <c r="B19" s="59"/>
      <c r="C19" s="106" t="s">
        <v>78</v>
      </c>
      <c r="D19" s="107"/>
      <c r="E19" s="108"/>
      <c r="F19" s="59"/>
      <c r="G19" s="106" t="s">
        <v>86</v>
      </c>
      <c r="H19" s="107"/>
      <c r="I19" s="108"/>
      <c r="J19" s="59"/>
      <c r="K19" s="106" t="s">
        <v>84</v>
      </c>
      <c r="L19" s="107"/>
      <c r="M19" s="108"/>
      <c r="N19" s="59"/>
      <c r="O19" s="59"/>
      <c r="P19" s="109" t="s">
        <v>128</v>
      </c>
      <c r="Q19" s="110"/>
      <c r="R19" s="111"/>
      <c r="S19" s="59"/>
      <c r="T19" s="182" t="s">
        <v>138</v>
      </c>
      <c r="U19" s="183"/>
      <c r="V19" s="184"/>
      <c r="W19" s="209" t="s">
        <v>77</v>
      </c>
      <c r="X19" s="59"/>
      <c r="Y19" s="178" t="s">
        <v>80</v>
      </c>
    </row>
    <row r="20" spans="1:29" s="53" customFormat="1" ht="12" customHeight="1" thickTop="1">
      <c r="A20" s="58"/>
      <c r="B20" s="59"/>
      <c r="C20" s="112" t="s">
        <v>74</v>
      </c>
      <c r="D20" s="222">
        <f t="shared" ref="D20:D25" si="2">H20+L20</f>
        <v>192.06341174022219</v>
      </c>
      <c r="E20" s="219"/>
      <c r="F20" s="59"/>
      <c r="G20" s="112" t="s">
        <v>74</v>
      </c>
      <c r="H20" s="222">
        <f>AB7</f>
        <v>71.871119049332407</v>
      </c>
      <c r="I20" s="219"/>
      <c r="J20" s="59"/>
      <c r="K20" s="79" t="s">
        <v>74</v>
      </c>
      <c r="L20" s="222">
        <f>AB6</f>
        <v>120.1922926908898</v>
      </c>
      <c r="M20" s="219"/>
      <c r="N20" s="59"/>
      <c r="O20" s="59"/>
      <c r="P20" s="79" t="s">
        <v>74</v>
      </c>
      <c r="Q20" s="218">
        <f>Q23/R23*10^3</f>
        <v>120.88569743403696</v>
      </c>
      <c r="R20" s="219"/>
      <c r="S20" s="59"/>
      <c r="T20" s="185" t="s">
        <v>129</v>
      </c>
      <c r="U20" s="202">
        <f>U6-Z48</f>
        <v>18899.677569454783</v>
      </c>
      <c r="V20" s="200"/>
      <c r="W20" s="210">
        <v>0.03</v>
      </c>
      <c r="X20" s="59"/>
      <c r="Y20" s="179" t="s">
        <v>77</v>
      </c>
    </row>
    <row r="21" spans="1:29" s="53" customFormat="1" ht="12" customHeight="1">
      <c r="A21" s="58"/>
      <c r="B21" s="59"/>
      <c r="C21" s="80" t="s">
        <v>2</v>
      </c>
      <c r="D21" s="81">
        <f t="shared" si="2"/>
        <v>385.02056355330637</v>
      </c>
      <c r="E21" s="114">
        <f>AB8</f>
        <v>2004.6534791747442</v>
      </c>
      <c r="F21" s="59"/>
      <c r="G21" s="80" t="s">
        <v>2</v>
      </c>
      <c r="H21" s="81">
        <f>L34-H34</f>
        <v>85.00454000527543</v>
      </c>
      <c r="I21" s="114">
        <f>H21/$H$20*10^3</f>
        <v>1182.7357237463943</v>
      </c>
      <c r="J21" s="59"/>
      <c r="K21" s="80" t="s">
        <v>2</v>
      </c>
      <c r="L21" s="81">
        <f>P34-L34</f>
        <v>300.01602354803094</v>
      </c>
      <c r="M21" s="92">
        <f>L21/$L$20*10^3</f>
        <v>2496.1336274665409</v>
      </c>
      <c r="N21" s="59"/>
      <c r="O21" s="59"/>
      <c r="P21" s="80" t="s">
        <v>2</v>
      </c>
      <c r="Q21" s="91">
        <f>Q23*0.6</f>
        <v>580.25134768337739</v>
      </c>
      <c r="R21" s="82">
        <f>Q21/$Q$20*10^3</f>
        <v>4800</v>
      </c>
      <c r="S21" s="59"/>
      <c r="T21" s="186" t="s">
        <v>130</v>
      </c>
      <c r="U21" s="91">
        <f>U7-Z49</f>
        <v>127.55035025798637</v>
      </c>
      <c r="V21" s="187">
        <f>U21/$U$20*10^3</f>
        <v>6.7488109143264037</v>
      </c>
      <c r="W21" s="210">
        <v>0.3</v>
      </c>
      <c r="X21" s="59"/>
      <c r="Y21" s="180">
        <f>1-(U21/D7)</f>
        <v>0.97066345259096176</v>
      </c>
    </row>
    <row r="22" spans="1:29" s="53" customFormat="1" ht="12" customHeight="1">
      <c r="A22" s="58"/>
      <c r="B22" s="59"/>
      <c r="C22" s="80" t="s">
        <v>50</v>
      </c>
      <c r="D22" s="81">
        <f t="shared" si="2"/>
        <v>365.34424588451293</v>
      </c>
      <c r="E22" s="114">
        <f>AB9</f>
        <v>1902.2064950557683</v>
      </c>
      <c r="F22" s="59"/>
      <c r="G22" s="80" t="s">
        <v>50</v>
      </c>
      <c r="H22" s="81">
        <f>L35-H35</f>
        <v>80.660417922554871</v>
      </c>
      <c r="I22" s="114">
        <f>H22/$H$20*10^3</f>
        <v>1122.2925006523064</v>
      </c>
      <c r="J22" s="59"/>
      <c r="K22" s="80" t="s">
        <v>50</v>
      </c>
      <c r="L22" s="81">
        <f>P35-L35</f>
        <v>284.68382796195806</v>
      </c>
      <c r="M22" s="92">
        <f>L22/$L$20*10^3</f>
        <v>2368.5697442689366</v>
      </c>
      <c r="N22" s="59"/>
      <c r="O22" s="59"/>
      <c r="P22" s="80" t="s">
        <v>50</v>
      </c>
      <c r="Q22" s="91">
        <f>Q23*0.7</f>
        <v>676.95990563060695</v>
      </c>
      <c r="R22" s="82">
        <f>Q22/$Q$20*10^3</f>
        <v>5600</v>
      </c>
      <c r="S22" s="59"/>
      <c r="T22" s="186" t="s">
        <v>131</v>
      </c>
      <c r="U22" s="91">
        <f>U8-Z50</f>
        <v>242.15156902185186</v>
      </c>
      <c r="V22" s="187">
        <f>U22/$U$20*10^3</f>
        <v>12.812470907610168</v>
      </c>
      <c r="W22" s="210">
        <v>0.15</v>
      </c>
      <c r="X22" s="59"/>
      <c r="Y22" s="180">
        <f>1-(U22/D8)</f>
        <v>0.93463189504948074</v>
      </c>
    </row>
    <row r="23" spans="1:29" s="53" customFormat="1" ht="12" customHeight="1">
      <c r="A23" s="58"/>
      <c r="B23" s="59"/>
      <c r="C23" s="80" t="s">
        <v>3</v>
      </c>
      <c r="D23" s="81">
        <f t="shared" si="2"/>
        <v>671.11402303119348</v>
      </c>
      <c r="E23" s="114">
        <f>AB10</f>
        <v>3494.2317293688652</v>
      </c>
      <c r="F23" s="59"/>
      <c r="G23" s="80" t="s">
        <v>3</v>
      </c>
      <c r="H23" s="81">
        <f>L36-H36</f>
        <v>148.16803105883491</v>
      </c>
      <c r="I23" s="114">
        <f>H23/$H$20*10^3</f>
        <v>2061.5795749212175</v>
      </c>
      <c r="J23" s="59"/>
      <c r="K23" s="80" t="s">
        <v>3</v>
      </c>
      <c r="L23" s="81">
        <f>P36-L36</f>
        <v>522.94599197235857</v>
      </c>
      <c r="M23" s="92">
        <f>L23/$L$20*10^3</f>
        <v>4350.9111962550669</v>
      </c>
      <c r="N23" s="59"/>
      <c r="O23" s="59"/>
      <c r="P23" s="80" t="s">
        <v>3</v>
      </c>
      <c r="Q23" s="91">
        <f>I43</f>
        <v>967.08557947229565</v>
      </c>
      <c r="R23" s="82">
        <f>참조!D52*10^6</f>
        <v>8000</v>
      </c>
      <c r="S23" s="59"/>
      <c r="T23" s="186" t="s">
        <v>132</v>
      </c>
      <c r="U23" s="91">
        <f>U9-Z51</f>
        <v>62.980525841919061</v>
      </c>
      <c r="V23" s="187">
        <f>U23/$U$20*10^3</f>
        <v>3.3323598040480178</v>
      </c>
      <c r="W23" s="210">
        <v>0.5</v>
      </c>
      <c r="X23" s="59"/>
      <c r="Y23" s="180">
        <f>1-(U23/D9)</f>
        <v>0.98557916285611724</v>
      </c>
    </row>
    <row r="24" spans="1:29" s="53" customFormat="1" ht="12" customHeight="1">
      <c r="A24" s="58"/>
      <c r="B24" s="59"/>
      <c r="C24" s="80" t="s">
        <v>4</v>
      </c>
      <c r="D24" s="81">
        <f t="shared" si="2"/>
        <v>46.358569725323406</v>
      </c>
      <c r="E24" s="114">
        <f>AB11</f>
        <v>241.37118127162023</v>
      </c>
      <c r="F24" s="59"/>
      <c r="G24" s="80" t="s">
        <v>4</v>
      </c>
      <c r="H24" s="81">
        <f>L37-H37</f>
        <v>10.235008900396082</v>
      </c>
      <c r="I24" s="114">
        <f>H24/$H$20*10^3</f>
        <v>142.40781326043862</v>
      </c>
      <c r="J24" s="59"/>
      <c r="K24" s="80" t="s">
        <v>4</v>
      </c>
      <c r="L24" s="81">
        <f>P37-L37</f>
        <v>36.123560824927324</v>
      </c>
      <c r="M24" s="92">
        <f>L24/$L$20*10^3</f>
        <v>300.5480635753392</v>
      </c>
      <c r="N24" s="59"/>
      <c r="O24" s="59"/>
      <c r="P24" s="80" t="s">
        <v>4</v>
      </c>
      <c r="Q24" s="91">
        <f>Q23*AC32</f>
        <v>96.708557947229565</v>
      </c>
      <c r="R24" s="114">
        <f>Q24/$Q$20*10^3</f>
        <v>800</v>
      </c>
      <c r="S24" s="59"/>
      <c r="T24" s="186" t="s">
        <v>133</v>
      </c>
      <c r="U24" s="91">
        <f>U10*(1-W24)</f>
        <v>142.91422104490573</v>
      </c>
      <c r="V24" s="187">
        <f>U24/$U$20*10^3</f>
        <v>7.5617279987823895</v>
      </c>
      <c r="W24" s="210">
        <v>0.3</v>
      </c>
      <c r="X24" s="59"/>
      <c r="Y24" s="180">
        <f>1-(U24/D10)</f>
        <v>0.84370869692061778</v>
      </c>
    </row>
    <row r="25" spans="1:29" s="53" customFormat="1" ht="12" customHeight="1" thickBot="1">
      <c r="A25" s="58"/>
      <c r="B25" s="59"/>
      <c r="C25" s="83" t="s">
        <v>5</v>
      </c>
      <c r="D25" s="84">
        <f t="shared" si="2"/>
        <v>27.201979167640346</v>
      </c>
      <c r="E25" s="115">
        <f>AB12</f>
        <v>141.63020566916725</v>
      </c>
      <c r="F25" s="59"/>
      <c r="G25" s="83" t="s">
        <v>5</v>
      </c>
      <c r="H25" s="84">
        <f>L38-H38</f>
        <v>6.0056317642842316</v>
      </c>
      <c r="I25" s="115">
        <f>H25/$H$20*10^3</f>
        <v>83.561127803811715</v>
      </c>
      <c r="J25" s="59"/>
      <c r="K25" s="83" t="s">
        <v>5</v>
      </c>
      <c r="L25" s="84">
        <f>P38-L38</f>
        <v>21.196347403356114</v>
      </c>
      <c r="M25" s="95">
        <f>L25/$L$20*10^3</f>
        <v>176.35363240693661</v>
      </c>
      <c r="N25" s="59"/>
      <c r="O25" s="59"/>
      <c r="P25" s="83" t="s">
        <v>5</v>
      </c>
      <c r="Q25" s="94">
        <f>U45</f>
        <v>115.58701561309732</v>
      </c>
      <c r="R25" s="115">
        <f>Q25/Q20*10^3</f>
        <v>956.16783512515258</v>
      </c>
      <c r="S25" s="59"/>
      <c r="T25" s="188" t="s">
        <v>134</v>
      </c>
      <c r="U25" s="189">
        <f>U11-U17</f>
        <v>10.559779236037109</v>
      </c>
      <c r="V25" s="190">
        <f>U25/$U$20*10^3</f>
        <v>0.55872800989491889</v>
      </c>
      <c r="W25" s="211">
        <f>W17</f>
        <v>0.65</v>
      </c>
      <c r="X25" s="59"/>
      <c r="Y25" s="181">
        <f>1-(U25/D11)</f>
        <v>0.92680939662209216</v>
      </c>
    </row>
    <row r="26" spans="1:29" s="53" customFormat="1" ht="12" customHeigh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 t="s">
        <v>97</v>
      </c>
    </row>
    <row r="27" spans="1:29" s="53" customFormat="1" ht="12" customHeight="1" thickBot="1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100"/>
      <c r="X27" s="59"/>
      <c r="AA27" s="53">
        <f>P33/D6*100</f>
        <v>1.0507243775448991</v>
      </c>
    </row>
    <row r="28" spans="1:29" s="53" customFormat="1" ht="12" customHeight="1">
      <c r="A28" s="58"/>
      <c r="B28" s="59"/>
      <c r="C28" s="59"/>
      <c r="D28" s="59"/>
      <c r="E28" s="59"/>
      <c r="F28" s="59"/>
      <c r="G28" s="85" t="s">
        <v>83</v>
      </c>
      <c r="H28" s="86"/>
      <c r="I28" s="58"/>
      <c r="J28" s="59"/>
      <c r="K28" s="85" t="s">
        <v>145</v>
      </c>
      <c r="L28" s="87"/>
      <c r="M28" s="59"/>
      <c r="N28" s="59"/>
      <c r="O28" s="85" t="s">
        <v>89</v>
      </c>
      <c r="P28" s="86"/>
      <c r="Q28" s="87"/>
      <c r="R28" s="59"/>
      <c r="S28" s="59"/>
      <c r="T28" s="59"/>
      <c r="U28" s="59"/>
      <c r="V28" s="59"/>
      <c r="W28" s="100"/>
      <c r="X28" s="59"/>
    </row>
    <row r="29" spans="1:29" s="53" customFormat="1" ht="12" customHeight="1">
      <c r="A29" s="58"/>
      <c r="B29" s="59"/>
      <c r="C29" s="59"/>
      <c r="D29" s="59"/>
      <c r="E29" s="59"/>
      <c r="F29" s="59"/>
      <c r="G29" s="58" t="s">
        <v>90</v>
      </c>
      <c r="H29" s="154">
        <f>참조!G47</f>
        <v>0.95</v>
      </c>
      <c r="I29" s="58"/>
      <c r="J29" s="59"/>
      <c r="K29" s="58" t="s">
        <v>90</v>
      </c>
      <c r="L29" s="166">
        <f>참조!D56</f>
        <v>0.85</v>
      </c>
      <c r="M29" s="59"/>
      <c r="N29" s="59"/>
      <c r="O29" s="58"/>
      <c r="P29" s="59"/>
      <c r="Q29" s="100"/>
      <c r="R29" s="59"/>
      <c r="S29" s="59"/>
      <c r="T29" s="59"/>
      <c r="U29" s="59"/>
      <c r="V29" s="59"/>
      <c r="W29" s="100"/>
      <c r="X29" s="59"/>
    </row>
    <row r="30" spans="1:29" s="53" customFormat="1" ht="12" customHeight="1" thickBot="1">
      <c r="A30" s="58"/>
      <c r="B30" s="59"/>
      <c r="C30" s="59"/>
      <c r="D30" s="59"/>
      <c r="E30" s="59"/>
      <c r="F30" s="59"/>
      <c r="G30" s="60"/>
      <c r="H30" s="61"/>
      <c r="I30" s="58"/>
      <c r="J30" s="59"/>
      <c r="K30" s="60"/>
      <c r="L30" s="88"/>
      <c r="M30" s="59"/>
      <c r="N30" s="59"/>
      <c r="O30" s="60" t="s">
        <v>82</v>
      </c>
      <c r="P30" s="61"/>
      <c r="Q30" s="88"/>
      <c r="R30" s="59"/>
      <c r="S30" s="59"/>
      <c r="T30" s="59"/>
      <c r="U30" s="59"/>
      <c r="V30" s="59"/>
      <c r="W30" s="100"/>
      <c r="X30" s="59"/>
    </row>
    <row r="31" spans="1:29" s="53" customFormat="1" ht="12" customHeight="1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100"/>
      <c r="X31" s="59"/>
      <c r="AA31" s="53" t="s">
        <v>95</v>
      </c>
      <c r="AC31" s="53" t="s">
        <v>113</v>
      </c>
    </row>
    <row r="32" spans="1:29" s="53" customFormat="1" ht="12" customHeight="1" thickBot="1">
      <c r="A32" s="58"/>
      <c r="B32" s="59"/>
      <c r="F32" s="59"/>
      <c r="G32" s="215" t="s">
        <v>87</v>
      </c>
      <c r="H32" s="216"/>
      <c r="I32" s="217"/>
      <c r="J32" s="59"/>
      <c r="K32" s="215" t="s">
        <v>85</v>
      </c>
      <c r="L32" s="216"/>
      <c r="M32" s="217"/>
      <c r="N32" s="59"/>
      <c r="O32" s="215" t="s">
        <v>88</v>
      </c>
      <c r="P32" s="216"/>
      <c r="Q32" s="217"/>
      <c r="R32" s="59"/>
      <c r="S32" s="59"/>
      <c r="T32" s="59"/>
      <c r="U32" s="59"/>
      <c r="V32" s="59"/>
      <c r="W32" s="100"/>
      <c r="X32" s="59"/>
      <c r="Z32" s="53" t="s">
        <v>12</v>
      </c>
      <c r="AA32" s="53">
        <f>P38/P36*100</f>
        <v>4.0532574546391205</v>
      </c>
      <c r="AC32" s="164">
        <v>0.1</v>
      </c>
    </row>
    <row r="33" spans="1:27" s="53" customFormat="1" ht="12" customHeight="1" thickTop="1">
      <c r="A33" s="58"/>
      <c r="B33" s="59"/>
      <c r="F33" s="59"/>
      <c r="G33" s="112" t="s">
        <v>74</v>
      </c>
      <c r="H33" s="220">
        <f>H36/I36*10^3</f>
        <v>12.796329955081193</v>
      </c>
      <c r="I33" s="221"/>
      <c r="J33" s="59"/>
      <c r="K33" s="112" t="s">
        <v>74</v>
      </c>
      <c r="L33" s="222">
        <f>L36/M36*10^3</f>
        <v>84.667446319334204</v>
      </c>
      <c r="M33" s="219"/>
      <c r="N33" s="59"/>
      <c r="O33" s="79" t="s">
        <v>74</v>
      </c>
      <c r="P33" s="222">
        <f t="shared" ref="P33:P38" si="3">Q20+L6</f>
        <v>204.85973188992898</v>
      </c>
      <c r="Q33" s="219"/>
      <c r="R33" s="59"/>
      <c r="S33" s="59"/>
      <c r="T33" s="59"/>
      <c r="U33" s="59"/>
      <c r="V33" s="59"/>
      <c r="W33" s="100"/>
      <c r="X33" s="59"/>
      <c r="Z33" s="53" t="s">
        <v>96</v>
      </c>
      <c r="AA33" s="53">
        <f>P38/P36/0.8*100</f>
        <v>5.0665718182989004</v>
      </c>
    </row>
    <row r="34" spans="1:27" s="53" customFormat="1" ht="12" customHeight="1">
      <c r="A34" s="58"/>
      <c r="B34" s="59"/>
      <c r="F34" s="59"/>
      <c r="G34" s="80" t="s">
        <v>2</v>
      </c>
      <c r="H34" s="81">
        <f>L34*$H$29</f>
        <v>1615.0862601002334</v>
      </c>
      <c r="I34" s="155">
        <f>H34/$H$33*10^3</f>
        <v>126214.80266370528</v>
      </c>
      <c r="J34" s="59"/>
      <c r="K34" s="80" t="s">
        <v>2</v>
      </c>
      <c r="L34" s="81">
        <f>P34*$L$29</f>
        <v>1700.0908001055088</v>
      </c>
      <c r="M34" s="92">
        <f>L34/L33*10^3</f>
        <v>20079.62769649857</v>
      </c>
      <c r="N34" s="59"/>
      <c r="O34" s="80" t="s">
        <v>2</v>
      </c>
      <c r="P34" s="81">
        <f t="shared" si="3"/>
        <v>2000.1068236535398</v>
      </c>
      <c r="Q34" s="92">
        <f>P34/$P$33*10^3</f>
        <v>9763.2990397946833</v>
      </c>
      <c r="R34" s="59"/>
      <c r="S34" s="59"/>
      <c r="T34" s="59"/>
      <c r="U34" s="59"/>
      <c r="V34" s="59"/>
      <c r="W34" s="100"/>
      <c r="X34" s="59"/>
    </row>
    <row r="35" spans="1:27" s="53" customFormat="1" ht="12" customHeight="1">
      <c r="A35" s="58"/>
      <c r="B35" s="59"/>
      <c r="F35" s="59"/>
      <c r="G35" s="80" t="s">
        <v>50</v>
      </c>
      <c r="H35" s="81">
        <f>L35*$H$29</f>
        <v>1532.5479405285403</v>
      </c>
      <c r="I35" s="155">
        <f>H35/$H$33*10^3</f>
        <v>119764.64704397475</v>
      </c>
      <c r="J35" s="59"/>
      <c r="K35" s="80" t="s">
        <v>50</v>
      </c>
      <c r="L35" s="81">
        <f>P35*$L$29</f>
        <v>1613.2083584510951</v>
      </c>
      <c r="M35" s="92">
        <f>L35/$L$33*10^3</f>
        <v>19053.466575177805</v>
      </c>
      <c r="N35" s="59"/>
      <c r="O35" s="80" t="s">
        <v>50</v>
      </c>
      <c r="P35" s="81">
        <f t="shared" si="3"/>
        <v>1897.8921864130532</v>
      </c>
      <c r="Q35" s="92">
        <f>P35/$P$33*10^3</f>
        <v>9264.3496547813011</v>
      </c>
      <c r="R35" s="59"/>
      <c r="S35" s="59"/>
      <c r="T35" s="59"/>
      <c r="U35" s="59"/>
      <c r="V35" s="59"/>
      <c r="W35" s="100"/>
      <c r="X35" s="59"/>
    </row>
    <row r="36" spans="1:27" s="53" customFormat="1" ht="12" customHeight="1">
      <c r="A36" s="58"/>
      <c r="B36" s="59"/>
      <c r="F36" s="59"/>
      <c r="G36" s="80" t="s">
        <v>3</v>
      </c>
      <c r="H36" s="81">
        <f>L36*$H$29</f>
        <v>2815.1925901178624</v>
      </c>
      <c r="I36" s="155">
        <f>참조!G48*10^6</f>
        <v>220000</v>
      </c>
      <c r="J36" s="59"/>
      <c r="K36" s="80" t="s">
        <v>3</v>
      </c>
      <c r="L36" s="81">
        <f>P36*$L$29</f>
        <v>2963.3606211766974</v>
      </c>
      <c r="M36" s="92">
        <f>참조!D57*10^6</f>
        <v>35000</v>
      </c>
      <c r="N36" s="59"/>
      <c r="O36" s="80" t="s">
        <v>3</v>
      </c>
      <c r="P36" s="81">
        <f t="shared" si="3"/>
        <v>3486.3066131490559</v>
      </c>
      <c r="Q36" s="92">
        <f>P36/$P$33*10^3</f>
        <v>17018.018040862451</v>
      </c>
      <c r="R36" s="59"/>
      <c r="S36" s="59"/>
      <c r="T36" s="59"/>
      <c r="U36" s="59"/>
      <c r="V36" s="59"/>
      <c r="W36" s="100"/>
      <c r="X36" s="59"/>
    </row>
    <row r="37" spans="1:27" s="53" customFormat="1" ht="12" customHeight="1">
      <c r="A37" s="58"/>
      <c r="B37" s="59"/>
      <c r="F37" s="59"/>
      <c r="G37" s="80" t="s">
        <v>4</v>
      </c>
      <c r="H37" s="81">
        <f>L37*$H$29</f>
        <v>194.46516910752538</v>
      </c>
      <c r="I37" s="155">
        <f>H37/$H$33*10^3</f>
        <v>15196.948639973663</v>
      </c>
      <c r="J37" s="59"/>
      <c r="K37" s="80" t="s">
        <v>4</v>
      </c>
      <c r="L37" s="81">
        <f>P37*$L$29</f>
        <v>204.70017800792147</v>
      </c>
      <c r="M37" s="92">
        <f>L37/$L$33*10^3</f>
        <v>2417.696374541265</v>
      </c>
      <c r="N37" s="59"/>
      <c r="O37" s="80" t="s">
        <v>4</v>
      </c>
      <c r="P37" s="81">
        <f t="shared" si="3"/>
        <v>240.82373883284879</v>
      </c>
      <c r="Q37" s="92">
        <f>P37/$P$33*10^3</f>
        <v>1175.5543005505995</v>
      </c>
      <c r="R37" s="59"/>
      <c r="S37" s="59"/>
      <c r="T37" s="59"/>
      <c r="U37" s="59"/>
      <c r="V37" s="59"/>
      <c r="W37" s="100"/>
      <c r="X37" s="59"/>
    </row>
    <row r="38" spans="1:27" s="53" customFormat="1" ht="12" customHeight="1">
      <c r="A38" s="58"/>
      <c r="B38" s="59"/>
      <c r="F38" s="59"/>
      <c r="G38" s="83" t="s">
        <v>5</v>
      </c>
      <c r="H38" s="84">
        <f>L38*$H$29</f>
        <v>114.10700352140042</v>
      </c>
      <c r="I38" s="156">
        <f>H38/$H$33*10^3</f>
        <v>8917.1664002060661</v>
      </c>
      <c r="J38" s="59"/>
      <c r="K38" s="83" t="s">
        <v>5</v>
      </c>
      <c r="L38" s="84">
        <f>P38*$L$29</f>
        <v>120.11263528568465</v>
      </c>
      <c r="M38" s="95">
        <f>L38/$L$33*10^3</f>
        <v>1418.6401091236924</v>
      </c>
      <c r="N38" s="59"/>
      <c r="O38" s="83" t="s">
        <v>5</v>
      </c>
      <c r="P38" s="84">
        <f t="shared" si="3"/>
        <v>141.30898268904076</v>
      </c>
      <c r="Q38" s="95">
        <f>P38/$P$33*10^3</f>
        <v>689.78408487308775</v>
      </c>
      <c r="R38" s="59"/>
      <c r="S38" s="59"/>
      <c r="T38" s="59"/>
      <c r="U38" s="59"/>
      <c r="V38" s="59"/>
      <c r="W38" s="100"/>
      <c r="X38" s="59"/>
    </row>
    <row r="39" spans="1:27" s="53" customFormat="1" ht="12" customHeight="1">
      <c r="A39" s="58"/>
      <c r="B39" s="59"/>
      <c r="C39" s="59"/>
      <c r="D39" s="1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100"/>
      <c r="X39" s="59"/>
    </row>
    <row r="40" spans="1:27" s="53" customFormat="1" ht="12" customHeight="1" thickBot="1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88"/>
      <c r="X40" s="59"/>
    </row>
    <row r="41" spans="1:27" s="53" customFormat="1" ht="12" customHeight="1"/>
    <row r="42" spans="1:27" s="53" customFormat="1" ht="12" customHeight="1">
      <c r="T42" s="53" t="s">
        <v>125</v>
      </c>
      <c r="U42" s="53" t="s">
        <v>126</v>
      </c>
    </row>
    <row r="43" spans="1:27" ht="12" customHeight="1" thickBot="1">
      <c r="D43" s="49" t="s">
        <v>112</v>
      </c>
      <c r="I43" s="49">
        <f>(F45*F46)-(F47*G48)+(F49*F50)</f>
        <v>967.08557947229565</v>
      </c>
      <c r="N43" s="49" t="s">
        <v>116</v>
      </c>
      <c r="R43" s="49" t="s">
        <v>124</v>
      </c>
      <c r="T43" s="49">
        <f>(P45/(1+(P46*P47))*P44*P48)</f>
        <v>4.9405858726137453</v>
      </c>
      <c r="U43" s="49">
        <f>P6*T43/10^3</f>
        <v>96.860627608740771</v>
      </c>
    </row>
    <row r="44" spans="1:27" ht="12" customHeight="1" thickBot="1">
      <c r="K44" s="133" t="s">
        <v>1</v>
      </c>
      <c r="L44" s="161"/>
      <c r="N44" s="49" t="s">
        <v>117</v>
      </c>
      <c r="P44" s="49">
        <f>L50*참조!H6</f>
        <v>74.108788089206172</v>
      </c>
      <c r="T44" s="49">
        <f>L50*참조!H7*(P45/(1+P46*P47))*P49</f>
        <v>0.95517993537199075</v>
      </c>
      <c r="U44" s="49">
        <f>P6*T44/10^3</f>
        <v>18.726388004356547</v>
      </c>
    </row>
    <row r="45" spans="1:27" ht="20.100000000000001" customHeight="1" thickTop="1">
      <c r="C45" s="49" t="s">
        <v>105</v>
      </c>
      <c r="D45" s="49" t="s">
        <v>103</v>
      </c>
      <c r="F45" s="49">
        <v>0.4</v>
      </c>
      <c r="K45" s="171" t="s">
        <v>2</v>
      </c>
      <c r="L45" s="174">
        <f>Q7</f>
        <v>168.98653440650403</v>
      </c>
      <c r="N45" s="49" t="s">
        <v>118</v>
      </c>
      <c r="P45" s="49">
        <f>0.4</f>
        <v>0.4</v>
      </c>
      <c r="U45" s="49">
        <f>SUM(U43:U44)</f>
        <v>115.58701561309732</v>
      </c>
    </row>
    <row r="46" spans="1:27" ht="20.100000000000001" customHeight="1">
      <c r="C46" s="49" t="s">
        <v>106</v>
      </c>
      <c r="D46" s="49" t="s">
        <v>100</v>
      </c>
      <c r="F46" s="163">
        <f>P7-U7</f>
        <v>3130.7813245142079</v>
      </c>
      <c r="K46" s="172" t="s">
        <v>43</v>
      </c>
      <c r="L46" s="175">
        <f>Q8</f>
        <v>145.31134919452191</v>
      </c>
      <c r="N46" s="49" t="s">
        <v>119</v>
      </c>
      <c r="P46" s="49">
        <f>0.08</f>
        <v>0.08</v>
      </c>
    </row>
    <row r="47" spans="1:27" ht="20.100000000000001" customHeight="1" thickBot="1">
      <c r="C47" s="49" t="s">
        <v>107</v>
      </c>
      <c r="D47" s="49" t="s">
        <v>101</v>
      </c>
      <c r="F47" s="49">
        <v>0.05</v>
      </c>
      <c r="K47" s="172" t="s">
        <v>3</v>
      </c>
      <c r="L47" s="175">
        <f>Q9</f>
        <v>128.49831924743407</v>
      </c>
      <c r="N47" s="49" t="s">
        <v>120</v>
      </c>
      <c r="P47" s="49">
        <f>참조!I24</f>
        <v>10</v>
      </c>
      <c r="T47" s="215" t="s">
        <v>136</v>
      </c>
      <c r="U47" s="216"/>
      <c r="V47" s="217"/>
      <c r="Y47" s="215" t="s">
        <v>135</v>
      </c>
      <c r="Z47" s="216"/>
      <c r="AA47" s="217"/>
    </row>
    <row r="48" spans="1:27" ht="20.100000000000001" customHeight="1" thickTop="1">
      <c r="C48" s="49" t="s">
        <v>108</v>
      </c>
      <c r="D48" s="49" t="s">
        <v>102</v>
      </c>
      <c r="F48" s="49">
        <f>참조!$I$25*참조!$I$26</f>
        <v>2000</v>
      </c>
      <c r="G48" s="49">
        <f>F48*P6/10^3</f>
        <v>39210.17875456866</v>
      </c>
      <c r="K48" s="172" t="s">
        <v>4</v>
      </c>
      <c r="L48" s="175">
        <f>Q10</f>
        <v>41.655137396690471</v>
      </c>
      <c r="N48" s="49" t="s">
        <v>121</v>
      </c>
      <c r="P48" s="49">
        <f>0.3</f>
        <v>0.3</v>
      </c>
      <c r="T48" s="112" t="s">
        <v>74</v>
      </c>
      <c r="U48" s="218">
        <v>120</v>
      </c>
      <c r="V48" s="219"/>
      <c r="Y48" s="112" t="s">
        <v>74</v>
      </c>
      <c r="Z48" s="218">
        <f t="shared" ref="Z48:Z53" si="4">U6*W20</f>
        <v>584.52611039550879</v>
      </c>
      <c r="AA48" s="219"/>
    </row>
    <row r="49" spans="3:27" ht="20.100000000000001" customHeight="1" thickBot="1">
      <c r="C49" s="49" t="s">
        <v>109</v>
      </c>
      <c r="D49" s="49" t="s">
        <v>104</v>
      </c>
      <c r="F49" s="49">
        <v>0.7</v>
      </c>
      <c r="K49" s="173" t="s">
        <v>5</v>
      </c>
      <c r="L49" s="176">
        <f>Q11</f>
        <v>7.4346926262539883</v>
      </c>
      <c r="N49" s="49" t="s">
        <v>122</v>
      </c>
      <c r="P49" s="49">
        <v>0.02</v>
      </c>
      <c r="T49" s="80" t="s">
        <v>2</v>
      </c>
      <c r="U49" s="91">
        <v>27</v>
      </c>
      <c r="V49" s="114">
        <f>U49/$U$48*10^3</f>
        <v>225</v>
      </c>
      <c r="Y49" s="80" t="s">
        <v>2</v>
      </c>
      <c r="Z49" s="91">
        <f t="shared" si="4"/>
        <v>54.664435824851296</v>
      </c>
      <c r="AA49" s="114">
        <f>Z49/$Z$48*10^3</f>
        <v>93.519236955665875</v>
      </c>
    </row>
    <row r="50" spans="3:27" ht="20.100000000000001" customHeight="1">
      <c r="C50" s="49" t="s">
        <v>110</v>
      </c>
      <c r="D50" s="49" t="s">
        <v>111</v>
      </c>
      <c r="F50" s="163">
        <f>P9-U9</f>
        <v>2393.2599819929223</v>
      </c>
      <c r="K50" s="172" t="s">
        <v>44</v>
      </c>
      <c r="L50" s="175">
        <f>L46*1.7</f>
        <v>247.02929363068725</v>
      </c>
      <c r="N50" s="49" t="s">
        <v>123</v>
      </c>
      <c r="P50" s="170">
        <f>V9</f>
        <v>6.4647780198531546</v>
      </c>
      <c r="T50" s="80" t="s">
        <v>50</v>
      </c>
      <c r="U50" s="91">
        <v>44</v>
      </c>
      <c r="V50" s="114">
        <f>U50/$U$48*10^3</f>
        <v>366.66666666666663</v>
      </c>
      <c r="Y50" s="80" t="s">
        <v>50</v>
      </c>
      <c r="Z50" s="91">
        <f t="shared" si="4"/>
        <v>42.732629827385615</v>
      </c>
      <c r="AA50" s="114">
        <f>Z50/$Z$48*10^3</f>
        <v>73.106451649305058</v>
      </c>
    </row>
    <row r="51" spans="3:27">
      <c r="T51" s="80" t="s">
        <v>3</v>
      </c>
      <c r="U51" s="91">
        <v>2</v>
      </c>
      <c r="V51" s="114">
        <f>U51/$U$48*10^3</f>
        <v>16.666666666666668</v>
      </c>
      <c r="Y51" s="80" t="s">
        <v>3</v>
      </c>
      <c r="Z51" s="91">
        <f t="shared" si="4"/>
        <v>62.980525841919061</v>
      </c>
      <c r="AA51" s="114">
        <f>Z51/$Z$48*10^3</f>
        <v>107.7463003308859</v>
      </c>
    </row>
    <row r="52" spans="3:27">
      <c r="T52" s="80" t="s">
        <v>4</v>
      </c>
      <c r="U52" s="91">
        <v>31</v>
      </c>
      <c r="V52" s="114">
        <f>U52/$U$48*10^3</f>
        <v>258.33333333333337</v>
      </c>
      <c r="Y52" s="80" t="s">
        <v>4</v>
      </c>
      <c r="Z52" s="91">
        <f t="shared" si="4"/>
        <v>61.248951876388176</v>
      </c>
      <c r="AA52" s="114">
        <f>Z52/$Z$48*10^3</f>
        <v>104.78394512598454</v>
      </c>
    </row>
    <row r="53" spans="3:27">
      <c r="T53" s="83" t="s">
        <v>5</v>
      </c>
      <c r="U53" s="94">
        <v>7</v>
      </c>
      <c r="V53" s="115">
        <f>U53/$U$48*10^3</f>
        <v>58.333333333333336</v>
      </c>
      <c r="Y53" s="83" t="s">
        <v>5</v>
      </c>
      <c r="Z53" s="94">
        <f t="shared" si="4"/>
        <v>19.611018581211773</v>
      </c>
      <c r="AA53" s="115">
        <f>Z53/$Z$48*10^3</f>
        <v>33.550286689404416</v>
      </c>
    </row>
  </sheetData>
  <mergeCells count="19">
    <mergeCell ref="U6:V6"/>
    <mergeCell ref="D20:E20"/>
    <mergeCell ref="H20:I20"/>
    <mergeCell ref="L20:M20"/>
    <mergeCell ref="Q20:R20"/>
    <mergeCell ref="D6:E6"/>
    <mergeCell ref="H6:I6"/>
    <mergeCell ref="L6:M6"/>
    <mergeCell ref="P6:Q6"/>
    <mergeCell ref="Y47:AA47"/>
    <mergeCell ref="Z48:AA48"/>
    <mergeCell ref="T47:V47"/>
    <mergeCell ref="G32:I32"/>
    <mergeCell ref="K32:M32"/>
    <mergeCell ref="O32:Q32"/>
    <mergeCell ref="U48:V48"/>
    <mergeCell ref="H33:I33"/>
    <mergeCell ref="L33:M33"/>
    <mergeCell ref="P33:Q33"/>
  </mergeCells>
  <phoneticPr fontId="1" type="noConversion"/>
  <conditionalFormatting sqref="AB6">
    <cfRule type="cellIs" dxfId="3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D52"/>
  <sheetViews>
    <sheetView view="pageBreakPreview" zoomScaleSheetLayoutView="100" workbookViewId="0">
      <selection activeCell="AB5" sqref="AB5:AB11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5.75" customHeight="1">
      <c r="A1" s="1"/>
      <c r="B1" s="23"/>
      <c r="C1" s="213" t="s">
        <v>151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203"/>
      <c r="X1" s="76"/>
    </row>
    <row r="2" spans="1:30" ht="16.5" customHeight="1">
      <c r="A2" s="2"/>
      <c r="B2" s="24"/>
      <c r="C2" s="212" t="s">
        <v>152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204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204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31"/>
      <c r="I4" s="102"/>
      <c r="J4" s="124"/>
      <c r="K4" s="109" t="s">
        <v>114</v>
      </c>
      <c r="L4" s="110"/>
      <c r="M4" s="111"/>
      <c r="N4" s="59"/>
      <c r="O4" s="103" t="s">
        <v>144</v>
      </c>
      <c r="P4" s="131"/>
      <c r="Q4" s="102"/>
      <c r="R4" s="57"/>
      <c r="S4" s="57"/>
      <c r="T4" s="103" t="s">
        <v>79</v>
      </c>
      <c r="U4" s="104"/>
      <c r="V4" s="105"/>
      <c r="W4" s="205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218">
        <v>23626</v>
      </c>
      <c r="E5" s="219"/>
      <c r="F5" s="123"/>
      <c r="G5" s="90" t="s">
        <v>74</v>
      </c>
      <c r="H5" s="218">
        <f>D5+D19</f>
        <v>23906.676162516265</v>
      </c>
      <c r="I5" s="219"/>
      <c r="J5" s="125"/>
      <c r="K5" s="79" t="s">
        <v>74</v>
      </c>
      <c r="L5" s="218">
        <f>L8/M8*10^3</f>
        <v>111.61770760786197</v>
      </c>
      <c r="M5" s="219"/>
      <c r="N5" s="116" t="s">
        <v>77</v>
      </c>
      <c r="O5" s="130" t="s">
        <v>74</v>
      </c>
      <c r="P5" s="218">
        <f t="shared" ref="P5:P10" si="0">H5-L5</f>
        <v>23795.058454908405</v>
      </c>
      <c r="Q5" s="219"/>
      <c r="R5" s="116" t="s">
        <v>77</v>
      </c>
      <c r="S5" s="59"/>
      <c r="T5" s="90" t="s">
        <v>74</v>
      </c>
      <c r="U5" s="218">
        <f>P5-Q19</f>
        <v>23608.223209180829</v>
      </c>
      <c r="V5" s="219"/>
      <c r="W5" s="100"/>
      <c r="X5" s="59"/>
      <c r="Z5" s="113" t="s">
        <v>84</v>
      </c>
      <c r="AA5" s="157">
        <f>P32-L32</f>
        <v>180.832061479781</v>
      </c>
      <c r="AB5" s="157">
        <v>180.83206363693552</v>
      </c>
      <c r="AD5" s="132">
        <f>AA5-AB5</f>
        <v>-2.157154511905901E-6</v>
      </c>
    </row>
    <row r="6" spans="1:30" s="53" customFormat="1" ht="12" customHeight="1">
      <c r="A6" s="58"/>
      <c r="B6" s="59"/>
      <c r="C6" s="80" t="s">
        <v>2</v>
      </c>
      <c r="D6" s="91">
        <f>$D$5*E6/10^3</f>
        <v>5693.866</v>
      </c>
      <c r="E6" s="97">
        <v>241</v>
      </c>
      <c r="F6" s="123"/>
      <c r="G6" s="93" t="s">
        <v>2</v>
      </c>
      <c r="H6" s="91">
        <f>$H$5*I6/10^3</f>
        <v>6226.0564797226134</v>
      </c>
      <c r="I6" s="97">
        <f>($D$5*E6+$D$19*E20)/$H$5</f>
        <v>260.43170691727386</v>
      </c>
      <c r="J6" s="126"/>
      <c r="K6" s="80" t="s">
        <v>2</v>
      </c>
      <c r="L6" s="91">
        <f>H6*N6</f>
        <v>1867.8169439167839</v>
      </c>
      <c r="M6" s="82">
        <f>L6/$L$5*10^3</f>
        <v>16734.055768990023</v>
      </c>
      <c r="N6" s="117">
        <v>0.3</v>
      </c>
      <c r="O6" s="93" t="s">
        <v>2</v>
      </c>
      <c r="P6" s="91">
        <f t="shared" si="0"/>
        <v>4358.2395358058293</v>
      </c>
      <c r="Q6" s="97">
        <f>P6/$P$5*10^3</f>
        <v>183.1573368085935</v>
      </c>
      <c r="R6" s="120">
        <v>0.94499999999999995</v>
      </c>
      <c r="S6" s="59"/>
      <c r="T6" s="93" t="s">
        <v>2</v>
      </c>
      <c r="U6" s="91">
        <f>P6*(1-R6)</f>
        <v>239.70317446932083</v>
      </c>
      <c r="V6" s="97">
        <f>U6/$U$5*10^3</f>
        <v>10.153376319150711</v>
      </c>
      <c r="W6" s="100"/>
      <c r="X6" s="59"/>
      <c r="Z6" s="113" t="s">
        <v>86</v>
      </c>
      <c r="AA6" s="157">
        <f>L32-H32</f>
        <v>99.844097972927116</v>
      </c>
      <c r="AB6" s="157">
        <v>99.844098879330744</v>
      </c>
      <c r="AD6" s="132">
        <f t="shared" ref="AD6:AD11" si="1">AA6-AB6</f>
        <v>-9.0640362770955107E-7</v>
      </c>
    </row>
    <row r="7" spans="1:30" s="53" customFormat="1" ht="12" customHeight="1">
      <c r="A7" s="58"/>
      <c r="B7" s="59"/>
      <c r="C7" s="80" t="s">
        <v>50</v>
      </c>
      <c r="D7" s="91">
        <f>$D$5*E7/10^3</f>
        <v>4796.0780000000004</v>
      </c>
      <c r="E7" s="97">
        <v>203</v>
      </c>
      <c r="F7" s="123"/>
      <c r="G7" s="93" t="s">
        <v>50</v>
      </c>
      <c r="H7" s="91">
        <f>$H$5*I7/10^3</f>
        <v>5303.7796220346245</v>
      </c>
      <c r="I7" s="97">
        <f>($D$5*E7+$D$19*E21)/$H$5</f>
        <v>221.85349339154564</v>
      </c>
      <c r="J7" s="126"/>
      <c r="K7" s="80" t="s">
        <v>50</v>
      </c>
      <c r="L7" s="91">
        <f>H7*N7</f>
        <v>1591.1338866103872</v>
      </c>
      <c r="M7" s="82">
        <f>L7/$L$5*10^3</f>
        <v>14255.210223456632</v>
      </c>
      <c r="N7" s="118">
        <v>0.3</v>
      </c>
      <c r="O7" s="93" t="s">
        <v>50</v>
      </c>
      <c r="P7" s="91">
        <f t="shared" si="0"/>
        <v>3712.6457354242375</v>
      </c>
      <c r="Q7" s="97">
        <f>P7/$P$5*10^3</f>
        <v>156.02591363495472</v>
      </c>
      <c r="R7" s="120">
        <v>0.9</v>
      </c>
      <c r="S7" s="59"/>
      <c r="T7" s="93" t="s">
        <v>50</v>
      </c>
      <c r="U7" s="91">
        <f>P7*(1-R7)</f>
        <v>371.26457354242365</v>
      </c>
      <c r="V7" s="97">
        <f>U7/$U$5*10^3</f>
        <v>15.726070117722594</v>
      </c>
      <c r="W7" s="100"/>
      <c r="X7" s="59"/>
      <c r="Z7" s="113" t="s">
        <v>93</v>
      </c>
      <c r="AA7" s="158">
        <f>D20/$D$19*10^3</f>
        <v>1896.101628243613</v>
      </c>
      <c r="AB7" s="158">
        <v>1896.1014535453166</v>
      </c>
      <c r="AD7" s="132">
        <f t="shared" si="1"/>
        <v>1.7469829640504031E-4</v>
      </c>
    </row>
    <row r="8" spans="1:30" s="53" customFormat="1" ht="12" customHeight="1">
      <c r="A8" s="58"/>
      <c r="B8" s="59"/>
      <c r="C8" s="80" t="s">
        <v>3</v>
      </c>
      <c r="D8" s="91">
        <f>$D$5*E8/10^3</f>
        <v>5764.7439999999997</v>
      </c>
      <c r="E8" s="97">
        <v>244</v>
      </c>
      <c r="F8" s="123"/>
      <c r="G8" s="93" t="s">
        <v>3</v>
      </c>
      <c r="H8" s="91">
        <f>$H$5*I8/10^3</f>
        <v>6697.0624564717191</v>
      </c>
      <c r="I8" s="97">
        <f>($D$5*E8+$D$19*E22)/$H$5</f>
        <v>280.13356649604731</v>
      </c>
      <c r="J8" s="126"/>
      <c r="K8" s="80" t="s">
        <v>3</v>
      </c>
      <c r="L8" s="91">
        <f>H8*N8</f>
        <v>3348.5312282358595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3348.5312282358595</v>
      </c>
      <c r="Q8" s="97">
        <f>P8/$P$5*10^3</f>
        <v>140.72380761666631</v>
      </c>
      <c r="R8" s="120">
        <v>0.95</v>
      </c>
      <c r="S8" s="59"/>
      <c r="T8" s="93" t="s">
        <v>3</v>
      </c>
      <c r="U8" s="91">
        <f>P8*(1-R8)</f>
        <v>167.42656141179313</v>
      </c>
      <c r="V8" s="97">
        <f>U8/$U$5*10^3</f>
        <v>7.091874722138507</v>
      </c>
      <c r="W8" s="100"/>
      <c r="X8" s="59"/>
      <c r="Z8" s="59"/>
      <c r="AA8" s="158">
        <f>D21/$D$19*10^3</f>
        <v>1808.8521074083158</v>
      </c>
      <c r="AB8" s="158">
        <v>1808.8519434036396</v>
      </c>
      <c r="AD8" s="132">
        <f t="shared" si="1"/>
        <v>1.6400467620769632E-4</v>
      </c>
    </row>
    <row r="9" spans="1:30" s="53" customFormat="1" ht="12" customHeight="1">
      <c r="A9" s="58"/>
      <c r="B9" s="59"/>
      <c r="C9" s="80" t="s">
        <v>4</v>
      </c>
      <c r="D9" s="91">
        <f>$D$5*E9/10^3</f>
        <v>1164.7618</v>
      </c>
      <c r="E9" s="98">
        <v>49.3</v>
      </c>
      <c r="F9" s="123"/>
      <c r="G9" s="93" t="s">
        <v>4</v>
      </c>
      <c r="H9" s="91">
        <f>$H$5*I9/10^3</f>
        <v>1229.0224450597109</v>
      </c>
      <c r="I9" s="97">
        <f>($D$5*E9+$D$19*E23)/$H$5</f>
        <v>51.40917276433094</v>
      </c>
      <c r="J9" s="127"/>
      <c r="K9" s="80" t="s">
        <v>4</v>
      </c>
      <c r="L9" s="91">
        <f>H9*N9</f>
        <v>184.35336675895664</v>
      </c>
      <c r="M9" s="114">
        <f>L9/$L$5*10^3</f>
        <v>1651.6498207133168</v>
      </c>
      <c r="N9" s="118">
        <v>0.15</v>
      </c>
      <c r="O9" s="93" t="s">
        <v>4</v>
      </c>
      <c r="P9" s="91">
        <f t="shared" si="0"/>
        <v>1044.6690783007543</v>
      </c>
      <c r="Q9" s="98">
        <f>P9/$P$5*10^3</f>
        <v>43.902774194919523</v>
      </c>
      <c r="R9" s="120">
        <v>0.75</v>
      </c>
      <c r="S9" s="59"/>
      <c r="T9" s="93" t="s">
        <v>4</v>
      </c>
      <c r="U9" s="91">
        <f>P9*(1-R9)</f>
        <v>261.16726957518858</v>
      </c>
      <c r="V9" s="98">
        <f>U9/$U$5*10^3</f>
        <v>11.062555079266836</v>
      </c>
      <c r="W9" s="100"/>
      <c r="X9" s="59"/>
      <c r="Z9" s="59"/>
      <c r="AA9" s="158">
        <f>D22/$D$19*10^3</f>
        <v>3321.6876399392804</v>
      </c>
      <c r="AB9" s="158">
        <v>3321.6873428561598</v>
      </c>
      <c r="AD9" s="132">
        <f t="shared" si="1"/>
        <v>2.9708312058573938E-4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181.92020000000002</v>
      </c>
      <c r="E10" s="99">
        <v>7.7</v>
      </c>
      <c r="F10" s="123"/>
      <c r="G10" s="96" t="s">
        <v>5</v>
      </c>
      <c r="H10" s="94">
        <f>$H$5*I10/10^3</f>
        <v>217.18864324807754</v>
      </c>
      <c r="I10" s="122">
        <f>($D$5*E10+$D$19*E24)/$H$5</f>
        <v>9.0848531921226154</v>
      </c>
      <c r="J10" s="127"/>
      <c r="K10" s="83" t="s">
        <v>5</v>
      </c>
      <c r="L10" s="94">
        <f>H10*N10</f>
        <v>32.578296487211631</v>
      </c>
      <c r="M10" s="115">
        <f>L10/L5*10^3</f>
        <v>291.87390769273355</v>
      </c>
      <c r="N10" s="119">
        <v>0.15</v>
      </c>
      <c r="O10" s="96" t="s">
        <v>5</v>
      </c>
      <c r="P10" s="94">
        <f t="shared" si="0"/>
        <v>184.61034676086592</v>
      </c>
      <c r="Q10" s="99">
        <f>P10/$P$5*10^3</f>
        <v>7.7583481087345181</v>
      </c>
      <c r="R10" s="121">
        <f>Q24/P10</f>
        <v>0.81595866978717935</v>
      </c>
      <c r="S10" s="59"/>
      <c r="T10" s="96" t="s">
        <v>5</v>
      </c>
      <c r="U10" s="94">
        <f>P10-Q24</f>
        <v>33.97593378891986</v>
      </c>
      <c r="V10" s="99">
        <f>U10/$U$5*10^3</f>
        <v>1.4391567500813534</v>
      </c>
      <c r="W10" s="100"/>
      <c r="X10" s="59"/>
      <c r="Z10" s="59"/>
      <c r="AA10" s="158">
        <f>D23/$D$19*10^3</f>
        <v>228.94944254278005</v>
      </c>
      <c r="AB10" s="158">
        <v>228.94942158113122</v>
      </c>
      <c r="AD10" s="132">
        <f t="shared" si="1"/>
        <v>2.0961648829143087E-5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206"/>
      <c r="X11" s="59"/>
      <c r="Z11" s="59"/>
      <c r="AA11" s="158">
        <f>D24/$D$19*10^3</f>
        <v>125.65529703237236</v>
      </c>
      <c r="AB11" s="158">
        <v>125.6552851937812</v>
      </c>
      <c r="AD11" s="132">
        <f t="shared" si="1"/>
        <v>1.1838591163382262E-5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/>
      <c r="I12" s="167" t="s">
        <v>147</v>
      </c>
      <c r="J12" s="168"/>
      <c r="K12" s="86"/>
      <c r="L12" s="87"/>
      <c r="M12" s="59"/>
      <c r="N12" s="85" t="s">
        <v>81</v>
      </c>
      <c r="O12" s="86"/>
      <c r="P12" s="87"/>
      <c r="Q12" s="59"/>
      <c r="R12" s="191" t="s">
        <v>137</v>
      </c>
      <c r="S12" s="192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93"/>
      <c r="S13" s="194"/>
      <c r="T13" s="177"/>
      <c r="U13" s="59"/>
      <c r="V13" s="59"/>
      <c r="W13" s="100"/>
      <c r="X13" s="59"/>
    </row>
    <row r="14" spans="1:30" s="53" customFormat="1" ht="12" customHeight="1" thickBo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 t="s">
        <v>143</v>
      </c>
      <c r="M15" s="24"/>
      <c r="N15" s="24"/>
      <c r="O15" s="24"/>
      <c r="P15" s="76"/>
      <c r="Q15" s="24"/>
      <c r="R15" s="24"/>
      <c r="S15" s="76"/>
      <c r="T15" s="198" t="s">
        <v>141</v>
      </c>
      <c r="U15" s="199"/>
      <c r="V15" s="199"/>
      <c r="W15" s="207"/>
      <c r="X15" s="24"/>
      <c r="Y15"/>
      <c r="Z15"/>
      <c r="AA15"/>
      <c r="AB15"/>
      <c r="AC15"/>
    </row>
    <row r="16" spans="1:30" ht="12" customHeight="1" thickBo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88" t="s">
        <v>134</v>
      </c>
      <c r="U16" s="189">
        <f>U10*W16</f>
        <v>15.289170205013937</v>
      </c>
      <c r="V16" s="197">
        <f>U16/$U$19*10^3</f>
        <v>0.66765003869753503</v>
      </c>
      <c r="W16" s="208">
        <v>0.45</v>
      </c>
      <c r="X16" s="24"/>
      <c r="Y16"/>
      <c r="Z16"/>
      <c r="AA16"/>
      <c r="AB16"/>
      <c r="AC16"/>
    </row>
    <row r="17" spans="1:29" s="53" customFormat="1" ht="12" customHeight="1" thickBo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100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128</v>
      </c>
      <c r="Q18" s="110"/>
      <c r="R18" s="111"/>
      <c r="S18" s="59"/>
      <c r="T18" s="182" t="s">
        <v>138</v>
      </c>
      <c r="U18" s="183"/>
      <c r="V18" s="184"/>
      <c r="W18" s="209" t="s">
        <v>77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22">
        <f t="shared" ref="D19:D24" si="2">H19+L19</f>
        <v>280.67616251626623</v>
      </c>
      <c r="E19" s="219"/>
      <c r="F19" s="59"/>
      <c r="G19" s="112" t="s">
        <v>74</v>
      </c>
      <c r="H19" s="222">
        <f>AB6</f>
        <v>99.844098879330744</v>
      </c>
      <c r="I19" s="219"/>
      <c r="J19" s="59"/>
      <c r="K19" s="79" t="s">
        <v>74</v>
      </c>
      <c r="L19" s="222">
        <f>AB5</f>
        <v>180.83206363693552</v>
      </c>
      <c r="M19" s="219"/>
      <c r="N19" s="59"/>
      <c r="O19" s="59"/>
      <c r="P19" s="79" t="s">
        <v>74</v>
      </c>
      <c r="Q19" s="218">
        <f>Q22/R22*10^3</f>
        <v>186.83524572757617</v>
      </c>
      <c r="R19" s="219"/>
      <c r="S19" s="59"/>
      <c r="T19" s="185" t="s">
        <v>129</v>
      </c>
      <c r="U19" s="202">
        <f>U5-Z35</f>
        <v>22899.976512905403</v>
      </c>
      <c r="V19" s="200"/>
      <c r="W19" s="210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si="2"/>
        <v>532.1905287562613</v>
      </c>
      <c r="E20" s="114">
        <f>AB7</f>
        <v>1896.1014535453166</v>
      </c>
      <c r="F20" s="59"/>
      <c r="G20" s="80" t="s">
        <v>2</v>
      </c>
      <c r="H20" s="81">
        <f>L33-H33</f>
        <v>117.49661024488887</v>
      </c>
      <c r="I20" s="114">
        <f>H20/$H$19*10^3</f>
        <v>1176.8007480030699</v>
      </c>
      <c r="J20" s="59"/>
      <c r="K20" s="80" t="s">
        <v>2</v>
      </c>
      <c r="L20" s="81">
        <f>P33-L33</f>
        <v>414.69391851137243</v>
      </c>
      <c r="M20" s="92">
        <f>L20/$L$19*10^3</f>
        <v>2293.2543608193937</v>
      </c>
      <c r="N20" s="59"/>
      <c r="O20" s="59"/>
      <c r="P20" s="80" t="s">
        <v>2</v>
      </c>
      <c r="Q20" s="91">
        <f>Q22*0.6</f>
        <v>896.80917949236562</v>
      </c>
      <c r="R20" s="82">
        <f>Q20/$Q$19*10^3</f>
        <v>4800</v>
      </c>
      <c r="S20" s="59"/>
      <c r="T20" s="186" t="s">
        <v>130</v>
      </c>
      <c r="U20" s="91">
        <f>U6-Z36</f>
        <v>167.7922221285246</v>
      </c>
      <c r="V20" s="201">
        <f>U20/$U$19*10^3</f>
        <v>7.3271787870159777</v>
      </c>
      <c r="W20" s="210">
        <v>0.3</v>
      </c>
      <c r="X20" s="59"/>
      <c r="Y20" s="180">
        <f>1-(U20/D6)</f>
        <v>0.9705310553271671</v>
      </c>
    </row>
    <row r="21" spans="1:29" s="53" customFormat="1" ht="12" customHeight="1">
      <c r="A21" s="58"/>
      <c r="B21" s="59"/>
      <c r="C21" s="80" t="s">
        <v>50</v>
      </c>
      <c r="D21" s="81">
        <f t="shared" si="2"/>
        <v>507.7016680668271</v>
      </c>
      <c r="E21" s="114">
        <f>AB8</f>
        <v>1808.8519434036396</v>
      </c>
      <c r="F21" s="59"/>
      <c r="G21" s="80" t="s">
        <v>50</v>
      </c>
      <c r="H21" s="81">
        <f>L34-H34</f>
        <v>112.08997866410482</v>
      </c>
      <c r="I21" s="114">
        <f>H21/$H$19*10^3</f>
        <v>1122.6500105887496</v>
      </c>
      <c r="J21" s="59"/>
      <c r="K21" s="80" t="s">
        <v>50</v>
      </c>
      <c r="L21" s="81">
        <f>P34-L34</f>
        <v>395.61168940272228</v>
      </c>
      <c r="M21" s="92">
        <f>L21/$L$19*10^3</f>
        <v>2187.7297722875587</v>
      </c>
      <c r="N21" s="59"/>
      <c r="O21" s="59"/>
      <c r="P21" s="80" t="s">
        <v>50</v>
      </c>
      <c r="Q21" s="91">
        <f>Q22*0.7</f>
        <v>1046.2773760744265</v>
      </c>
      <c r="R21" s="82">
        <f>Q21/$Q$19*10^3</f>
        <v>5600</v>
      </c>
      <c r="S21" s="59"/>
      <c r="T21" s="186" t="s">
        <v>131</v>
      </c>
      <c r="U21" s="91">
        <f>U7-Z37</f>
        <v>315.57488751106013</v>
      </c>
      <c r="V21" s="201">
        <f>U21/$U$19*10^3</f>
        <v>13.780576907282688</v>
      </c>
      <c r="W21" s="210">
        <v>0.15</v>
      </c>
      <c r="X21" s="59"/>
      <c r="Y21" s="180">
        <f>1-(U21/D7)</f>
        <v>0.93420146888539757</v>
      </c>
    </row>
    <row r="22" spans="1:29" s="53" customFormat="1" ht="12" customHeight="1">
      <c r="A22" s="58"/>
      <c r="B22" s="59"/>
      <c r="C22" s="80" t="s">
        <v>3</v>
      </c>
      <c r="D22" s="81">
        <f t="shared" si="2"/>
        <v>932.31853985587031</v>
      </c>
      <c r="E22" s="114">
        <f>AB9</f>
        <v>3321.6873428561598</v>
      </c>
      <c r="F22" s="59"/>
      <c r="G22" s="80" t="s">
        <v>3</v>
      </c>
      <c r="H22" s="81">
        <f>L35-H35</f>
        <v>205.8365607474002</v>
      </c>
      <c r="I22" s="114">
        <f>H22/$H$19*10^3</f>
        <v>2061.57963322569</v>
      </c>
      <c r="J22" s="59"/>
      <c r="K22" s="80" t="s">
        <v>3</v>
      </c>
      <c r="L22" s="81">
        <f>P35-L35</f>
        <v>726.48197910847011</v>
      </c>
      <c r="M22" s="92">
        <f>L22/$L$19*10^3</f>
        <v>4017.4400739409793</v>
      </c>
      <c r="N22" s="59"/>
      <c r="O22" s="59"/>
      <c r="P22" s="80" t="s">
        <v>3</v>
      </c>
      <c r="Q22" s="91">
        <f>I42</f>
        <v>1494.6819658206093</v>
      </c>
      <c r="R22" s="82">
        <f>참조!D52*10^6</f>
        <v>8000</v>
      </c>
      <c r="S22" s="59"/>
      <c r="T22" s="186" t="s">
        <v>132</v>
      </c>
      <c r="U22" s="91">
        <f>U8-Z38</f>
        <v>83.713280705896565</v>
      </c>
      <c r="V22" s="201">
        <f>U22/$U$19*10^3</f>
        <v>3.6556055268755192</v>
      </c>
      <c r="W22" s="210">
        <v>0.5</v>
      </c>
      <c r="X22" s="59"/>
      <c r="Y22" s="180">
        <f>1-(U22/D8)</f>
        <v>0.98547840446932311</v>
      </c>
    </row>
    <row r="23" spans="1:29" s="53" customFormat="1" ht="12" customHeight="1">
      <c r="A23" s="58"/>
      <c r="B23" s="59"/>
      <c r="C23" s="80" t="s">
        <v>4</v>
      </c>
      <c r="D23" s="81">
        <f t="shared" si="2"/>
        <v>64.26065094314589</v>
      </c>
      <c r="E23" s="114">
        <f>AB10</f>
        <v>228.94942158113122</v>
      </c>
      <c r="F23" s="59"/>
      <c r="G23" s="80" t="s">
        <v>4</v>
      </c>
      <c r="H23" s="81">
        <f>L36-H36</f>
        <v>14.187416441993264</v>
      </c>
      <c r="I23" s="114">
        <f>H23/$H$19*10^3</f>
        <v>142.09569319805115</v>
      </c>
      <c r="J23" s="59"/>
      <c r="K23" s="80" t="s">
        <v>4</v>
      </c>
      <c r="L23" s="81">
        <f>P36-L36</f>
        <v>50.073234501152626</v>
      </c>
      <c r="M23" s="92">
        <f>L23/$L$19*10^3</f>
        <v>276.90462351680537</v>
      </c>
      <c r="N23" s="59"/>
      <c r="O23" s="59"/>
      <c r="P23" s="80" t="s">
        <v>4</v>
      </c>
      <c r="Q23" s="91">
        <f>Q22*AC31</f>
        <v>149.46819658206093</v>
      </c>
      <c r="R23" s="114">
        <f>Q23/$Q$19*10^3</f>
        <v>799.99999999999989</v>
      </c>
      <c r="S23" s="59"/>
      <c r="T23" s="186" t="s">
        <v>133</v>
      </c>
      <c r="U23" s="91">
        <f>U9*(1-W23)</f>
        <v>182.81708870263199</v>
      </c>
      <c r="V23" s="187">
        <f>U23/$U$19*10^3</f>
        <v>7.9832871706049335</v>
      </c>
      <c r="W23" s="210">
        <v>0.3</v>
      </c>
      <c r="X23" s="59"/>
      <c r="Y23" s="180">
        <f>1-(U23/D9)</f>
        <v>0.84304336843581928</v>
      </c>
    </row>
    <row r="24" spans="1:29" s="53" customFormat="1" ht="12" customHeight="1" thickBot="1">
      <c r="A24" s="58"/>
      <c r="B24" s="59"/>
      <c r="C24" s="83" t="s">
        <v>5</v>
      </c>
      <c r="D24" s="84">
        <f t="shared" si="2"/>
        <v>35.268446570887846</v>
      </c>
      <c r="E24" s="115">
        <f>AB11</f>
        <v>125.6552851937812</v>
      </c>
      <c r="F24" s="59"/>
      <c r="G24" s="83" t="s">
        <v>5</v>
      </c>
      <c r="H24" s="84">
        <f>L37-H37</f>
        <v>7.7865401520141972</v>
      </c>
      <c r="I24" s="115">
        <f>H24/$H$19*10^3</f>
        <v>77.986984102333665</v>
      </c>
      <c r="J24" s="59"/>
      <c r="K24" s="83" t="s">
        <v>5</v>
      </c>
      <c r="L24" s="84">
        <f>P37-L37</f>
        <v>27.481906418873649</v>
      </c>
      <c r="M24" s="95">
        <f>L24/$L$19*10^3</f>
        <v>151.97474311884358</v>
      </c>
      <c r="N24" s="59"/>
      <c r="O24" s="59"/>
      <c r="P24" s="83" t="s">
        <v>5</v>
      </c>
      <c r="Q24" s="94">
        <f>U44</f>
        <v>150.63441297194606</v>
      </c>
      <c r="R24" s="115">
        <f>Q24/Q19*10^3</f>
        <v>806.24195068411007</v>
      </c>
      <c r="S24" s="59"/>
      <c r="T24" s="188" t="s">
        <v>134</v>
      </c>
      <c r="U24" s="189">
        <f>U10-U16</f>
        <v>18.686763583905922</v>
      </c>
      <c r="V24" s="190">
        <f>U24/$U$19*10^3</f>
        <v>0.81601671396365394</v>
      </c>
      <c r="W24" s="211">
        <f>W16</f>
        <v>0.45</v>
      </c>
      <c r="X24" s="59"/>
      <c r="Y24" s="181">
        <f>1-(U24/D10)</f>
        <v>0.8972804362357456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>P32/D5*100</f>
        <v>1.2632394537180993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145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F31" s="59"/>
      <c r="G31" s="215" t="s">
        <v>87</v>
      </c>
      <c r="H31" s="216"/>
      <c r="I31" s="217"/>
      <c r="J31" s="59"/>
      <c r="K31" s="215" t="s">
        <v>145</v>
      </c>
      <c r="L31" s="216"/>
      <c r="M31" s="217"/>
      <c r="N31" s="59"/>
      <c r="O31" s="215" t="s">
        <v>88</v>
      </c>
      <c r="P31" s="216"/>
      <c r="Q31" s="217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>P37/P35*100</f>
        <v>3.7828751722925191</v>
      </c>
      <c r="AC31" s="164">
        <v>0.1</v>
      </c>
    </row>
    <row r="32" spans="1:29" s="53" customFormat="1" ht="12" customHeight="1" thickTop="1">
      <c r="A32" s="58"/>
      <c r="B32" s="59"/>
      <c r="F32" s="59"/>
      <c r="G32" s="112" t="s">
        <v>74</v>
      </c>
      <c r="H32" s="220">
        <f>H35/I35*10^3</f>
        <v>17.776793882729994</v>
      </c>
      <c r="I32" s="221"/>
      <c r="J32" s="59"/>
      <c r="K32" s="112" t="s">
        <v>74</v>
      </c>
      <c r="L32" s="222">
        <f>L35/M35*10^3</f>
        <v>117.62089185565711</v>
      </c>
      <c r="M32" s="219"/>
      <c r="N32" s="59"/>
      <c r="O32" s="79" t="s">
        <v>74</v>
      </c>
      <c r="P32" s="222">
        <f t="shared" ref="P32:P37" si="3">Q19+L5</f>
        <v>298.45295333543811</v>
      </c>
      <c r="Q32" s="219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>P37/P35/0.8*100</f>
        <v>4.7285939653656488</v>
      </c>
    </row>
    <row r="33" spans="1:27" s="53" customFormat="1" ht="12" customHeight="1">
      <c r="A33" s="58"/>
      <c r="B33" s="59"/>
      <c r="F33" s="59"/>
      <c r="G33" s="80" t="s">
        <v>2</v>
      </c>
      <c r="H33" s="81">
        <f>L33*$H$28</f>
        <v>2232.4355946528881</v>
      </c>
      <c r="I33" s="155">
        <f>H33/$H$32*10^3</f>
        <v>125581.4523912369</v>
      </c>
      <c r="J33" s="59"/>
      <c r="K33" s="80" t="s">
        <v>2</v>
      </c>
      <c r="L33" s="81">
        <f>P33*$L$28</f>
        <v>2349.932204897777</v>
      </c>
      <c r="M33" s="92">
        <f>L33/L32*10^3</f>
        <v>19978.867425878598</v>
      </c>
      <c r="N33" s="59"/>
      <c r="O33" s="80" t="s">
        <v>2</v>
      </c>
      <c r="P33" s="81">
        <f t="shared" si="3"/>
        <v>2764.6261234091494</v>
      </c>
      <c r="Q33" s="92">
        <f>P33/$P$32*10^3</f>
        <v>9263.1890303391392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F34" s="59"/>
      <c r="G34" s="80" t="s">
        <v>50</v>
      </c>
      <c r="H34" s="81">
        <f>L34*$H$28</f>
        <v>2129.7095946179866</v>
      </c>
      <c r="I34" s="155">
        <f>H34/$H$32*10^3</f>
        <v>119802.79507470588</v>
      </c>
      <c r="J34" s="59"/>
      <c r="K34" s="80" t="s">
        <v>50</v>
      </c>
      <c r="L34" s="81">
        <f>P34*$L$28</f>
        <v>2241.7995732820914</v>
      </c>
      <c r="M34" s="92">
        <f>L34/$L$32*10^3</f>
        <v>19059.535580066848</v>
      </c>
      <c r="N34" s="59"/>
      <c r="O34" s="80" t="s">
        <v>50</v>
      </c>
      <c r="P34" s="81">
        <f t="shared" si="3"/>
        <v>2637.4112626848137</v>
      </c>
      <c r="Q34" s="92">
        <f>P34/$P$32*10^3</f>
        <v>8836.9414114008341</v>
      </c>
      <c r="R34" s="59"/>
      <c r="S34" s="59"/>
      <c r="T34" s="59"/>
      <c r="U34" s="59"/>
      <c r="V34" s="59"/>
      <c r="W34" s="100"/>
      <c r="X34" s="59"/>
      <c r="Y34" s="215" t="s">
        <v>135</v>
      </c>
      <c r="Z34" s="216"/>
      <c r="AA34" s="217"/>
    </row>
    <row r="35" spans="1:27" s="53" customFormat="1" ht="12" customHeight="1" thickTop="1">
      <c r="A35" s="58"/>
      <c r="B35" s="59"/>
      <c r="F35" s="59"/>
      <c r="G35" s="80" t="s">
        <v>3</v>
      </c>
      <c r="H35" s="81">
        <f>L35*$H$28</f>
        <v>3910.8946542005983</v>
      </c>
      <c r="I35" s="155">
        <f>참조!G48*10^6</f>
        <v>220000</v>
      </c>
      <c r="J35" s="59"/>
      <c r="K35" s="80" t="s">
        <v>3</v>
      </c>
      <c r="L35" s="81">
        <f>P35*$L$28</f>
        <v>4116.7312149479985</v>
      </c>
      <c r="M35" s="92">
        <f>참조!D57*10^6</f>
        <v>35000</v>
      </c>
      <c r="N35" s="59"/>
      <c r="O35" s="80" t="s">
        <v>3</v>
      </c>
      <c r="P35" s="81">
        <f t="shared" si="3"/>
        <v>4843.2131940564686</v>
      </c>
      <c r="Q35" s="92">
        <f>P35/$P$32*10^3</f>
        <v>16227.727485789259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218">
        <f t="shared" ref="Z35:Z40" si="4">U5*W19</f>
        <v>708.24669627542482</v>
      </c>
      <c r="AA35" s="219"/>
    </row>
    <row r="36" spans="1:27" s="53" customFormat="1" ht="12" customHeight="1">
      <c r="A36" s="58"/>
      <c r="B36" s="59"/>
      <c r="F36" s="59"/>
      <c r="G36" s="80" t="s">
        <v>4</v>
      </c>
      <c r="H36" s="81">
        <f>L36*$H$28</f>
        <v>269.56091239787168</v>
      </c>
      <c r="I36" s="155">
        <f>H36/$H$32*10^3</f>
        <v>15163.640540364697</v>
      </c>
      <c r="J36" s="59"/>
      <c r="K36" s="80" t="s">
        <v>4</v>
      </c>
      <c r="L36" s="81">
        <f>P36*$L$28</f>
        <v>283.74832883986494</v>
      </c>
      <c r="M36" s="92">
        <f>L36/$L$32*10^3</f>
        <v>2412.3973586943835</v>
      </c>
      <c r="N36" s="59"/>
      <c r="O36" s="80" t="s">
        <v>4</v>
      </c>
      <c r="P36" s="81">
        <f t="shared" si="3"/>
        <v>333.82156334101757</v>
      </c>
      <c r="Q36" s="92">
        <f>P36/$P$32*10^3</f>
        <v>1118.5064835522933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si="4"/>
        <v>71.910952340796243</v>
      </c>
      <c r="AA36" s="114">
        <f>Z36/$Z$35*10^3</f>
        <v>101.53376319150711</v>
      </c>
    </row>
    <row r="37" spans="1:27" s="53" customFormat="1" ht="12" customHeight="1">
      <c r="A37" s="58"/>
      <c r="B37" s="59"/>
      <c r="F37" s="59"/>
      <c r="G37" s="83" t="s">
        <v>5</v>
      </c>
      <c r="H37" s="84">
        <f>L37*$H$28</f>
        <v>147.94426288826983</v>
      </c>
      <c r="I37" s="156">
        <f>H37/$H$32*10^3</f>
        <v>8322.3253790435429</v>
      </c>
      <c r="J37" s="59"/>
      <c r="K37" s="83" t="s">
        <v>5</v>
      </c>
      <c r="L37" s="84">
        <f>P37*$L$28</f>
        <v>155.73080304028403</v>
      </c>
      <c r="M37" s="95">
        <f>L37/$L$32*10^3</f>
        <v>1324.0063103023817</v>
      </c>
      <c r="N37" s="59"/>
      <c r="O37" s="83" t="s">
        <v>5</v>
      </c>
      <c r="P37" s="84">
        <f t="shared" si="3"/>
        <v>183.21270945915768</v>
      </c>
      <c r="Q37" s="95">
        <f>P37/$P$32*10^3</f>
        <v>613.87467408721113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si="4"/>
        <v>55.689686031363543</v>
      </c>
      <c r="AA37" s="114">
        <f>Z37/$Z$35*10^3</f>
        <v>78.63035058861297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si="4"/>
        <v>83.713280705896565</v>
      </c>
      <c r="AA38" s="114">
        <f>Z38/$Z$35*10^3</f>
        <v>118.19791203564178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si="4"/>
        <v>78.350180872556578</v>
      </c>
      <c r="AA39" s="114">
        <f>Z39/$Z$35*10^3</f>
        <v>110.62555079266838</v>
      </c>
    </row>
    <row r="40" spans="1:27" s="53" customFormat="1" ht="12" customHeight="1">
      <c r="Y40" s="83" t="s">
        <v>5</v>
      </c>
      <c r="Z40" s="94">
        <f t="shared" si="4"/>
        <v>15.289170205013937</v>
      </c>
      <c r="AA40" s="115">
        <f>Z40/$Z$35*10^3</f>
        <v>21.587351251220301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>(F44*F45)-(F46*G47)+(F48*F49)</f>
        <v>1494.6819658206093</v>
      </c>
      <c r="N42" s="49" t="s">
        <v>116</v>
      </c>
      <c r="R42" s="49" t="s">
        <v>124</v>
      </c>
      <c r="T42" s="49">
        <f>(P44/(1+(P45*P46))*P43*P47)</f>
        <v>5.3048810635884598</v>
      </c>
      <c r="U42" s="49">
        <f>P5*T42/10^3</f>
        <v>126.22995500442407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79.573215953826903</v>
      </c>
      <c r="T43" s="49">
        <f>L49*참조!H7*(P44/(1+P45*P46))*P48</f>
        <v>1.0256103389604359</v>
      </c>
      <c r="U43" s="49">
        <f>P5*T43/10^3</f>
        <v>24.404457967521992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183.1573368085935</v>
      </c>
      <c r="N44" s="49" t="s">
        <v>118</v>
      </c>
      <c r="P44" s="49">
        <f>0.4</f>
        <v>0.4</v>
      </c>
      <c r="U44" s="49">
        <f>SUM(U42:U43)</f>
        <v>150.63441297194606</v>
      </c>
    </row>
    <row r="45" spans="1:27" ht="20.100000000000001" customHeight="1">
      <c r="C45" s="49" t="s">
        <v>106</v>
      </c>
      <c r="D45" s="49" t="s">
        <v>100</v>
      </c>
      <c r="F45" s="163">
        <f>P6-U6</f>
        <v>4118.5363613365089</v>
      </c>
      <c r="K45" s="172" t="s">
        <v>43</v>
      </c>
      <c r="L45" s="175">
        <f>Q7</f>
        <v>156.02591363495472</v>
      </c>
      <c r="N45" s="49" t="s">
        <v>119</v>
      </c>
      <c r="P45" s="49">
        <f>0.08</f>
        <v>0.08</v>
      </c>
    </row>
    <row r="46" spans="1:27" ht="20.100000000000001" customHeight="1" thickBo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140.72380761666631</v>
      </c>
      <c r="N46" s="49" t="s">
        <v>120</v>
      </c>
      <c r="P46" s="49">
        <f>참조!I24</f>
        <v>10</v>
      </c>
      <c r="T46" s="215" t="s">
        <v>136</v>
      </c>
      <c r="U46" s="216"/>
      <c r="V46" s="217"/>
    </row>
    <row r="47" spans="1:27" ht="20.100000000000001" customHeight="1" thickTop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47590.11690981681</v>
      </c>
      <c r="K47" s="172" t="s">
        <v>4</v>
      </c>
      <c r="L47" s="175">
        <f>Q9</f>
        <v>43.902774194919523</v>
      </c>
      <c r="N47" s="49" t="s">
        <v>121</v>
      </c>
      <c r="P47" s="49">
        <f>0.3</f>
        <v>0.3</v>
      </c>
      <c r="T47" s="112" t="s">
        <v>74</v>
      </c>
      <c r="U47" s="218">
        <v>120</v>
      </c>
      <c r="V47" s="219"/>
    </row>
    <row r="48" spans="1:27" ht="20.100000000000001" customHeight="1" thickBot="1">
      <c r="C48" s="49" t="s">
        <v>109</v>
      </c>
      <c r="D48" s="49" t="s">
        <v>104</v>
      </c>
      <c r="F48" s="49">
        <v>0.7</v>
      </c>
      <c r="K48" s="173" t="s">
        <v>5</v>
      </c>
      <c r="L48" s="176">
        <f>Q10</f>
        <v>7.7583481087345181</v>
      </c>
      <c r="N48" s="49" t="s">
        <v>122</v>
      </c>
      <c r="P48" s="49">
        <v>0.02</v>
      </c>
      <c r="T48" s="80" t="s">
        <v>2</v>
      </c>
      <c r="U48" s="91">
        <v>27</v>
      </c>
      <c r="V48" s="114">
        <f>U48/$U$47*10^3</f>
        <v>225</v>
      </c>
    </row>
    <row r="49" spans="3:22" ht="20.100000000000001" customHeight="1">
      <c r="C49" s="49" t="s">
        <v>110</v>
      </c>
      <c r="D49" s="49" t="s">
        <v>111</v>
      </c>
      <c r="F49" s="163">
        <f>P8-U8</f>
        <v>3181.1046668240665</v>
      </c>
      <c r="K49" s="172" t="s">
        <v>44</v>
      </c>
      <c r="L49" s="175">
        <f>L45*1.7</f>
        <v>265.24405317942302</v>
      </c>
      <c r="N49" s="49" t="s">
        <v>123</v>
      </c>
      <c r="P49" s="170">
        <f>V8</f>
        <v>7.091874722138507</v>
      </c>
      <c r="T49" s="80" t="s">
        <v>50</v>
      </c>
      <c r="U49" s="91">
        <v>44</v>
      </c>
      <c r="V49" s="114">
        <f>U49/$U$47*10^3</f>
        <v>366.66666666666663</v>
      </c>
    </row>
    <row r="50" spans="3:22">
      <c r="T50" s="80" t="s">
        <v>3</v>
      </c>
      <c r="U50" s="91">
        <v>2</v>
      </c>
      <c r="V50" s="114">
        <f>U50/$U$47*10^3</f>
        <v>16.666666666666668</v>
      </c>
    </row>
    <row r="51" spans="3:22">
      <c r="T51" s="80" t="s">
        <v>4</v>
      </c>
      <c r="U51" s="91">
        <v>31</v>
      </c>
      <c r="V51" s="114">
        <f>U51/$U$47*10^3</f>
        <v>258.33333333333337</v>
      </c>
    </row>
    <row r="52" spans="3:22">
      <c r="T52" s="83" t="s">
        <v>5</v>
      </c>
      <c r="U52" s="94">
        <v>7</v>
      </c>
      <c r="V52" s="115">
        <f>U52/$U$47*10^3</f>
        <v>58.333333333333336</v>
      </c>
    </row>
  </sheetData>
  <mergeCells count="19">
    <mergeCell ref="Y34:AA34"/>
    <mergeCell ref="Z35:AA35"/>
    <mergeCell ref="T46:V46"/>
    <mergeCell ref="G31:I31"/>
    <mergeCell ref="K31:M31"/>
    <mergeCell ref="O31:Q31"/>
    <mergeCell ref="D5:E5"/>
    <mergeCell ref="H5:I5"/>
    <mergeCell ref="L5:M5"/>
    <mergeCell ref="P5:Q5"/>
    <mergeCell ref="U47:V47"/>
    <mergeCell ref="H32:I32"/>
    <mergeCell ref="L32:M32"/>
    <mergeCell ref="P32:Q32"/>
    <mergeCell ref="D19:E19"/>
    <mergeCell ref="H19:I19"/>
    <mergeCell ref="L19:M19"/>
    <mergeCell ref="Q19:R19"/>
    <mergeCell ref="U5:V5"/>
  </mergeCells>
  <phoneticPr fontId="1" type="noConversion"/>
  <conditionalFormatting sqref="AB5">
    <cfRule type="cellIs" dxfId="2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D52"/>
  <sheetViews>
    <sheetView tabSelected="1" view="pageBreakPreview" zoomScaleSheetLayoutView="100" workbookViewId="0">
      <selection activeCell="AE33" sqref="AE33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8" customHeight="1">
      <c r="A1" s="1"/>
      <c r="B1" s="23"/>
      <c r="C1" s="213" t="s">
        <v>150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203"/>
      <c r="X1" s="76"/>
    </row>
    <row r="2" spans="1:30" ht="16.5" customHeight="1">
      <c r="A2" s="2"/>
      <c r="B2" s="24"/>
      <c r="C2" s="212" t="s">
        <v>152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204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204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04"/>
      <c r="I4" s="105"/>
      <c r="J4" s="124"/>
      <c r="K4" s="109" t="s">
        <v>114</v>
      </c>
      <c r="L4" s="110"/>
      <c r="M4" s="111"/>
      <c r="N4" s="59"/>
      <c r="O4" s="103" t="s">
        <v>144</v>
      </c>
      <c r="P4" s="131"/>
      <c r="Q4" s="102"/>
      <c r="R4" s="57"/>
      <c r="S4" s="57"/>
      <c r="T4" s="103" t="s">
        <v>79</v>
      </c>
      <c r="U4" s="104"/>
      <c r="V4" s="105"/>
      <c r="W4" s="205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218">
        <v>23543</v>
      </c>
      <c r="E5" s="219"/>
      <c r="F5" s="123"/>
      <c r="G5" s="90" t="s">
        <v>74</v>
      </c>
      <c r="H5" s="218">
        <f>D5+D19</f>
        <v>23832.843717300922</v>
      </c>
      <c r="I5" s="219"/>
      <c r="J5" s="125"/>
      <c r="K5" s="79" t="s">
        <v>74</v>
      </c>
      <c r="L5" s="218">
        <f>L8/M8*10^3</f>
        <v>112.78458564543446</v>
      </c>
      <c r="M5" s="219"/>
      <c r="N5" s="116" t="s">
        <v>77</v>
      </c>
      <c r="O5" s="130" t="s">
        <v>74</v>
      </c>
      <c r="P5" s="218">
        <f t="shared" ref="P5:P10" si="0">H5-L5</f>
        <v>23720.059131655489</v>
      </c>
      <c r="Q5" s="219"/>
      <c r="R5" s="116" t="s">
        <v>77</v>
      </c>
      <c r="S5" s="59"/>
      <c r="T5" s="90" t="s">
        <v>74</v>
      </c>
      <c r="U5" s="218">
        <f>P5-Q19</f>
        <v>23524.848551582127</v>
      </c>
      <c r="V5" s="219"/>
      <c r="W5" s="100"/>
      <c r="X5" s="59"/>
      <c r="Z5" s="113" t="s">
        <v>84</v>
      </c>
      <c r="AA5" s="157">
        <f>P32-L32</f>
        <v>187.89691204858502</v>
      </c>
      <c r="AB5" s="157">
        <v>187.89674124457736</v>
      </c>
      <c r="AD5" s="132">
        <f>AA5-AB5</f>
        <v>1.7080400766644743E-4</v>
      </c>
    </row>
    <row r="6" spans="1:30" s="53" customFormat="1" ht="12" customHeight="1">
      <c r="A6" s="58"/>
      <c r="B6" s="59"/>
      <c r="C6" s="80" t="s">
        <v>2</v>
      </c>
      <c r="D6" s="91">
        <f>$D$5*E6/10^3</f>
        <v>5815.1210000000001</v>
      </c>
      <c r="E6" s="97">
        <v>247</v>
      </c>
      <c r="F6" s="123"/>
      <c r="G6" s="93" t="s">
        <v>2</v>
      </c>
      <c r="H6" s="91">
        <f>$H$5*I6/10^3</f>
        <v>6362.9556694105759</v>
      </c>
      <c r="I6" s="97">
        <f>($D$5*E6+$D$19*E20)/$H$5</f>
        <v>266.98264566689244</v>
      </c>
      <c r="J6" s="126"/>
      <c r="K6" s="80" t="s">
        <v>2</v>
      </c>
      <c r="L6" s="91">
        <f>H6*N6</f>
        <v>1908.8867008231728</v>
      </c>
      <c r="M6" s="82">
        <f>L6/$L$5*10^3</f>
        <v>16925.067285561683</v>
      </c>
      <c r="N6" s="117">
        <v>0.3</v>
      </c>
      <c r="O6" s="93" t="s">
        <v>2</v>
      </c>
      <c r="P6" s="91">
        <f t="shared" si="0"/>
        <v>4454.0689685874031</v>
      </c>
      <c r="Q6" s="97">
        <f>P6/$P$5*10^3</f>
        <v>187.77646985893247</v>
      </c>
      <c r="R6" s="120">
        <v>0.94499999999999995</v>
      </c>
      <c r="S6" s="59"/>
      <c r="T6" s="93" t="s">
        <v>2</v>
      </c>
      <c r="U6" s="91">
        <f>P6*(1-R6)</f>
        <v>244.97379327230738</v>
      </c>
      <c r="V6" s="97">
        <f>U6/$U$5*10^3</f>
        <v>10.413405754139577</v>
      </c>
      <c r="W6" s="100"/>
      <c r="X6" s="59"/>
      <c r="Z6" s="113" t="s">
        <v>86</v>
      </c>
      <c r="AA6" s="157">
        <f>L32-H32</f>
        <v>101.94704033141932</v>
      </c>
      <c r="AB6" s="157">
        <v>101.94697605634427</v>
      </c>
      <c r="AD6" s="132">
        <f t="shared" ref="AD6:AD11" si="1">AA6-AB6</f>
        <v>6.427507504724872E-5</v>
      </c>
    </row>
    <row r="7" spans="1:30" s="53" customFormat="1" ht="12" customHeight="1">
      <c r="A7" s="58"/>
      <c r="B7" s="59"/>
      <c r="C7" s="80" t="s">
        <v>50</v>
      </c>
      <c r="D7" s="91">
        <f>$D$5*E7/10^3</f>
        <v>4849.8580000000002</v>
      </c>
      <c r="E7" s="97">
        <v>206</v>
      </c>
      <c r="F7" s="123"/>
      <c r="G7" s="93" t="s">
        <v>50</v>
      </c>
      <c r="H7" s="91">
        <f>$H$5*I7/10^3</f>
        <v>5370.4371470821943</v>
      </c>
      <c r="I7" s="97">
        <f>($D$5*E7+$D$19*E21)/$H$5</f>
        <v>225.33765633614445</v>
      </c>
      <c r="J7" s="126"/>
      <c r="K7" s="80" t="s">
        <v>50</v>
      </c>
      <c r="L7" s="91">
        <f>H7*N7</f>
        <v>1611.1311441246582</v>
      </c>
      <c r="M7" s="82">
        <f>L7/$L$5*10^3</f>
        <v>14285.029597835624</v>
      </c>
      <c r="N7" s="118">
        <v>0.3</v>
      </c>
      <c r="O7" s="93" t="s">
        <v>50</v>
      </c>
      <c r="P7" s="91">
        <f t="shared" si="0"/>
        <v>3759.3060029575363</v>
      </c>
      <c r="Q7" s="97">
        <f>P7/$P$5*10^3</f>
        <v>158.48636725953909</v>
      </c>
      <c r="R7" s="120">
        <v>0.9</v>
      </c>
      <c r="S7" s="59"/>
      <c r="T7" s="93" t="s">
        <v>50</v>
      </c>
      <c r="U7" s="91">
        <f>P7*(1-R7)</f>
        <v>375.93060029575355</v>
      </c>
      <c r="V7" s="97">
        <f>U7/$U$5*10^3</f>
        <v>15.9801496477847</v>
      </c>
      <c r="W7" s="100"/>
      <c r="X7" s="59"/>
      <c r="Z7" s="113" t="s">
        <v>93</v>
      </c>
      <c r="AA7" s="158">
        <f>D20/$D$19*10^3</f>
        <v>1890.1057128227308</v>
      </c>
      <c r="AB7" s="158">
        <v>1890.10365486654</v>
      </c>
      <c r="AD7" s="132">
        <f t="shared" si="1"/>
        <v>2.057956190810728E-3</v>
      </c>
    </row>
    <row r="8" spans="1:30" s="53" customFormat="1" ht="12" customHeight="1">
      <c r="A8" s="58"/>
      <c r="B8" s="59"/>
      <c r="C8" s="80" t="s">
        <v>3</v>
      </c>
      <c r="D8" s="91">
        <f>$D$5*E8/10^3</f>
        <v>5815.1210000000001</v>
      </c>
      <c r="E8" s="97">
        <v>247</v>
      </c>
      <c r="F8" s="123"/>
      <c r="G8" s="93" t="s">
        <v>3</v>
      </c>
      <c r="H8" s="91">
        <f>$H$5*I8/10^3</f>
        <v>6767.075138726068</v>
      </c>
      <c r="I8" s="97">
        <f>($D$5*E8+$D$19*E22)/$H$5</f>
        <v>283.93905565762009</v>
      </c>
      <c r="J8" s="126"/>
      <c r="K8" s="80" t="s">
        <v>3</v>
      </c>
      <c r="L8" s="91">
        <f>H8*N8</f>
        <v>3383.537569363034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3383.537569363034</v>
      </c>
      <c r="Q8" s="97">
        <f>P8/$P$5*10^3</f>
        <v>142.64456722401465</v>
      </c>
      <c r="R8" s="120">
        <v>0.95</v>
      </c>
      <c r="S8" s="59"/>
      <c r="T8" s="93" t="s">
        <v>3</v>
      </c>
      <c r="U8" s="91">
        <f>P8*(1-R8)</f>
        <v>169.17687846815184</v>
      </c>
      <c r="V8" s="97">
        <f>U8/$U$5*10^3</f>
        <v>7.1914120125876053</v>
      </c>
      <c r="W8" s="100"/>
      <c r="X8" s="59"/>
      <c r="Z8" s="59"/>
      <c r="AA8" s="158">
        <f>D21/$D$19*10^3</f>
        <v>1796.0705010645654</v>
      </c>
      <c r="AB8" s="158">
        <v>1796.0684189739359</v>
      </c>
      <c r="AD8" s="132">
        <f t="shared" si="1"/>
        <v>2.0820906295284658E-3</v>
      </c>
    </row>
    <row r="9" spans="1:30" s="53" customFormat="1" ht="12" customHeight="1">
      <c r="A9" s="58"/>
      <c r="B9" s="59"/>
      <c r="C9" s="80" t="s">
        <v>4</v>
      </c>
      <c r="D9" s="91">
        <f>$D$5*E9/10^3</f>
        <v>1181.8586</v>
      </c>
      <c r="E9" s="98">
        <v>50.2</v>
      </c>
      <c r="F9" s="123"/>
      <c r="G9" s="93" t="s">
        <v>4</v>
      </c>
      <c r="H9" s="91">
        <f>$H$5*I9/10^3</f>
        <v>1247.9556758092738</v>
      </c>
      <c r="I9" s="97">
        <f>($D$5*E9+$D$19*E23)/$H$5</f>
        <v>52.362852314738589</v>
      </c>
      <c r="J9" s="127"/>
      <c r="K9" s="80" t="s">
        <v>4</v>
      </c>
      <c r="L9" s="91">
        <f>H9*N9</f>
        <v>187.19335137139106</v>
      </c>
      <c r="M9" s="114">
        <f>L9/$L$5*10^3</f>
        <v>1659.7423335834073</v>
      </c>
      <c r="N9" s="118">
        <v>0.15</v>
      </c>
      <c r="O9" s="93" t="s">
        <v>4</v>
      </c>
      <c r="P9" s="91">
        <f t="shared" si="0"/>
        <v>1060.7623244378826</v>
      </c>
      <c r="Q9" s="98">
        <f>P9/$P$5*10^3</f>
        <v>44.72005396572758</v>
      </c>
      <c r="R9" s="120">
        <v>0.75</v>
      </c>
      <c r="S9" s="59"/>
      <c r="T9" s="93" t="s">
        <v>4</v>
      </c>
      <c r="U9" s="91">
        <f>P9*(1-R9)</f>
        <v>265.19058110947066</v>
      </c>
      <c r="V9" s="98">
        <f>U9/$U$5*10^3</f>
        <v>11.272785902446785</v>
      </c>
      <c r="W9" s="100"/>
      <c r="X9" s="59"/>
      <c r="Z9" s="59"/>
      <c r="AA9" s="158">
        <f>D22/$D$19*10^3</f>
        <v>3284.3743665729503</v>
      </c>
      <c r="AB9" s="158">
        <v>3284.3704448412441</v>
      </c>
      <c r="AD9" s="132">
        <f t="shared" si="1"/>
        <v>3.9217317062139045E-3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183.6354</v>
      </c>
      <c r="E10" s="99">
        <v>7.8</v>
      </c>
      <c r="F10" s="123"/>
      <c r="G10" s="96" t="s">
        <v>5</v>
      </c>
      <c r="H10" s="94">
        <f>$H$5*I10/10^3</f>
        <v>219.33008113076653</v>
      </c>
      <c r="I10" s="122">
        <f>($D$5*E10+$D$19*E24)/$H$5</f>
        <v>9.202849803926199</v>
      </c>
      <c r="J10" s="127"/>
      <c r="K10" s="83" t="s">
        <v>5</v>
      </c>
      <c r="L10" s="94">
        <f>H10*N10</f>
        <v>32.899512169614979</v>
      </c>
      <c r="M10" s="115">
        <f>L10/L5*10^3</f>
        <v>291.70220364192789</v>
      </c>
      <c r="N10" s="119">
        <v>0.15</v>
      </c>
      <c r="O10" s="96" t="s">
        <v>5</v>
      </c>
      <c r="P10" s="94">
        <f t="shared" si="0"/>
        <v>186.43056896115155</v>
      </c>
      <c r="Q10" s="99">
        <f>P10/$P$5*10^3</f>
        <v>7.8596165349500149</v>
      </c>
      <c r="R10" s="121">
        <f>Q24/P10</f>
        <v>0.81814681149088186</v>
      </c>
      <c r="S10" s="59"/>
      <c r="T10" s="96" t="s">
        <v>5</v>
      </c>
      <c r="U10" s="94">
        <f>P10-Q24</f>
        <v>33.902993401154447</v>
      </c>
      <c r="V10" s="99">
        <f>U10/$U$5*10^3</f>
        <v>1.4411567125210827</v>
      </c>
      <c r="W10" s="100"/>
      <c r="X10" s="59"/>
      <c r="Z10" s="59"/>
      <c r="AA10" s="158">
        <f>D23/$D$19*10^3</f>
        <v>228.04409937120468</v>
      </c>
      <c r="AB10" s="158">
        <v>228.04384523073981</v>
      </c>
      <c r="AD10" s="132">
        <f t="shared" si="1"/>
        <v>2.5414046487526321E-4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206"/>
      <c r="X11" s="59"/>
      <c r="Z11" s="59"/>
      <c r="AA11" s="158">
        <f>D24/$D$19*10^3</f>
        <v>123.15158914033442</v>
      </c>
      <c r="AB11" s="158">
        <v>123.15147439855534</v>
      </c>
      <c r="AD11" s="132">
        <f t="shared" si="1"/>
        <v>1.1474177908610272E-4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/>
      <c r="I12" s="167" t="s">
        <v>147</v>
      </c>
      <c r="J12" s="168"/>
      <c r="K12" s="86"/>
      <c r="L12" s="87"/>
      <c r="M12" s="59"/>
      <c r="N12" s="85" t="s">
        <v>81</v>
      </c>
      <c r="O12" s="86"/>
      <c r="P12" s="87"/>
      <c r="Q12" s="59"/>
      <c r="R12" s="191" t="s">
        <v>137</v>
      </c>
      <c r="S12" s="192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93"/>
      <c r="S13" s="194"/>
      <c r="T13" s="177"/>
      <c r="U13" s="59"/>
      <c r="V13" s="59"/>
      <c r="W13" s="100"/>
      <c r="X13" s="59"/>
    </row>
    <row r="14" spans="1:30" s="53" customFormat="1" ht="12" customHeight="1" thickBo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 t="s">
        <v>143</v>
      </c>
      <c r="M15" s="24"/>
      <c r="N15" s="24"/>
      <c r="O15" s="24"/>
      <c r="P15" s="76"/>
      <c r="Q15" s="24"/>
      <c r="R15" s="24"/>
      <c r="S15" s="76"/>
      <c r="T15" s="198" t="s">
        <v>141</v>
      </c>
      <c r="U15" s="199"/>
      <c r="V15" s="199"/>
      <c r="W15" s="207"/>
      <c r="X15" s="24"/>
      <c r="Y15"/>
      <c r="Z15"/>
      <c r="AA15"/>
      <c r="AB15"/>
      <c r="AC15"/>
    </row>
    <row r="16" spans="1:30" ht="12" customHeight="1" thickBo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88" t="s">
        <v>134</v>
      </c>
      <c r="U16" s="189">
        <f>U10*W16</f>
        <v>15.256347030519501</v>
      </c>
      <c r="V16" s="197">
        <f>U16/$U$19*10^3</f>
        <v>0.66857785632421363</v>
      </c>
      <c r="W16" s="208">
        <v>0.45</v>
      </c>
      <c r="X16" s="24"/>
      <c r="Y16"/>
      <c r="Z16"/>
      <c r="AA16"/>
      <c r="AB16"/>
      <c r="AC16"/>
    </row>
    <row r="17" spans="1:29" s="53" customFormat="1" ht="12" customHeight="1" thickBo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100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128</v>
      </c>
      <c r="Q18" s="110"/>
      <c r="R18" s="111"/>
      <c r="S18" s="59"/>
      <c r="T18" s="182" t="s">
        <v>138</v>
      </c>
      <c r="U18" s="183"/>
      <c r="V18" s="184"/>
      <c r="W18" s="209" t="s">
        <v>77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22">
        <f t="shared" ref="D19:D24" si="2">H19+L19</f>
        <v>289.84371730092164</v>
      </c>
      <c r="E19" s="219"/>
      <c r="F19" s="59"/>
      <c r="G19" s="112" t="s">
        <v>74</v>
      </c>
      <c r="H19" s="222">
        <f>AB6</f>
        <v>101.94697605634427</v>
      </c>
      <c r="I19" s="219"/>
      <c r="J19" s="59"/>
      <c r="K19" s="79" t="s">
        <v>74</v>
      </c>
      <c r="L19" s="222">
        <f>AB5</f>
        <v>187.89674124457736</v>
      </c>
      <c r="M19" s="219"/>
      <c r="N19" s="59"/>
      <c r="O19" s="59"/>
      <c r="P19" s="79" t="s">
        <v>74</v>
      </c>
      <c r="Q19" s="218">
        <f>Q22/R22*10^3</f>
        <v>195.21058007336339</v>
      </c>
      <c r="R19" s="219"/>
      <c r="S19" s="59"/>
      <c r="T19" s="185" t="s">
        <v>129</v>
      </c>
      <c r="U19" s="202">
        <f>U5-Z35</f>
        <v>22819.103095034661</v>
      </c>
      <c r="V19" s="200"/>
      <c r="W19" s="210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si="2"/>
        <v>547.83526589624853</v>
      </c>
      <c r="E20" s="114">
        <f>AB7</f>
        <v>1890.10365486654</v>
      </c>
      <c r="F20" s="59"/>
      <c r="G20" s="80" t="s">
        <v>2</v>
      </c>
      <c r="H20" s="81">
        <f>L33-H33</f>
        <v>120.95064311995111</v>
      </c>
      <c r="I20" s="114">
        <f>H20/$H$19*10^3</f>
        <v>1186.4073638937937</v>
      </c>
      <c r="J20" s="59"/>
      <c r="K20" s="80" t="s">
        <v>2</v>
      </c>
      <c r="L20" s="81">
        <f>P33-L33</f>
        <v>426.88462277629742</v>
      </c>
      <c r="M20" s="92">
        <f>L20/$L$19*10^3</f>
        <v>2271.9107311214061</v>
      </c>
      <c r="N20" s="59"/>
      <c r="O20" s="59"/>
      <c r="P20" s="80" t="s">
        <v>2</v>
      </c>
      <c r="Q20" s="91">
        <f>Q22*0.6</f>
        <v>937.01078435214424</v>
      </c>
      <c r="R20" s="82">
        <f>Q20/$Q$19*10^3</f>
        <v>4800</v>
      </c>
      <c r="S20" s="59"/>
      <c r="T20" s="186" t="s">
        <v>130</v>
      </c>
      <c r="U20" s="91">
        <f>U6-Z36</f>
        <v>171.48165529061515</v>
      </c>
      <c r="V20" s="187">
        <f>U20/$U$19*10^3</f>
        <v>7.5148288947398996</v>
      </c>
      <c r="W20" s="210">
        <v>0.3</v>
      </c>
      <c r="X20" s="59"/>
      <c r="Y20" s="180">
        <f>1-(U20/D6)</f>
        <v>0.9705110770196157</v>
      </c>
    </row>
    <row r="21" spans="1:29" s="53" customFormat="1" ht="12" customHeight="1">
      <c r="A21" s="58"/>
      <c r="B21" s="59"/>
      <c r="C21" s="80" t="s">
        <v>50</v>
      </c>
      <c r="D21" s="81">
        <f t="shared" si="2"/>
        <v>520.5797505630826</v>
      </c>
      <c r="E21" s="114">
        <f>AB8</f>
        <v>1796.0684189739359</v>
      </c>
      <c r="F21" s="59"/>
      <c r="G21" s="80" t="s">
        <v>50</v>
      </c>
      <c r="H21" s="81">
        <f>L34-H34</f>
        <v>114.93319168275866</v>
      </c>
      <c r="I21" s="114">
        <f>H21/$H$19*10^3</f>
        <v>1127.3820580929948</v>
      </c>
      <c r="J21" s="59"/>
      <c r="K21" s="80" t="s">
        <v>50</v>
      </c>
      <c r="L21" s="81">
        <f>P34-L34</f>
        <v>405.64655888032394</v>
      </c>
      <c r="M21" s="92">
        <f>L21/$L$19*10^3</f>
        <v>2158.8802242839897</v>
      </c>
      <c r="N21" s="59"/>
      <c r="O21" s="59"/>
      <c r="P21" s="80" t="s">
        <v>50</v>
      </c>
      <c r="Q21" s="91">
        <f>Q22*0.7</f>
        <v>1093.1792484108348</v>
      </c>
      <c r="R21" s="82">
        <f>Q21/$Q$19*10^3</f>
        <v>5599.9999999999991</v>
      </c>
      <c r="S21" s="59"/>
      <c r="T21" s="186" t="s">
        <v>131</v>
      </c>
      <c r="U21" s="91">
        <f>U7-Z37</f>
        <v>319.5410102513905</v>
      </c>
      <c r="V21" s="187">
        <f>U21/$U$19*10^3</f>
        <v>14.003223918161851</v>
      </c>
      <c r="W21" s="210">
        <v>0.15</v>
      </c>
      <c r="X21" s="59"/>
      <c r="Y21" s="180">
        <f>1-(U21/D7)</f>
        <v>0.93411332656515089</v>
      </c>
    </row>
    <row r="22" spans="1:29" s="53" customFormat="1" ht="12" customHeight="1">
      <c r="A22" s="58"/>
      <c r="B22" s="59"/>
      <c r="C22" s="80" t="s">
        <v>3</v>
      </c>
      <c r="D22" s="81">
        <f t="shared" si="2"/>
        <v>951.95527541536376</v>
      </c>
      <c r="E22" s="114">
        <f>AB9</f>
        <v>3284.3704448412441</v>
      </c>
      <c r="F22" s="59"/>
      <c r="G22" s="80" t="s">
        <v>3</v>
      </c>
      <c r="H22" s="81">
        <f>L35-H35</f>
        <v>210.17194392287274</v>
      </c>
      <c r="I22" s="114">
        <f>H22/$H$19*10^3</f>
        <v>2061.5809517166499</v>
      </c>
      <c r="J22" s="59"/>
      <c r="K22" s="80" t="s">
        <v>3</v>
      </c>
      <c r="L22" s="81">
        <f>P35-L35</f>
        <v>741.78333149249102</v>
      </c>
      <c r="M22" s="92">
        <f>L22/$L$19*10^3</f>
        <v>3947.8243559686998</v>
      </c>
      <c r="N22" s="59"/>
      <c r="O22" s="59"/>
      <c r="P22" s="80" t="s">
        <v>3</v>
      </c>
      <c r="Q22" s="91">
        <f>I42</f>
        <v>1561.6846405869071</v>
      </c>
      <c r="R22" s="82">
        <f>참조!D52*10^6</f>
        <v>8000</v>
      </c>
      <c r="S22" s="59"/>
      <c r="T22" s="186" t="s">
        <v>132</v>
      </c>
      <c r="U22" s="91">
        <f>U8-Z38</f>
        <v>84.588439234075921</v>
      </c>
      <c r="V22" s="187">
        <f>U22/$U$19*10^3</f>
        <v>3.7069134085503124</v>
      </c>
      <c r="W22" s="210">
        <v>0.5</v>
      </c>
      <c r="X22" s="59"/>
      <c r="Y22" s="180">
        <f>1-(U22/D8)</f>
        <v>0.98545370952142253</v>
      </c>
    </row>
    <row r="23" spans="1:29" s="53" customFormat="1" ht="12" customHeight="1">
      <c r="A23" s="58"/>
      <c r="B23" s="59"/>
      <c r="C23" s="80" t="s">
        <v>4</v>
      </c>
      <c r="D23" s="81">
        <f t="shared" si="2"/>
        <v>66.097149470290731</v>
      </c>
      <c r="E23" s="114">
        <f>AB10</f>
        <v>228.04384523073981</v>
      </c>
      <c r="F23" s="59"/>
      <c r="G23" s="80" t="s">
        <v>4</v>
      </c>
      <c r="H23" s="81">
        <f>L36-H36</f>
        <v>14.592877155778467</v>
      </c>
      <c r="I23" s="114">
        <f>H23/$H$19*10^3</f>
        <v>143.14183431702028</v>
      </c>
      <c r="J23" s="59"/>
      <c r="K23" s="80" t="s">
        <v>4</v>
      </c>
      <c r="L23" s="81">
        <f>P36-L36</f>
        <v>51.504272314512264</v>
      </c>
      <c r="M23" s="92">
        <f>L23/$L$19*10^3</f>
        <v>274.10944954852249</v>
      </c>
      <c r="N23" s="59"/>
      <c r="O23" s="59"/>
      <c r="P23" s="80" t="s">
        <v>4</v>
      </c>
      <c r="Q23" s="91">
        <f>Q22*AC31</f>
        <v>156.16846405869072</v>
      </c>
      <c r="R23" s="114">
        <f>Q23/$Q$19*10^3</f>
        <v>800</v>
      </c>
      <c r="S23" s="59"/>
      <c r="T23" s="186" t="s">
        <v>133</v>
      </c>
      <c r="U23" s="91">
        <f>U9*(1-W23)</f>
        <v>185.63340677662944</v>
      </c>
      <c r="V23" s="187">
        <f>U23/$U$19*10^3</f>
        <v>8.1350001357863384</v>
      </c>
      <c r="W23" s="210">
        <v>0.3</v>
      </c>
      <c r="X23" s="59"/>
      <c r="Y23" s="180">
        <f>1-(U23/D9)</f>
        <v>0.84293095064280155</v>
      </c>
    </row>
    <row r="24" spans="1:29" s="53" customFormat="1" ht="12" customHeight="1" thickBot="1">
      <c r="A24" s="58"/>
      <c r="B24" s="59"/>
      <c r="C24" s="83" t="s">
        <v>5</v>
      </c>
      <c r="D24" s="84">
        <f t="shared" si="2"/>
        <v>35.694714387950341</v>
      </c>
      <c r="E24" s="115">
        <f>AB11</f>
        <v>123.15147439855534</v>
      </c>
      <c r="F24" s="59"/>
      <c r="G24" s="83" t="s">
        <v>5</v>
      </c>
      <c r="H24" s="84">
        <f>L37-H37</f>
        <v>7.8806512285085262</v>
      </c>
      <c r="I24" s="115">
        <f>H24/$H$19*10^3</f>
        <v>77.301471150581577</v>
      </c>
      <c r="J24" s="59"/>
      <c r="K24" s="83" t="s">
        <v>5</v>
      </c>
      <c r="L24" s="84">
        <f>P37-L37</f>
        <v>27.814063159441815</v>
      </c>
      <c r="M24" s="95">
        <f>L24/$L$19*10^3</f>
        <v>148.02844889809668</v>
      </c>
      <c r="N24" s="59"/>
      <c r="O24" s="59"/>
      <c r="P24" s="83" t="s">
        <v>5</v>
      </c>
      <c r="Q24" s="94">
        <f>U44</f>
        <v>152.5275755599971</v>
      </c>
      <c r="R24" s="115">
        <f>Q24/Q19*10^3</f>
        <v>781.34891819221434</v>
      </c>
      <c r="S24" s="59"/>
      <c r="T24" s="188" t="s">
        <v>134</v>
      </c>
      <c r="U24" s="189">
        <f>U10-U16</f>
        <v>18.646646370634947</v>
      </c>
      <c r="V24" s="190">
        <f>U24/$U$19*10^3</f>
        <v>0.81715071328514999</v>
      </c>
      <c r="W24" s="211">
        <f>W16</f>
        <v>0.45</v>
      </c>
      <c r="X24" s="59"/>
      <c r="Y24" s="181">
        <f>1-(U24/D10)</f>
        <v>0.89845832355507194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>P32/D5*100</f>
        <v>1.3082239549708952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145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F31" s="59"/>
      <c r="G31" s="215" t="s">
        <v>87</v>
      </c>
      <c r="H31" s="216"/>
      <c r="I31" s="217"/>
      <c r="J31" s="59"/>
      <c r="K31" s="215" t="s">
        <v>85</v>
      </c>
      <c r="L31" s="216"/>
      <c r="M31" s="217"/>
      <c r="N31" s="59"/>
      <c r="O31" s="215" t="s">
        <v>88</v>
      </c>
      <c r="P31" s="216"/>
      <c r="Q31" s="217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>P37/P35*100</f>
        <v>3.749620944363774</v>
      </c>
      <c r="AC31" s="164">
        <v>0.1</v>
      </c>
    </row>
    <row r="32" spans="1:29" s="53" customFormat="1" ht="12" customHeight="1" thickTop="1">
      <c r="A32" s="58"/>
      <c r="B32" s="59"/>
      <c r="F32" s="59"/>
      <c r="G32" s="112" t="s">
        <v>74</v>
      </c>
      <c r="H32" s="220">
        <f>H35/I35*10^3</f>
        <v>18.151213338793536</v>
      </c>
      <c r="I32" s="221"/>
      <c r="J32" s="59"/>
      <c r="K32" s="112" t="s">
        <v>74</v>
      </c>
      <c r="L32" s="222">
        <f>L35/M35*10^3</f>
        <v>120.09825367021286</v>
      </c>
      <c r="M32" s="219"/>
      <c r="N32" s="59"/>
      <c r="O32" s="79" t="s">
        <v>74</v>
      </c>
      <c r="P32" s="222">
        <f t="shared" ref="P32:P37" si="3">Q19+L5</f>
        <v>307.99516571879786</v>
      </c>
      <c r="Q32" s="219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>P37/P35/0.8*100</f>
        <v>4.6870261804547173</v>
      </c>
    </row>
    <row r="33" spans="1:27" s="53" customFormat="1" ht="12" customHeight="1">
      <c r="A33" s="58"/>
      <c r="B33" s="59"/>
      <c r="F33" s="59"/>
      <c r="G33" s="80" t="s">
        <v>2</v>
      </c>
      <c r="H33" s="81">
        <f>L33*$H$28</f>
        <v>2298.0622192790684</v>
      </c>
      <c r="I33" s="155">
        <f>H33/$H$32*10^3</f>
        <v>126606.53458177109</v>
      </c>
      <c r="J33" s="59"/>
      <c r="K33" s="80" t="s">
        <v>2</v>
      </c>
      <c r="L33" s="81">
        <f>P33*$L$28</f>
        <v>2419.0128623990195</v>
      </c>
      <c r="M33" s="92">
        <f>L33/L32*10^3</f>
        <v>20141.948683463586</v>
      </c>
      <c r="N33" s="59"/>
      <c r="O33" s="80" t="s">
        <v>2</v>
      </c>
      <c r="P33" s="81">
        <f t="shared" si="3"/>
        <v>2845.8974851753169</v>
      </c>
      <c r="Q33" s="92">
        <f>P33/$P$32*10^3</f>
        <v>9240.0719294849096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F34" s="59"/>
      <c r="G34" s="80" t="s">
        <v>50</v>
      </c>
      <c r="H34" s="81">
        <f>L34*$H$28</f>
        <v>2183.7306419724105</v>
      </c>
      <c r="I34" s="155">
        <f>H34/$H$32*10^3</f>
        <v>120307.69520543564</v>
      </c>
      <c r="J34" s="59"/>
      <c r="K34" s="80" t="s">
        <v>50</v>
      </c>
      <c r="L34" s="81">
        <f>P34*$L$28</f>
        <v>2298.6638336551691</v>
      </c>
      <c r="M34" s="92">
        <f>L34/$L$32*10^3</f>
        <v>19139.860600864766</v>
      </c>
      <c r="N34" s="59"/>
      <c r="O34" s="80" t="s">
        <v>50</v>
      </c>
      <c r="P34" s="81">
        <f t="shared" si="3"/>
        <v>2704.3103925354931</v>
      </c>
      <c r="Q34" s="92">
        <f>P34/$P$32*10^3</f>
        <v>8780.3663613491608</v>
      </c>
      <c r="R34" s="59"/>
      <c r="S34" s="59"/>
      <c r="T34" s="59"/>
      <c r="U34" s="59"/>
      <c r="V34" s="59"/>
      <c r="W34" s="100"/>
      <c r="X34" s="59"/>
      <c r="Y34" s="215" t="s">
        <v>135</v>
      </c>
      <c r="Z34" s="216"/>
      <c r="AA34" s="217"/>
    </row>
    <row r="35" spans="1:27" s="53" customFormat="1" ht="12" customHeight="1" thickTop="1">
      <c r="A35" s="58"/>
      <c r="B35" s="59"/>
      <c r="F35" s="59"/>
      <c r="G35" s="80" t="s">
        <v>3</v>
      </c>
      <c r="H35" s="81">
        <f>L35*$H$28</f>
        <v>3993.2669345345776</v>
      </c>
      <c r="I35" s="155">
        <f>참조!G48*10^6</f>
        <v>220000</v>
      </c>
      <c r="J35" s="59"/>
      <c r="K35" s="80" t="s">
        <v>3</v>
      </c>
      <c r="L35" s="81">
        <f>P35*$L$28</f>
        <v>4203.4388784574503</v>
      </c>
      <c r="M35" s="92">
        <f>참조!D57*10^6</f>
        <v>35000</v>
      </c>
      <c r="N35" s="59"/>
      <c r="O35" s="80" t="s">
        <v>3</v>
      </c>
      <c r="P35" s="81">
        <f t="shared" si="3"/>
        <v>4945.2222099499413</v>
      </c>
      <c r="Q35" s="92">
        <f>P35/$P$32*10^3</f>
        <v>16056.168279163739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218">
        <f t="shared" ref="Z35:Z40" si="4">U5*W19</f>
        <v>705.74545654746373</v>
      </c>
      <c r="AA35" s="219"/>
    </row>
    <row r="36" spans="1:27" s="53" customFormat="1" ht="12" customHeight="1">
      <c r="A36" s="58"/>
      <c r="B36" s="59"/>
      <c r="F36" s="59"/>
      <c r="G36" s="80" t="s">
        <v>4</v>
      </c>
      <c r="H36" s="81">
        <f>L36*$H$28</f>
        <v>277.26466595979105</v>
      </c>
      <c r="I36" s="155">
        <f>H36/$H$32*10^3</f>
        <v>15275.268974289966</v>
      </c>
      <c r="J36" s="59"/>
      <c r="K36" s="80" t="s">
        <v>4</v>
      </c>
      <c r="L36" s="81">
        <f>P36*$L$28</f>
        <v>291.85754311556951</v>
      </c>
      <c r="M36" s="92">
        <f>L36/$L$32*10^3</f>
        <v>2430.156427727949</v>
      </c>
      <c r="N36" s="59"/>
      <c r="O36" s="80" t="s">
        <v>4</v>
      </c>
      <c r="P36" s="81">
        <f t="shared" si="3"/>
        <v>343.36181543008178</v>
      </c>
      <c r="Q36" s="92">
        <f>P36/$P$32*10^3</f>
        <v>1114.8285870940388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si="4"/>
        <v>73.49213798169221</v>
      </c>
      <c r="AA36" s="114">
        <f>Z36/$Z$35*10^3</f>
        <v>104.13405754139576</v>
      </c>
    </row>
    <row r="37" spans="1:27" s="53" customFormat="1" ht="12" customHeight="1">
      <c r="A37" s="58"/>
      <c r="B37" s="59"/>
      <c r="F37" s="59"/>
      <c r="G37" s="83" t="s">
        <v>5</v>
      </c>
      <c r="H37" s="84">
        <f>L37*$H$28</f>
        <v>149.73237334166174</v>
      </c>
      <c r="I37" s="156">
        <f>H37/$H$32*10^3</f>
        <v>8249.1660776003027</v>
      </c>
      <c r="J37" s="59"/>
      <c r="K37" s="83" t="s">
        <v>5</v>
      </c>
      <c r="L37" s="84">
        <f>P37*$L$28</f>
        <v>157.61302457017027</v>
      </c>
      <c r="M37" s="95">
        <f>L37/$L$32*10^3</f>
        <v>1312.367330527321</v>
      </c>
      <c r="N37" s="59"/>
      <c r="O37" s="83" t="s">
        <v>5</v>
      </c>
      <c r="P37" s="84">
        <f t="shared" si="3"/>
        <v>185.42708772961208</v>
      </c>
      <c r="Q37" s="95">
        <f>P37/$P$32*10^3</f>
        <v>602.04544865781611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si="4"/>
        <v>56.389590044363032</v>
      </c>
      <c r="AA37" s="114">
        <f>Z37/$Z$35*10^3</f>
        <v>79.900748238923512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si="4"/>
        <v>84.588439234075921</v>
      </c>
      <c r="AA38" s="114">
        <f>Z38/$Z$35*10^3</f>
        <v>119.8568668764601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si="4"/>
        <v>79.5571743328412</v>
      </c>
      <c r="AA39" s="114">
        <f>Z39/$Z$35*10^3</f>
        <v>112.72785902446786</v>
      </c>
    </row>
    <row r="40" spans="1:27" s="53" customFormat="1" ht="12" customHeight="1">
      <c r="Y40" s="83" t="s">
        <v>5</v>
      </c>
      <c r="Z40" s="94">
        <f t="shared" si="4"/>
        <v>15.256347030519501</v>
      </c>
      <c r="AA40" s="115">
        <f>Z40/$Z$35*10^3</f>
        <v>21.617350687816238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>(F44*F45)-(F46*G47)+(F48*F49)</f>
        <v>1561.6846405869071</v>
      </c>
      <c r="N42" s="49" t="s">
        <v>116</v>
      </c>
      <c r="R42" s="49" t="s">
        <v>124</v>
      </c>
      <c r="T42" s="49">
        <f>(P44/(1+(P45*P46))*P43*P47)</f>
        <v>5.3885364868243295</v>
      </c>
      <c r="U42" s="49">
        <f>P5*T42/10^3</f>
        <v>127.81640410055623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80.828047302364936</v>
      </c>
      <c r="T43" s="49">
        <f>L49*참조!H7*(P44/(1+P45*P46))*P48</f>
        <v>1.041783720786037</v>
      </c>
      <c r="U43" s="49">
        <f>P5*T43/10^3</f>
        <v>24.71117145944087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187.77646985893247</v>
      </c>
      <c r="N44" s="49" t="s">
        <v>118</v>
      </c>
      <c r="P44" s="49">
        <f>0.4</f>
        <v>0.4</v>
      </c>
      <c r="U44" s="49">
        <f>SUM(U42:U43)</f>
        <v>152.5275755599971</v>
      </c>
    </row>
    <row r="45" spans="1:27" ht="20.100000000000001" customHeight="1">
      <c r="C45" s="49" t="s">
        <v>106</v>
      </c>
      <c r="D45" s="49" t="s">
        <v>100</v>
      </c>
      <c r="F45" s="163">
        <f>P6-U6</f>
        <v>4209.0951753150957</v>
      </c>
      <c r="K45" s="172" t="s">
        <v>43</v>
      </c>
      <c r="L45" s="175">
        <f>Q7</f>
        <v>158.48636725953909</v>
      </c>
      <c r="N45" s="49" t="s">
        <v>119</v>
      </c>
      <c r="P45" s="49">
        <f>0.08</f>
        <v>0.08</v>
      </c>
    </row>
    <row r="46" spans="1:27" ht="20.100000000000001" customHeight="1" thickBo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142.64456722401465</v>
      </c>
      <c r="N46" s="49" t="s">
        <v>120</v>
      </c>
      <c r="P46" s="49">
        <f>참조!I24</f>
        <v>10</v>
      </c>
      <c r="S46" s="215" t="s">
        <v>136</v>
      </c>
      <c r="T46" s="216"/>
      <c r="U46" s="217"/>
    </row>
    <row r="47" spans="1:27" ht="20.100000000000001" customHeight="1" thickTop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47440.118263310978</v>
      </c>
      <c r="K47" s="172" t="s">
        <v>4</v>
      </c>
      <c r="L47" s="175">
        <f>Q9</f>
        <v>44.72005396572758</v>
      </c>
      <c r="N47" s="49" t="s">
        <v>121</v>
      </c>
      <c r="P47" s="49">
        <f>0.3</f>
        <v>0.3</v>
      </c>
      <c r="S47" s="112" t="s">
        <v>74</v>
      </c>
      <c r="T47" s="218">
        <v>120</v>
      </c>
      <c r="U47" s="219"/>
    </row>
    <row r="48" spans="1:27" ht="20.100000000000001" customHeight="1" thickBot="1">
      <c r="C48" s="49" t="s">
        <v>109</v>
      </c>
      <c r="D48" s="49" t="s">
        <v>104</v>
      </c>
      <c r="F48" s="49">
        <v>0.7</v>
      </c>
      <c r="K48" s="173" t="s">
        <v>5</v>
      </c>
      <c r="L48" s="176">
        <f>Q10</f>
        <v>7.8596165349500149</v>
      </c>
      <c r="N48" s="49" t="s">
        <v>122</v>
      </c>
      <c r="P48" s="49">
        <v>0.02</v>
      </c>
      <c r="S48" s="80" t="s">
        <v>2</v>
      </c>
      <c r="T48" s="91">
        <v>27</v>
      </c>
      <c r="U48" s="114">
        <f>T48/$T$47*10^3</f>
        <v>225</v>
      </c>
    </row>
    <row r="49" spans="3:21" ht="20.100000000000001" customHeight="1">
      <c r="C49" s="49" t="s">
        <v>110</v>
      </c>
      <c r="D49" s="49" t="s">
        <v>111</v>
      </c>
      <c r="F49" s="163">
        <f>P8-U8</f>
        <v>3214.3606908948823</v>
      </c>
      <c r="K49" s="172" t="s">
        <v>44</v>
      </c>
      <c r="L49" s="175">
        <f>L45*1.7</f>
        <v>269.42682434121645</v>
      </c>
      <c r="N49" s="49" t="s">
        <v>123</v>
      </c>
      <c r="P49" s="170">
        <f>V8</f>
        <v>7.1914120125876053</v>
      </c>
      <c r="S49" s="80" t="s">
        <v>50</v>
      </c>
      <c r="T49" s="91">
        <v>44</v>
      </c>
      <c r="U49" s="114">
        <f>T49/$T$47*10^3</f>
        <v>366.66666666666663</v>
      </c>
    </row>
    <row r="50" spans="3:21">
      <c r="S50" s="80" t="s">
        <v>3</v>
      </c>
      <c r="T50" s="91">
        <v>2</v>
      </c>
      <c r="U50" s="114">
        <f>T50/$T$47*10^3</f>
        <v>16.666666666666668</v>
      </c>
    </row>
    <row r="51" spans="3:21">
      <c r="S51" s="80" t="s">
        <v>4</v>
      </c>
      <c r="T51" s="91">
        <v>31</v>
      </c>
      <c r="U51" s="114">
        <f>T51/$T$47*10^3</f>
        <v>258.33333333333337</v>
      </c>
    </row>
    <row r="52" spans="3:21">
      <c r="S52" s="83" t="s">
        <v>5</v>
      </c>
      <c r="T52" s="94">
        <v>7</v>
      </c>
      <c r="U52" s="115">
        <f>T52/$T$47*10^3</f>
        <v>58.333333333333336</v>
      </c>
    </row>
  </sheetData>
  <mergeCells count="19">
    <mergeCell ref="Y34:AA34"/>
    <mergeCell ref="Z35:AA35"/>
    <mergeCell ref="S46:U46"/>
    <mergeCell ref="G31:I31"/>
    <mergeCell ref="K31:M31"/>
    <mergeCell ref="O31:Q31"/>
    <mergeCell ref="D5:E5"/>
    <mergeCell ref="H5:I5"/>
    <mergeCell ref="L5:M5"/>
    <mergeCell ref="P5:Q5"/>
    <mergeCell ref="T47:U47"/>
    <mergeCell ref="H32:I32"/>
    <mergeCell ref="L32:M32"/>
    <mergeCell ref="P32:Q32"/>
    <mergeCell ref="D19:E19"/>
    <mergeCell ref="H19:I19"/>
    <mergeCell ref="L19:M19"/>
    <mergeCell ref="Q19:R19"/>
    <mergeCell ref="U5:V5"/>
  </mergeCells>
  <phoneticPr fontId="1" type="noConversion"/>
  <conditionalFormatting sqref="AB5">
    <cfRule type="cellIs" dxfId="1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D52"/>
  <sheetViews>
    <sheetView view="pageBreakPreview" zoomScaleSheetLayoutView="100" workbookViewId="0">
      <selection activeCell="AF21" sqref="AF21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8" customHeight="1">
      <c r="A1" s="1"/>
      <c r="B1" s="23"/>
      <c r="C1" s="213" t="s">
        <v>149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203"/>
      <c r="X1" s="76"/>
    </row>
    <row r="2" spans="1:30" ht="16.5" customHeight="1">
      <c r="A2" s="2"/>
      <c r="B2" s="24"/>
      <c r="C2" s="212" t="s">
        <v>152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204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204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04"/>
      <c r="I4" s="105"/>
      <c r="J4" s="124"/>
      <c r="K4" s="109" t="s">
        <v>114</v>
      </c>
      <c r="L4" s="110"/>
      <c r="M4" s="111"/>
      <c r="N4" s="59"/>
      <c r="O4" s="103" t="s">
        <v>127</v>
      </c>
      <c r="P4" s="131"/>
      <c r="Q4" s="102"/>
      <c r="R4" s="57"/>
      <c r="S4" s="57"/>
      <c r="T4" s="103" t="s">
        <v>79</v>
      </c>
      <c r="U4" s="104"/>
      <c r="V4" s="105"/>
      <c r="W4" s="205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218">
        <v>24544</v>
      </c>
      <c r="E5" s="219"/>
      <c r="F5" s="123"/>
      <c r="G5" s="90" t="s">
        <v>74</v>
      </c>
      <c r="H5" s="218">
        <f>D5+D19+T47</f>
        <v>24984.054648423102</v>
      </c>
      <c r="I5" s="219"/>
      <c r="J5" s="125"/>
      <c r="K5" s="79" t="s">
        <v>74</v>
      </c>
      <c r="L5" s="218">
        <f>L8/M8*10^3</f>
        <v>120.29579814269337</v>
      </c>
      <c r="M5" s="219"/>
      <c r="N5" s="116" t="s">
        <v>77</v>
      </c>
      <c r="O5" s="130" t="s">
        <v>74</v>
      </c>
      <c r="P5" s="218">
        <f t="shared" ref="P5:P10" si="0">H5-L5</f>
        <v>24863.75885028041</v>
      </c>
      <c r="Q5" s="219"/>
      <c r="R5" s="116" t="s">
        <v>77</v>
      </c>
      <c r="S5" s="59"/>
      <c r="T5" s="90" t="s">
        <v>74</v>
      </c>
      <c r="U5" s="218">
        <f>P5-Q19</f>
        <v>24644.309778410941</v>
      </c>
      <c r="V5" s="219"/>
      <c r="W5" s="100"/>
      <c r="X5" s="59"/>
      <c r="Z5" s="113" t="s">
        <v>84</v>
      </c>
      <c r="AA5" s="157">
        <f>P32-L32</f>
        <v>209.46496883070262</v>
      </c>
      <c r="AB5" s="157">
        <v>209.46483063875306</v>
      </c>
      <c r="AD5" s="132">
        <f>AA5-AB5</f>
        <v>1.3819194955999592E-4</v>
      </c>
    </row>
    <row r="6" spans="1:30" s="53" customFormat="1" ht="12" customHeight="1">
      <c r="A6" s="58"/>
      <c r="B6" s="59"/>
      <c r="C6" s="80" t="s">
        <v>2</v>
      </c>
      <c r="D6" s="91">
        <f>$D$5*E6/10^3</f>
        <v>6356.8959999999997</v>
      </c>
      <c r="E6" s="97">
        <v>259</v>
      </c>
      <c r="F6" s="123"/>
      <c r="G6" s="93" t="s">
        <v>2</v>
      </c>
      <c r="H6" s="91">
        <f>$H$5*I6/10^3</f>
        <v>6961.7055443577283</v>
      </c>
      <c r="I6" s="97">
        <f>($D$5*E6+$D$19*E20)/$H$5</f>
        <v>278.64594607733636</v>
      </c>
      <c r="J6" s="126"/>
      <c r="K6" s="80" t="s">
        <v>2</v>
      </c>
      <c r="L6" s="91">
        <f>H6*N6</f>
        <v>2088.5116633073185</v>
      </c>
      <c r="M6" s="82">
        <f>L6/$L$5*10^3</f>
        <v>17361.46811071449</v>
      </c>
      <c r="N6" s="117">
        <v>0.3</v>
      </c>
      <c r="O6" s="93" t="s">
        <v>2</v>
      </c>
      <c r="P6" s="91">
        <f t="shared" si="0"/>
        <v>4873.1938810504098</v>
      </c>
      <c r="Q6" s="97">
        <f>P6/$P$5*10^3</f>
        <v>195.99586331233462</v>
      </c>
      <c r="R6" s="120">
        <v>0.94499999999999995</v>
      </c>
      <c r="S6" s="59"/>
      <c r="T6" s="93" t="s">
        <v>2</v>
      </c>
      <c r="U6" s="91">
        <f>P6*(1-R6)</f>
        <v>268.02566345777279</v>
      </c>
      <c r="V6" s="97">
        <f>U6/$U$5*10^3</f>
        <v>10.875762635177159</v>
      </c>
      <c r="W6" s="100"/>
      <c r="X6" s="59"/>
      <c r="Z6" s="113" t="s">
        <v>86</v>
      </c>
      <c r="AA6" s="157">
        <f>L32-H32</f>
        <v>110.58987066198851</v>
      </c>
      <c r="AB6" s="157">
        <v>110.5898177843499</v>
      </c>
      <c r="AD6" s="132">
        <f t="shared" ref="AD6:AD11" si="1">AA6-AB6</f>
        <v>5.287763860906125E-5</v>
      </c>
    </row>
    <row r="7" spans="1:30" s="53" customFormat="1" ht="12" customHeight="1">
      <c r="A7" s="58"/>
      <c r="B7" s="59"/>
      <c r="C7" s="80" t="s">
        <v>50</v>
      </c>
      <c r="D7" s="91">
        <f>$D$5*E7/10^3</f>
        <v>5227.8720000000003</v>
      </c>
      <c r="E7" s="97">
        <v>213</v>
      </c>
      <c r="F7" s="123"/>
      <c r="G7" s="93" t="s">
        <v>50</v>
      </c>
      <c r="H7" s="91">
        <f>$H$5*I7/10^3</f>
        <v>5799.3506678442764</v>
      </c>
      <c r="I7" s="97">
        <f>($D$5*E7+$D$19*E21)/$H$5</f>
        <v>232.1220774391121</v>
      </c>
      <c r="J7" s="126"/>
      <c r="K7" s="80" t="s">
        <v>50</v>
      </c>
      <c r="L7" s="91">
        <f>H7*N7</f>
        <v>1739.8052003532828</v>
      </c>
      <c r="M7" s="82">
        <f>L7/$L$5*10^3</f>
        <v>14462.726273194909</v>
      </c>
      <c r="N7" s="118">
        <v>0.3</v>
      </c>
      <c r="O7" s="93" t="s">
        <v>50</v>
      </c>
      <c r="P7" s="91">
        <f t="shared" si="0"/>
        <v>4059.5454674909934</v>
      </c>
      <c r="Q7" s="97">
        <f>P7/$P$5*10^3</f>
        <v>163.27159107100215</v>
      </c>
      <c r="R7" s="120">
        <v>0.9</v>
      </c>
      <c r="S7" s="59"/>
      <c r="T7" s="93" t="s">
        <v>50</v>
      </c>
      <c r="U7" s="91">
        <f>P7*(1-R7)</f>
        <v>405.95454674909922</v>
      </c>
      <c r="V7" s="97">
        <f>U7/$U$5*10^3</f>
        <v>16.47254682315047</v>
      </c>
      <c r="W7" s="100"/>
      <c r="X7" s="59"/>
      <c r="Z7" s="113" t="s">
        <v>93</v>
      </c>
      <c r="AA7" s="158">
        <f>D20/$D$19*10^3</f>
        <v>1889.7067753082817</v>
      </c>
      <c r="AB7" s="158">
        <v>1889.7071088878145</v>
      </c>
      <c r="AD7" s="132">
        <f t="shared" si="1"/>
        <v>-3.335795327075175E-4</v>
      </c>
    </row>
    <row r="8" spans="1:30" s="53" customFormat="1" ht="12" customHeight="1">
      <c r="A8" s="58"/>
      <c r="B8" s="59"/>
      <c r="C8" s="80" t="s">
        <v>3</v>
      </c>
      <c r="D8" s="91">
        <f>$D$5*E8/10^3</f>
        <v>6185.0879999999997</v>
      </c>
      <c r="E8" s="97">
        <v>252</v>
      </c>
      <c r="F8" s="123"/>
      <c r="G8" s="93" t="s">
        <v>3</v>
      </c>
      <c r="H8" s="91">
        <f>$H$5*I8/10^3</f>
        <v>7217.7478885616019</v>
      </c>
      <c r="I8" s="97">
        <f>($D$5*E8+$D$19*E22)/$H$5</f>
        <v>288.89417631085587</v>
      </c>
      <c r="J8" s="126"/>
      <c r="K8" s="80" t="s">
        <v>3</v>
      </c>
      <c r="L8" s="91">
        <f>H8*N8</f>
        <v>3608.873944280801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3608.873944280801</v>
      </c>
      <c r="Q8" s="97">
        <f>P8/$P$5*10^3</f>
        <v>145.14595182538542</v>
      </c>
      <c r="R8" s="120">
        <v>0.95</v>
      </c>
      <c r="S8" s="59"/>
      <c r="T8" s="93" t="s">
        <v>3</v>
      </c>
      <c r="U8" s="91">
        <f>P8*(1-R8)</f>
        <v>180.44369721404021</v>
      </c>
      <c r="V8" s="97">
        <f>U8/$U$5*10^3</f>
        <v>7.3219213212501328</v>
      </c>
      <c r="W8" s="100"/>
      <c r="X8" s="59"/>
      <c r="Z8" s="59"/>
      <c r="AA8" s="158">
        <f>D21/$D$19*10^3</f>
        <v>1785.5656943554707</v>
      </c>
      <c r="AB8" s="158">
        <v>1785.5659046351298</v>
      </c>
      <c r="AD8" s="132">
        <f t="shared" si="1"/>
        <v>-2.1027965908615442E-4</v>
      </c>
    </row>
    <row r="9" spans="1:30" s="53" customFormat="1" ht="12" customHeight="1">
      <c r="A9" s="58"/>
      <c r="B9" s="59"/>
      <c r="C9" s="80" t="s">
        <v>4</v>
      </c>
      <c r="D9" s="91">
        <f>$D$5*E9/10^3</f>
        <v>1261.5615999999998</v>
      </c>
      <c r="E9" s="98">
        <v>51.4</v>
      </c>
      <c r="F9" s="123"/>
      <c r="G9" s="93" t="s">
        <v>4</v>
      </c>
      <c r="H9" s="91">
        <f>$H$5*I9/10^3</f>
        <v>1333.8723317226516</v>
      </c>
      <c r="I9" s="97">
        <f>($D$5*E9+$D$19*E23)/$H$5</f>
        <v>53.388945489151837</v>
      </c>
      <c r="J9" s="127"/>
      <c r="K9" s="80" t="s">
        <v>4</v>
      </c>
      <c r="L9" s="91">
        <f>H9*N9</f>
        <v>200.08084975839773</v>
      </c>
      <c r="M9" s="114">
        <f>L9/$L$5*10^3</f>
        <v>1663.2405524344611</v>
      </c>
      <c r="N9" s="118">
        <v>0.15</v>
      </c>
      <c r="O9" s="93" t="s">
        <v>4</v>
      </c>
      <c r="P9" s="91">
        <f t="shared" si="0"/>
        <v>1133.7914819642538</v>
      </c>
      <c r="Q9" s="98">
        <f>P9/$P$5*10^3</f>
        <v>45.600164029561725</v>
      </c>
      <c r="R9" s="120">
        <v>0.75</v>
      </c>
      <c r="S9" s="59"/>
      <c r="T9" s="93" t="s">
        <v>4</v>
      </c>
      <c r="U9" s="91">
        <f>P9*(1-R9)</f>
        <v>283.44787049106344</v>
      </c>
      <c r="V9" s="98">
        <f>U9/$U$5*10^3</f>
        <v>11.501554437502291</v>
      </c>
      <c r="W9" s="100"/>
      <c r="X9" s="59"/>
      <c r="Z9" s="59"/>
      <c r="AA9" s="158">
        <f>D22/$D$19*10^3</f>
        <v>3226.5108788168218</v>
      </c>
      <c r="AB9" s="158">
        <v>3226.5111400489814</v>
      </c>
      <c r="AD9" s="132">
        <f t="shared" si="1"/>
        <v>-2.6123215957341017E-4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193.89760000000001</v>
      </c>
      <c r="E10" s="99">
        <v>7.9</v>
      </c>
      <c r="F10" s="123"/>
      <c r="G10" s="96" t="s">
        <v>5</v>
      </c>
      <c r="H10" s="94">
        <f>$H$5*I10/10^3</f>
        <v>232.31216328745157</v>
      </c>
      <c r="I10" s="122">
        <f>($D$5*E10+$D$19*E24)/$H$5</f>
        <v>9.2984171927479444</v>
      </c>
      <c r="J10" s="127"/>
      <c r="K10" s="83" t="s">
        <v>5</v>
      </c>
      <c r="L10" s="94">
        <f>H10*N10</f>
        <v>34.846824493117737</v>
      </c>
      <c r="M10" s="115">
        <f>L10/L5*10^3</f>
        <v>289.67615686611822</v>
      </c>
      <c r="N10" s="119">
        <v>0.15</v>
      </c>
      <c r="O10" s="96" t="s">
        <v>5</v>
      </c>
      <c r="P10" s="94">
        <f t="shared" si="0"/>
        <v>197.46533879433383</v>
      </c>
      <c r="Q10" s="99">
        <f>P10/$P$5*10^3</f>
        <v>7.9418940628965613</v>
      </c>
      <c r="R10" s="121">
        <f>Q24/P10</f>
        <v>0.83411748330112923</v>
      </c>
      <c r="S10" s="59"/>
      <c r="T10" s="96" t="s">
        <v>5</v>
      </c>
      <c r="U10" s="94">
        <f>P10-Q24</f>
        <v>32.756047359999258</v>
      </c>
      <c r="V10" s="99">
        <f>U10/$U$5*10^3</f>
        <v>1.3291525571024274</v>
      </c>
      <c r="W10" s="100"/>
      <c r="X10" s="59"/>
      <c r="Z10" s="59"/>
      <c r="AA10" s="158">
        <f>D23/$D$19*10^3</f>
        <v>225.93241811253739</v>
      </c>
      <c r="AB10" s="158">
        <v>225.93245271994616</v>
      </c>
      <c r="AD10" s="132">
        <f t="shared" si="1"/>
        <v>-3.4607408764486536E-5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206"/>
      <c r="X11" s="59"/>
      <c r="Z11" s="59"/>
      <c r="AA11" s="158">
        <f>D24/$D$19*10^3</f>
        <v>120.02497856319732</v>
      </c>
      <c r="AB11" s="158">
        <v>120.02501284302122</v>
      </c>
      <c r="AD11" s="132">
        <f t="shared" si="1"/>
        <v>-3.4279823893257344E-5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/>
      <c r="I12" s="167" t="s">
        <v>147</v>
      </c>
      <c r="J12" s="168"/>
      <c r="K12" s="86"/>
      <c r="L12" s="87"/>
      <c r="M12" s="59"/>
      <c r="N12" s="85" t="s">
        <v>81</v>
      </c>
      <c r="O12" s="86"/>
      <c r="P12" s="87"/>
      <c r="Q12" s="59"/>
      <c r="R12" s="191" t="s">
        <v>137</v>
      </c>
      <c r="S12" s="192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93"/>
      <c r="S13" s="194"/>
      <c r="T13" s="177"/>
      <c r="U13" s="59"/>
      <c r="V13" s="59"/>
      <c r="W13" s="100"/>
      <c r="X13" s="59"/>
    </row>
    <row r="14" spans="1:30" s="53" customFormat="1" ht="12" customHeight="1" thickBo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 t="s">
        <v>143</v>
      </c>
      <c r="M15" s="24"/>
      <c r="N15" s="24"/>
      <c r="O15" s="24"/>
      <c r="P15" s="76"/>
      <c r="Q15" s="24"/>
      <c r="R15" s="24"/>
      <c r="S15" s="76"/>
      <c r="T15" s="198" t="s">
        <v>141</v>
      </c>
      <c r="U15" s="199"/>
      <c r="V15" s="199"/>
      <c r="W15" s="207"/>
      <c r="X15" s="24"/>
      <c r="Y15"/>
      <c r="Z15"/>
      <c r="AA15"/>
      <c r="AB15"/>
      <c r="AC15"/>
    </row>
    <row r="16" spans="1:30" ht="12" customHeight="1" thickBo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88" t="s">
        <v>134</v>
      </c>
      <c r="U16" s="189">
        <f>U10*W16</f>
        <v>16.378023679999629</v>
      </c>
      <c r="V16" s="197">
        <f>U16/$U$19*10^3</f>
        <v>0.68513018407341619</v>
      </c>
      <c r="W16" s="208">
        <v>0.5</v>
      </c>
      <c r="X16" s="24"/>
      <c r="Y16"/>
      <c r="Z16"/>
      <c r="AA16"/>
      <c r="AB16"/>
      <c r="AC16"/>
    </row>
    <row r="17" spans="1:29" s="53" customFormat="1" ht="12" customHeight="1" thickBo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100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128</v>
      </c>
      <c r="Q18" s="110"/>
      <c r="R18" s="111"/>
      <c r="S18" s="59"/>
      <c r="T18" s="182" t="s">
        <v>138</v>
      </c>
      <c r="U18" s="183"/>
      <c r="V18" s="184"/>
      <c r="W18" s="209" t="s">
        <v>77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22">
        <f t="shared" ref="D19:D24" si="2">H19+L19</f>
        <v>320.05464842310295</v>
      </c>
      <c r="E19" s="219"/>
      <c r="F19" s="59"/>
      <c r="G19" s="112" t="s">
        <v>74</v>
      </c>
      <c r="H19" s="222">
        <f>AB6</f>
        <v>110.5898177843499</v>
      </c>
      <c r="I19" s="219"/>
      <c r="J19" s="59"/>
      <c r="K19" s="79" t="s">
        <v>74</v>
      </c>
      <c r="L19" s="222">
        <f>AB5</f>
        <v>209.46483063875306</v>
      </c>
      <c r="M19" s="219"/>
      <c r="N19" s="59"/>
      <c r="O19" s="59"/>
      <c r="P19" s="79" t="s">
        <v>74</v>
      </c>
      <c r="Q19" s="218">
        <f>Q22/R22*10^3</f>
        <v>219.4490718694683</v>
      </c>
      <c r="R19" s="219"/>
      <c r="S19" s="59"/>
      <c r="T19" s="185" t="s">
        <v>129</v>
      </c>
      <c r="U19" s="202">
        <f>U5-Z35</f>
        <v>23904.980485058612</v>
      </c>
      <c r="V19" s="200"/>
      <c r="W19" s="210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si="2"/>
        <v>604.80943759404772</v>
      </c>
      <c r="E20" s="114">
        <f>AB7</f>
        <v>1889.7071088878145</v>
      </c>
      <c r="F20" s="59"/>
      <c r="G20" s="80" t="s">
        <v>2</v>
      </c>
      <c r="H20" s="81">
        <f>L33-H33</f>
        <v>133.52935635193262</v>
      </c>
      <c r="I20" s="114">
        <f>H20/$H$19*10^3</f>
        <v>1207.4290294275988</v>
      </c>
      <c r="J20" s="59"/>
      <c r="K20" s="80" t="s">
        <v>2</v>
      </c>
      <c r="L20" s="81">
        <f>P33-L33</f>
        <v>471.2800812421151</v>
      </c>
      <c r="M20" s="92">
        <f>L20/$L$19*10^3</f>
        <v>2249.9246284207657</v>
      </c>
      <c r="N20" s="59"/>
      <c r="O20" s="59"/>
      <c r="P20" s="80" t="s">
        <v>2</v>
      </c>
      <c r="Q20" s="91">
        <f>Q22*0.6</f>
        <v>1053.3555449734479</v>
      </c>
      <c r="R20" s="82">
        <f>Q20/$Q$19*10^3</f>
        <v>4800</v>
      </c>
      <c r="S20" s="59"/>
      <c r="T20" s="186" t="s">
        <v>130</v>
      </c>
      <c r="U20" s="91">
        <f>U6-Z36</f>
        <v>187.61796442044096</v>
      </c>
      <c r="V20" s="201">
        <f>U20/$U$19*10^3</f>
        <v>7.8484884996123832</v>
      </c>
      <c r="W20" s="210">
        <v>0.3</v>
      </c>
      <c r="X20" s="59"/>
      <c r="Y20" s="180">
        <f>1-(U20/D6)</f>
        <v>0.97048591570155607</v>
      </c>
    </row>
    <row r="21" spans="1:29" s="53" customFormat="1" ht="12" customHeight="1">
      <c r="A21" s="58"/>
      <c r="B21" s="59"/>
      <c r="C21" s="80" t="s">
        <v>50</v>
      </c>
      <c r="D21" s="81">
        <f t="shared" si="2"/>
        <v>571.47860054329385</v>
      </c>
      <c r="E21" s="114">
        <f>AB8</f>
        <v>1785.5659046351298</v>
      </c>
      <c r="F21" s="59"/>
      <c r="G21" s="80" t="s">
        <v>50</v>
      </c>
      <c r="H21" s="81">
        <f>L34-H34</f>
        <v>126.17060011994818</v>
      </c>
      <c r="I21" s="114">
        <f>H21/$H$19*10^3</f>
        <v>1140.8880369617825</v>
      </c>
      <c r="J21" s="59"/>
      <c r="K21" s="80" t="s">
        <v>50</v>
      </c>
      <c r="L21" s="81">
        <f>P34-L34</f>
        <v>445.30800042334567</v>
      </c>
      <c r="M21" s="92">
        <f>L21/$L$19*10^3</f>
        <v>2125.9320672849949</v>
      </c>
      <c r="N21" s="59"/>
      <c r="O21" s="59"/>
      <c r="P21" s="80" t="s">
        <v>50</v>
      </c>
      <c r="Q21" s="91">
        <f>Q22*0.7</f>
        <v>1228.9148024690223</v>
      </c>
      <c r="R21" s="82">
        <f>Q21/$Q$19*10^3</f>
        <v>5600</v>
      </c>
      <c r="S21" s="59"/>
      <c r="T21" s="186" t="s">
        <v>131</v>
      </c>
      <c r="U21" s="91">
        <f>U7-Z37</f>
        <v>345.06136473673433</v>
      </c>
      <c r="V21" s="201">
        <f>U21/$U$19*10^3</f>
        <v>14.434705979049383</v>
      </c>
      <c r="W21" s="210">
        <v>0.15</v>
      </c>
      <c r="X21" s="59"/>
      <c r="Y21" s="180">
        <f>1-(U21/D7)</f>
        <v>0.93399582760696243</v>
      </c>
    </row>
    <row r="22" spans="1:29" s="53" customFormat="1" ht="12" customHeight="1">
      <c r="A22" s="58"/>
      <c r="B22" s="59"/>
      <c r="C22" s="80" t="s">
        <v>3</v>
      </c>
      <c r="D22" s="81">
        <f t="shared" si="2"/>
        <v>1032.6598049530348</v>
      </c>
      <c r="E22" s="114">
        <f>AB9</f>
        <v>3226.5111400489814</v>
      </c>
      <c r="F22" s="59"/>
      <c r="G22" s="80" t="s">
        <v>3</v>
      </c>
      <c r="H22" s="81">
        <f>L35-H35</f>
        <v>227.98982706755305</v>
      </c>
      <c r="I22" s="114">
        <f>H22/$H$19*10^3</f>
        <v>2061.5806376689497</v>
      </c>
      <c r="J22" s="59"/>
      <c r="K22" s="80" t="s">
        <v>3</v>
      </c>
      <c r="L22" s="81">
        <f>P35-L35</f>
        <v>804.66997788548179</v>
      </c>
      <c r="M22" s="92">
        <f>L22/$L$19*10^3</f>
        <v>3841.5517079009342</v>
      </c>
      <c r="N22" s="59"/>
      <c r="O22" s="59"/>
      <c r="P22" s="80" t="s">
        <v>3</v>
      </c>
      <c r="Q22" s="91">
        <f>I42</f>
        <v>1755.5925749557464</v>
      </c>
      <c r="R22" s="82">
        <f>참조!D52*10^6</f>
        <v>8000</v>
      </c>
      <c r="S22" s="59"/>
      <c r="T22" s="186" t="s">
        <v>132</v>
      </c>
      <c r="U22" s="91">
        <f>U8-Z38</f>
        <v>90.221848607020107</v>
      </c>
      <c r="V22" s="201">
        <f>U22/$U$19*10^3</f>
        <v>3.7741862480670791</v>
      </c>
      <c r="W22" s="210">
        <v>0.5</v>
      </c>
      <c r="X22" s="59"/>
      <c r="Y22" s="180">
        <f>1-(U22/D8)</f>
        <v>0.98541300485829464</v>
      </c>
    </row>
    <row r="23" spans="1:29" s="53" customFormat="1" ht="12" customHeight="1">
      <c r="A23" s="58"/>
      <c r="B23" s="59"/>
      <c r="C23" s="80" t="s">
        <v>4</v>
      </c>
      <c r="D23" s="81">
        <f t="shared" si="2"/>
        <v>72.310720646389655</v>
      </c>
      <c r="E23" s="114">
        <f>AB10</f>
        <v>225.93245271994616</v>
      </c>
      <c r="F23" s="59"/>
      <c r="G23" s="80" t="s">
        <v>4</v>
      </c>
      <c r="H23" s="81">
        <f>L36-H36</f>
        <v>15.964704558293818</v>
      </c>
      <c r="I23" s="114">
        <f>H23/$H$19*10^3</f>
        <v>144.35962440434602</v>
      </c>
      <c r="J23" s="59"/>
      <c r="K23" s="80" t="s">
        <v>4</v>
      </c>
      <c r="L23" s="81">
        <f>P36-L36</f>
        <v>56.346016088095837</v>
      </c>
      <c r="M23" s="92">
        <f>L23/$L$19*10^3</f>
        <v>268.99988850763793</v>
      </c>
      <c r="N23" s="59"/>
      <c r="O23" s="59"/>
      <c r="P23" s="80" t="s">
        <v>4</v>
      </c>
      <c r="Q23" s="91">
        <f>Q22*AC31</f>
        <v>175.55925749557466</v>
      </c>
      <c r="R23" s="114">
        <f>Q23/$Q$19*10^3</f>
        <v>800</v>
      </c>
      <c r="S23" s="59"/>
      <c r="T23" s="186" t="s">
        <v>133</v>
      </c>
      <c r="U23" s="91">
        <f>U9*(1-W23)</f>
        <v>198.41350934374441</v>
      </c>
      <c r="V23" s="187">
        <f>U23/$U$19*10^3</f>
        <v>8.3000908311872212</v>
      </c>
      <c r="W23" s="210">
        <v>0.3</v>
      </c>
      <c r="X23" s="59"/>
      <c r="Y23" s="180">
        <f>1-(U23/D9)</f>
        <v>0.84272388336507353</v>
      </c>
    </row>
    <row r="24" spans="1:29" s="53" customFormat="1" ht="12" customHeight="1" thickBot="1">
      <c r="A24" s="58"/>
      <c r="B24" s="59"/>
      <c r="C24" s="83" t="s">
        <v>5</v>
      </c>
      <c r="D24" s="84">
        <f t="shared" si="2"/>
        <v>38.414552316034587</v>
      </c>
      <c r="E24" s="115">
        <f>AB11</f>
        <v>120.02501284302122</v>
      </c>
      <c r="F24" s="59"/>
      <c r="G24" s="83" t="s">
        <v>5</v>
      </c>
      <c r="H24" s="84">
        <f>L37-H37</f>
        <v>8.4811349269167238</v>
      </c>
      <c r="I24" s="115">
        <f>H24/$H$19*10^3</f>
        <v>76.6900162857211</v>
      </c>
      <c r="J24" s="59"/>
      <c r="K24" s="83" t="s">
        <v>5</v>
      </c>
      <c r="L24" s="84">
        <f>P37-L37</f>
        <v>29.933417389117864</v>
      </c>
      <c r="M24" s="95">
        <f>L24/$L$19*10^3</f>
        <v>142.90426367919295</v>
      </c>
      <c r="N24" s="59"/>
      <c r="O24" s="59"/>
      <c r="P24" s="83" t="s">
        <v>5</v>
      </c>
      <c r="Q24" s="94">
        <f>U44</f>
        <v>164.70929143433457</v>
      </c>
      <c r="R24" s="115">
        <f>Q24/Q19*10^3</f>
        <v>750.55815926305763</v>
      </c>
      <c r="S24" s="59"/>
      <c r="T24" s="188" t="s">
        <v>134</v>
      </c>
      <c r="U24" s="189">
        <f>U10-U16</f>
        <v>16.378023679999629</v>
      </c>
      <c r="V24" s="190">
        <f>U24/$U$19*10^3</f>
        <v>0.68513018407341619</v>
      </c>
      <c r="W24" s="211">
        <f>W16</f>
        <v>0.5</v>
      </c>
      <c r="X24" s="59"/>
      <c r="Y24" s="181">
        <f>1-(U24/D10)</f>
        <v>0.9155326126780341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>P32/D5*100</f>
        <v>1.3842277950299935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145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F31" s="59"/>
      <c r="G31" s="215" t="s">
        <v>87</v>
      </c>
      <c r="H31" s="216"/>
      <c r="I31" s="217"/>
      <c r="J31" s="59"/>
      <c r="K31" s="215" t="s">
        <v>85</v>
      </c>
      <c r="L31" s="216"/>
      <c r="M31" s="217"/>
      <c r="N31" s="59"/>
      <c r="O31" s="215" t="s">
        <v>88</v>
      </c>
      <c r="P31" s="216"/>
      <c r="Q31" s="217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>P37/P35*100</f>
        <v>3.719961998306077</v>
      </c>
      <c r="AC31" s="164">
        <v>0.1</v>
      </c>
    </row>
    <row r="32" spans="1:29" s="53" customFormat="1" ht="12" customHeight="1" thickTop="1">
      <c r="A32" s="58"/>
      <c r="B32" s="59"/>
      <c r="F32" s="59"/>
      <c r="G32" s="112" t="s">
        <v>74</v>
      </c>
      <c r="H32" s="220">
        <f>H35/I35*10^3</f>
        <v>19.690030519470511</v>
      </c>
      <c r="I32" s="221"/>
      <c r="J32" s="59"/>
      <c r="K32" s="112" t="s">
        <v>74</v>
      </c>
      <c r="L32" s="222">
        <f>L35/M35*10^3</f>
        <v>130.27990118145902</v>
      </c>
      <c r="M32" s="219"/>
      <c r="N32" s="59"/>
      <c r="O32" s="79" t="s">
        <v>74</v>
      </c>
      <c r="P32" s="222">
        <f t="shared" ref="P32:P37" si="3">Q19+L5</f>
        <v>339.74487001216164</v>
      </c>
      <c r="Q32" s="219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>P37/P35/0.8*100</f>
        <v>4.6499524978825955</v>
      </c>
    </row>
    <row r="33" spans="1:27" s="53" customFormat="1" ht="12" customHeight="1">
      <c r="A33" s="58"/>
      <c r="B33" s="59"/>
      <c r="F33" s="59"/>
      <c r="G33" s="80" t="s">
        <v>2</v>
      </c>
      <c r="H33" s="81">
        <f>L33*$H$28</f>
        <v>2537.0577706867184</v>
      </c>
      <c r="I33" s="155">
        <f>H33/$H$32*10^3</f>
        <v>128849.86481752509</v>
      </c>
      <c r="J33" s="59"/>
      <c r="K33" s="80" t="s">
        <v>2</v>
      </c>
      <c r="L33" s="81">
        <f>P33*$L$28</f>
        <v>2670.587127038651</v>
      </c>
      <c r="M33" s="92">
        <f>L33/L32*10^3</f>
        <v>20498.84213006081</v>
      </c>
      <c r="N33" s="59"/>
      <c r="O33" s="80" t="s">
        <v>2</v>
      </c>
      <c r="P33" s="81">
        <f t="shared" si="3"/>
        <v>3141.8672082807661</v>
      </c>
      <c r="Q33" s="92">
        <f>P33/$P$32*10^3</f>
        <v>9247.7252361994415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F34" s="59"/>
      <c r="G34" s="80" t="s">
        <v>50</v>
      </c>
      <c r="H34" s="81">
        <f>L34*$H$28</f>
        <v>2397.2414022790113</v>
      </c>
      <c r="I34" s="155">
        <f>H34/$H$32*10^3</f>
        <v>121748.99373104049</v>
      </c>
      <c r="J34" s="59"/>
      <c r="K34" s="80" t="s">
        <v>50</v>
      </c>
      <c r="L34" s="81">
        <f>P34*$L$28</f>
        <v>2523.4120023989594</v>
      </c>
      <c r="M34" s="92">
        <f>L34/$L$32*10^3</f>
        <v>19369.158093574624</v>
      </c>
      <c r="N34" s="59"/>
      <c r="O34" s="80" t="s">
        <v>50</v>
      </c>
      <c r="P34" s="81">
        <f t="shared" si="3"/>
        <v>2968.7200028223051</v>
      </c>
      <c r="Q34" s="92">
        <f>P34/$P$32*10^3</f>
        <v>8738.0863255302011</v>
      </c>
      <c r="R34" s="59"/>
      <c r="S34" s="59"/>
      <c r="T34" s="59"/>
      <c r="U34" s="59"/>
      <c r="V34" s="59"/>
      <c r="W34" s="100"/>
      <c r="X34" s="59"/>
      <c r="Y34" s="215" t="s">
        <v>135</v>
      </c>
      <c r="Z34" s="216"/>
      <c r="AA34" s="217"/>
    </row>
    <row r="35" spans="1:27" s="53" customFormat="1" ht="12" customHeight="1" thickTop="1">
      <c r="A35" s="58"/>
      <c r="B35" s="59"/>
      <c r="F35" s="59"/>
      <c r="G35" s="80" t="s">
        <v>3</v>
      </c>
      <c r="H35" s="81">
        <f>L35*$H$28</f>
        <v>4331.8067142835125</v>
      </c>
      <c r="I35" s="155">
        <f>참조!G48*10^6</f>
        <v>220000</v>
      </c>
      <c r="J35" s="59"/>
      <c r="K35" s="80" t="s">
        <v>3</v>
      </c>
      <c r="L35" s="81">
        <f>P35*$L$28</f>
        <v>4559.7965413510656</v>
      </c>
      <c r="M35" s="92">
        <f>참조!D57*10^6</f>
        <v>35000</v>
      </c>
      <c r="N35" s="59"/>
      <c r="O35" s="80" t="s">
        <v>3</v>
      </c>
      <c r="P35" s="81">
        <f t="shared" si="3"/>
        <v>5364.4665192365474</v>
      </c>
      <c r="Q35" s="92">
        <f>P35/$P$32*10^3</f>
        <v>15789.691008563334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218">
        <f t="shared" ref="Z35:Z40" si="4">U5*W19</f>
        <v>739.32929335232825</v>
      </c>
      <c r="AA35" s="219"/>
    </row>
    <row r="36" spans="1:27" s="53" customFormat="1" ht="12" customHeight="1">
      <c r="A36" s="58"/>
      <c r="B36" s="59"/>
      <c r="F36" s="59"/>
      <c r="G36" s="80" t="s">
        <v>4</v>
      </c>
      <c r="H36" s="81">
        <f>L36*$H$28</f>
        <v>303.32938660758271</v>
      </c>
      <c r="I36" s="155">
        <f>H36/$H$32*10^3</f>
        <v>15405.226838406119</v>
      </c>
      <c r="J36" s="59"/>
      <c r="K36" s="80" t="s">
        <v>4</v>
      </c>
      <c r="L36" s="81">
        <f>P36*$L$28</f>
        <v>319.29409116587652</v>
      </c>
      <c r="M36" s="92">
        <f>L36/$L$32*10^3</f>
        <v>2450.8315424737007</v>
      </c>
      <c r="N36" s="59"/>
      <c r="O36" s="80" t="s">
        <v>4</v>
      </c>
      <c r="P36" s="81">
        <f t="shared" si="3"/>
        <v>375.64010725397236</v>
      </c>
      <c r="Q36" s="92">
        <f>P36/$P$32*10^3</f>
        <v>1105.6535077057256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si="4"/>
        <v>80.407699037331838</v>
      </c>
      <c r="AA36" s="114">
        <f>Z36/$Z$35*10^3</f>
        <v>108.75762635177158</v>
      </c>
    </row>
    <row r="37" spans="1:27" s="53" customFormat="1" ht="12" customHeight="1">
      <c r="A37" s="58"/>
      <c r="B37" s="59"/>
      <c r="F37" s="59"/>
      <c r="G37" s="83" t="s">
        <v>5</v>
      </c>
      <c r="H37" s="84">
        <f>L37*$H$28</f>
        <v>161.14156361141772</v>
      </c>
      <c r="I37" s="156">
        <f>H37/$H$32*10^3</f>
        <v>8183.9163962733683</v>
      </c>
      <c r="J37" s="59"/>
      <c r="K37" s="83" t="s">
        <v>5</v>
      </c>
      <c r="L37" s="84">
        <f>P37*$L$28</f>
        <v>169.62269853833445</v>
      </c>
      <c r="M37" s="95">
        <f>L37/$L$32*10^3</f>
        <v>1301.9866994071265</v>
      </c>
      <c r="N37" s="59"/>
      <c r="O37" s="83" t="s">
        <v>5</v>
      </c>
      <c r="P37" s="84">
        <f t="shared" si="3"/>
        <v>199.55611592745231</v>
      </c>
      <c r="Q37" s="95">
        <f>P37/$P$32*10^3</f>
        <v>587.37050516850752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si="4"/>
        <v>60.893182012364882</v>
      </c>
      <c r="AA37" s="114">
        <f>Z37/$Z$35*10^3</f>
        <v>82.362734115752346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si="4"/>
        <v>90.221848607020107</v>
      </c>
      <c r="AA38" s="114">
        <f>Z38/$Z$35*10^3</f>
        <v>122.03202202083554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si="4"/>
        <v>85.034361147319032</v>
      </c>
      <c r="AA39" s="114">
        <f>Z39/$Z$35*10^3</f>
        <v>115.0155443750229</v>
      </c>
    </row>
    <row r="40" spans="1:27" s="53" customFormat="1" ht="12" customHeight="1">
      <c r="Y40" s="83" t="s">
        <v>5</v>
      </c>
      <c r="Z40" s="94">
        <f t="shared" si="4"/>
        <v>16.378023679999629</v>
      </c>
      <c r="AA40" s="115">
        <f>Z40/$Z$35*10^3</f>
        <v>22.15254261837379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>(F44*F45)-(F46*G47)+(F48*F49)</f>
        <v>1755.5925749557464</v>
      </c>
      <c r="N42" s="49" t="s">
        <v>116</v>
      </c>
      <c r="R42" s="49" t="s">
        <v>124</v>
      </c>
      <c r="T42" s="49">
        <f>(P44/(1+(P45*P46))*P43*P47)</f>
        <v>5.5512340964140732</v>
      </c>
      <c r="U42" s="49">
        <f>P5*T42/10^3</f>
        <v>138.02454589469377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83.268511446211093</v>
      </c>
      <c r="T43" s="49">
        <f>L49*참조!H7*(P44/(1+P45*P46))*P48</f>
        <v>1.0732385919733876</v>
      </c>
      <c r="U43" s="49">
        <f>P5*T43/10^3</f>
        <v>26.684745539640801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195.99586331233462</v>
      </c>
      <c r="N44" s="49" t="s">
        <v>118</v>
      </c>
      <c r="P44" s="49">
        <f>0.4</f>
        <v>0.4</v>
      </c>
      <c r="U44" s="49">
        <f>SUM(U42:U43)</f>
        <v>164.70929143433457</v>
      </c>
    </row>
    <row r="45" spans="1:27" ht="20.100000000000001" customHeight="1">
      <c r="C45" s="49" t="s">
        <v>106</v>
      </c>
      <c r="D45" s="49" t="s">
        <v>100</v>
      </c>
      <c r="F45" s="163">
        <f>P6-U6</f>
        <v>4605.1682175926371</v>
      </c>
      <c r="K45" s="172" t="s">
        <v>43</v>
      </c>
      <c r="L45" s="175">
        <f>Q7</f>
        <v>163.27159107100215</v>
      </c>
      <c r="N45" s="49" t="s">
        <v>119</v>
      </c>
      <c r="P45" s="49">
        <f>0.08</f>
        <v>0.08</v>
      </c>
    </row>
    <row r="46" spans="1:27" ht="20.100000000000001" customHeight="1" thickBo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145.14595182538542</v>
      </c>
      <c r="N46" s="49" t="s">
        <v>120</v>
      </c>
      <c r="P46" s="49">
        <f>참조!I24</f>
        <v>10</v>
      </c>
      <c r="S46" s="215" t="s">
        <v>136</v>
      </c>
      <c r="T46" s="216"/>
      <c r="U46" s="217"/>
    </row>
    <row r="47" spans="1:27" ht="20.100000000000001" customHeight="1" thickTop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49727.51770056082</v>
      </c>
      <c r="K47" s="172" t="s">
        <v>4</v>
      </c>
      <c r="L47" s="175">
        <f>Q9</f>
        <v>45.600164029561725</v>
      </c>
      <c r="N47" s="49" t="s">
        <v>121</v>
      </c>
      <c r="P47" s="49">
        <f>0.3</f>
        <v>0.3</v>
      </c>
      <c r="S47" s="112" t="s">
        <v>74</v>
      </c>
      <c r="T47" s="218">
        <v>120</v>
      </c>
      <c r="U47" s="219"/>
    </row>
    <row r="48" spans="1:27" ht="20.100000000000001" customHeight="1" thickBot="1">
      <c r="C48" s="49" t="s">
        <v>109</v>
      </c>
      <c r="D48" s="49" t="s">
        <v>104</v>
      </c>
      <c r="F48" s="49">
        <v>0.7</v>
      </c>
      <c r="K48" s="173" t="s">
        <v>5</v>
      </c>
      <c r="L48" s="176">
        <f>Q10</f>
        <v>7.9418940628965613</v>
      </c>
      <c r="N48" s="49" t="s">
        <v>122</v>
      </c>
      <c r="P48" s="49">
        <v>0.02</v>
      </c>
      <c r="S48" s="80" t="s">
        <v>2</v>
      </c>
      <c r="T48" s="91">
        <v>27</v>
      </c>
      <c r="U48" s="114">
        <f>T48/$T$47*10^3</f>
        <v>225</v>
      </c>
    </row>
    <row r="49" spans="3:21" ht="20.100000000000001" customHeight="1">
      <c r="C49" s="49" t="s">
        <v>110</v>
      </c>
      <c r="D49" s="49" t="s">
        <v>111</v>
      </c>
      <c r="F49" s="163">
        <f>P8-U8</f>
        <v>3428.4302470667608</v>
      </c>
      <c r="K49" s="172" t="s">
        <v>44</v>
      </c>
      <c r="L49" s="175">
        <f>L45*1.7</f>
        <v>277.56170482070365</v>
      </c>
      <c r="N49" s="49" t="s">
        <v>123</v>
      </c>
      <c r="P49" s="170">
        <f>V8</f>
        <v>7.3219213212501328</v>
      </c>
      <c r="S49" s="80" t="s">
        <v>50</v>
      </c>
      <c r="T49" s="91">
        <v>44</v>
      </c>
      <c r="U49" s="114">
        <f>T49/$T$47*10^3</f>
        <v>366.66666666666663</v>
      </c>
    </row>
    <row r="50" spans="3:21">
      <c r="S50" s="80" t="s">
        <v>3</v>
      </c>
      <c r="T50" s="91">
        <v>2</v>
      </c>
      <c r="U50" s="114">
        <f>T50/$T$47*10^3</f>
        <v>16.666666666666668</v>
      </c>
    </row>
    <row r="51" spans="3:21">
      <c r="S51" s="80" t="s">
        <v>4</v>
      </c>
      <c r="T51" s="91">
        <v>31</v>
      </c>
      <c r="U51" s="114">
        <f>T51/$T$47*10^3</f>
        <v>258.33333333333337</v>
      </c>
    </row>
    <row r="52" spans="3:21">
      <c r="S52" s="83" t="s">
        <v>5</v>
      </c>
      <c r="T52" s="94">
        <v>7</v>
      </c>
      <c r="U52" s="115">
        <f>T52/$T$47*10^3</f>
        <v>58.333333333333336</v>
      </c>
    </row>
  </sheetData>
  <mergeCells count="19">
    <mergeCell ref="Y34:AA34"/>
    <mergeCell ref="Z35:AA35"/>
    <mergeCell ref="S46:U46"/>
    <mergeCell ref="G31:I31"/>
    <mergeCell ref="K31:M31"/>
    <mergeCell ref="O31:Q31"/>
    <mergeCell ref="D5:E5"/>
    <mergeCell ref="H5:I5"/>
    <mergeCell ref="L5:M5"/>
    <mergeCell ref="P5:Q5"/>
    <mergeCell ref="T47:U47"/>
    <mergeCell ref="H32:I32"/>
    <mergeCell ref="L32:M32"/>
    <mergeCell ref="P32:Q32"/>
    <mergeCell ref="D19:E19"/>
    <mergeCell ref="H19:I19"/>
    <mergeCell ref="L19:M19"/>
    <mergeCell ref="Q19:R19"/>
    <mergeCell ref="U5:V5"/>
  </mergeCells>
  <phoneticPr fontId="1" type="noConversion"/>
  <conditionalFormatting sqref="AB5">
    <cfRule type="cellIs" dxfId="0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"/>
  <sheetViews>
    <sheetView workbookViewId="0">
      <selection activeCell="Z43" sqref="Z43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참조</vt:lpstr>
      <vt:lpstr>물질수지 (2010년)</vt:lpstr>
      <vt:lpstr>물질수지 (2015년)</vt:lpstr>
      <vt:lpstr>물질수지 (2020년)</vt:lpstr>
      <vt:lpstr>물질수지 (2025년)</vt:lpstr>
      <vt:lpstr>Sheet3</vt:lpstr>
      <vt:lpstr>'물질수지 (2010년)'!Print_Area</vt:lpstr>
      <vt:lpstr>'물질수지 (2015년)'!Print_Area</vt:lpstr>
      <vt:lpstr>'물질수지 (2020년)'!Print_Area</vt:lpstr>
      <vt:lpstr>'물질수지 (2025년)'!Print_Area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2008-11-13T06:51:16Z</cp:lastPrinted>
  <dcterms:created xsi:type="dcterms:W3CDTF">2008-10-30T00:45:32Z</dcterms:created>
  <dcterms:modified xsi:type="dcterms:W3CDTF">2009-11-27T09:41:03Z</dcterms:modified>
</cp:coreProperties>
</file>