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9320" windowHeight="11760" activeTab="2"/>
  </bookViews>
  <sheets>
    <sheet name="참조" sheetId="1" r:id="rId1"/>
    <sheet name="물질수지 (2020년)" sheetId="27" r:id="rId2"/>
    <sheet name="물질수지 (2025년)" sheetId="28" r:id="rId3"/>
    <sheet name="Sheet3" sheetId="3" r:id="rId4"/>
  </sheets>
  <definedNames>
    <definedName name="_xlnm.Print_Area" localSheetId="1">'물질수지 (2020년)'!$A$1:$W$39</definedName>
    <definedName name="_xlnm.Print_Area" localSheetId="2">'물질수지 (2025년)'!$A$1:$W$39</definedName>
  </definedNames>
  <calcPr calcId="124519"/>
</workbook>
</file>

<file path=xl/calcChain.xml><?xml version="1.0" encoding="utf-8"?>
<calcChain xmlns="http://schemas.openxmlformats.org/spreadsheetml/2006/main">
  <c r="P49" i="28"/>
  <c r="P47"/>
  <c r="F47"/>
  <c r="P46"/>
  <c r="P45"/>
  <c r="P44"/>
  <c r="E59"/>
  <c r="E58"/>
  <c r="M35"/>
  <c r="I35"/>
  <c r="E57"/>
  <c r="E56"/>
  <c r="E55"/>
  <c r="L28"/>
  <c r="H28"/>
  <c r="W24"/>
  <c r="E24"/>
  <c r="E23"/>
  <c r="R22"/>
  <c r="E22"/>
  <c r="E21"/>
  <c r="E20"/>
  <c r="L19"/>
  <c r="H19"/>
  <c r="D10"/>
  <c r="D9"/>
  <c r="M8"/>
  <c r="D8"/>
  <c r="D7"/>
  <c r="D6"/>
  <c r="P49" i="27"/>
  <c r="P47"/>
  <c r="F47"/>
  <c r="P46"/>
  <c r="P45"/>
  <c r="P44"/>
  <c r="E58"/>
  <c r="E57"/>
  <c r="M35"/>
  <c r="I35"/>
  <c r="E56"/>
  <c r="E55"/>
  <c r="E54"/>
  <c r="L28"/>
  <c r="H28"/>
  <c r="W24"/>
  <c r="E24"/>
  <c r="E23"/>
  <c r="R22"/>
  <c r="E22"/>
  <c r="E21"/>
  <c r="E20"/>
  <c r="L19"/>
  <c r="H19"/>
  <c r="D10"/>
  <c r="D9"/>
  <c r="M8"/>
  <c r="D8"/>
  <c r="D7"/>
  <c r="D6"/>
  <c r="D8" i="1"/>
  <c r="E5"/>
  <c r="D19" i="27" l="1"/>
  <c r="H5" s="1"/>
  <c r="I9" s="1"/>
  <c r="D19" i="28"/>
  <c r="H5" s="1"/>
  <c r="I8" s="1"/>
  <c r="H8" s="1"/>
  <c r="I7" l="1"/>
  <c r="H7" s="1"/>
  <c r="I9"/>
  <c r="H9" s="1"/>
  <c r="L9" s="1"/>
  <c r="P9" s="1"/>
  <c r="I6"/>
  <c r="H6" s="1"/>
  <c r="L6" s="1"/>
  <c r="I10"/>
  <c r="H10" s="1"/>
  <c r="L10" s="1"/>
  <c r="I7" i="27"/>
  <c r="H7" s="1"/>
  <c r="I8"/>
  <c r="H8" s="1"/>
  <c r="I10"/>
  <c r="H9"/>
  <c r="H10"/>
  <c r="I6"/>
  <c r="H6" s="1"/>
  <c r="L7" i="28"/>
  <c r="P7" s="1"/>
  <c r="L8"/>
  <c r="L5" s="1"/>
  <c r="P5" s="1"/>
  <c r="G47" s="1"/>
  <c r="L6" i="27" l="1"/>
  <c r="L7"/>
  <c r="L10"/>
  <c r="L9"/>
  <c r="L8"/>
  <c r="L5" s="1"/>
  <c r="P5" s="1"/>
  <c r="G47" s="1"/>
  <c r="M6" i="28"/>
  <c r="M10"/>
  <c r="P6"/>
  <c r="Q6" s="1"/>
  <c r="L44" s="1"/>
  <c r="P10"/>
  <c r="Q10" s="1"/>
  <c r="L48" s="1"/>
  <c r="P8"/>
  <c r="Q8" s="1"/>
  <c r="L46" s="1"/>
  <c r="Q7"/>
  <c r="L45" s="1"/>
  <c r="L49" s="1"/>
  <c r="P43" s="1"/>
  <c r="T42" s="1"/>
  <c r="U42" s="1"/>
  <c r="Q9"/>
  <c r="L47" s="1"/>
  <c r="M9"/>
  <c r="M7"/>
  <c r="P8" i="27" l="1"/>
  <c r="Q8" s="1"/>
  <c r="L46" s="1"/>
  <c r="M9"/>
  <c r="M10"/>
  <c r="M7"/>
  <c r="M6"/>
  <c r="P9"/>
  <c r="Q9" s="1"/>
  <c r="L47" s="1"/>
  <c r="P10"/>
  <c r="Q10" s="1"/>
  <c r="L48" s="1"/>
  <c r="P7"/>
  <c r="Q7" s="1"/>
  <c r="L45" s="1"/>
  <c r="L49" s="1"/>
  <c r="P6"/>
  <c r="Q6" s="1"/>
  <c r="L44" s="1"/>
  <c r="T43" i="28"/>
  <c r="U43" s="1"/>
  <c r="U44" s="1"/>
  <c r="P43" i="27" l="1"/>
  <c r="T42" s="1"/>
  <c r="U42" s="1"/>
  <c r="T43"/>
  <c r="U43" s="1"/>
  <c r="U44" l="1"/>
  <c r="F49" l="1"/>
  <c r="R8"/>
  <c r="R20"/>
  <c r="I22"/>
  <c r="AA32"/>
  <c r="AA31"/>
  <c r="Q37"/>
  <c r="Y24"/>
  <c r="V24"/>
  <c r="M34"/>
  <c r="R24"/>
  <c r="F49" i="28"/>
  <c r="R8"/>
  <c r="R20"/>
  <c r="I22"/>
  <c r="AA32"/>
  <c r="AA31"/>
  <c r="Q37"/>
  <c r="Y24"/>
  <c r="V24"/>
  <c r="M34"/>
  <c r="R24"/>
  <c r="Z35" i="27"/>
  <c r="U19"/>
  <c r="AD9"/>
  <c r="M36"/>
  <c r="U24"/>
  <c r="R10"/>
  <c r="M37"/>
  <c r="Z38"/>
  <c r="AA38"/>
  <c r="Z40"/>
  <c r="AA40"/>
  <c r="Z35" i="28"/>
  <c r="U19"/>
  <c r="AD9"/>
  <c r="M36"/>
  <c r="U24"/>
  <c r="R10"/>
  <c r="M37"/>
  <c r="Z38"/>
  <c r="AA38"/>
  <c r="Z40"/>
  <c r="AA40"/>
  <c r="V20" i="27"/>
  <c r="Y20"/>
  <c r="Q34"/>
  <c r="R7"/>
  <c r="Y23"/>
  <c r="V23"/>
  <c r="Q33" i="28"/>
  <c r="R6"/>
  <c r="Y21"/>
  <c r="V21"/>
  <c r="M33"/>
  <c r="M33" i="27"/>
  <c r="I21"/>
  <c r="H36"/>
  <c r="I36"/>
  <c r="AA39"/>
  <c r="U20"/>
  <c r="R6"/>
  <c r="AA26" i="28"/>
  <c r="AD7"/>
  <c r="Q35"/>
  <c r="I23"/>
  <c r="M23"/>
  <c r="I20" i="27"/>
  <c r="V22"/>
  <c r="U8"/>
  <c r="U22"/>
  <c r="Y22"/>
  <c r="H34"/>
  <c r="I34"/>
  <c r="R7" i="28"/>
  <c r="U21"/>
  <c r="Y22"/>
  <c r="U8"/>
  <c r="U22"/>
  <c r="V22"/>
  <c r="AA26" i="27"/>
  <c r="AD10"/>
  <c r="U16"/>
  <c r="V16"/>
  <c r="Q35"/>
  <c r="H35"/>
  <c r="H32"/>
  <c r="H37"/>
  <c r="I37"/>
  <c r="M20"/>
  <c r="L22"/>
  <c r="M22"/>
  <c r="Q34" i="28"/>
  <c r="Y23"/>
  <c r="V23"/>
  <c r="H33"/>
  <c r="I33"/>
  <c r="AA10" i="27"/>
  <c r="Q36"/>
  <c r="I23"/>
  <c r="L36"/>
  <c r="H23"/>
  <c r="D23"/>
  <c r="R23"/>
  <c r="Q23"/>
  <c r="P36"/>
  <c r="L23"/>
  <c r="M23"/>
  <c r="P32" i="28"/>
  <c r="AA5"/>
  <c r="AD5"/>
  <c r="AA7"/>
  <c r="R23"/>
  <c r="AA39"/>
  <c r="R9" i="27"/>
  <c r="U23"/>
  <c r="U9"/>
  <c r="Z39"/>
  <c r="R21"/>
  <c r="Q33"/>
  <c r="L20"/>
  <c r="R9" i="28"/>
  <c r="U23"/>
  <c r="U9"/>
  <c r="Z39"/>
  <c r="R21"/>
  <c r="Q36"/>
  <c r="L23"/>
  <c r="AD6" i="27"/>
  <c r="AA11"/>
  <c r="AD11"/>
  <c r="L32" i="28"/>
  <c r="AA6"/>
  <c r="AD6"/>
  <c r="AA11"/>
  <c r="AD11"/>
  <c r="L21" i="27"/>
  <c r="M21"/>
  <c r="H33"/>
  <c r="I33"/>
  <c r="L20" i="28"/>
  <c r="M20"/>
  <c r="L22"/>
  <c r="M22"/>
  <c r="P32" i="27"/>
  <c r="AA5"/>
  <c r="AD5"/>
  <c r="L32"/>
  <c r="AA6"/>
  <c r="P35"/>
  <c r="L35"/>
  <c r="H22"/>
  <c r="D22"/>
  <c r="AA9"/>
  <c r="Z36"/>
  <c r="AA36"/>
  <c r="I20" i="28"/>
  <c r="Q20"/>
  <c r="P33"/>
  <c r="L33"/>
  <c r="H20"/>
  <c r="D20"/>
  <c r="I24"/>
  <c r="H24"/>
  <c r="D24"/>
  <c r="U7"/>
  <c r="Z37"/>
  <c r="AA37"/>
  <c r="I21"/>
  <c r="H34"/>
  <c r="I34"/>
  <c r="AD8" i="27"/>
  <c r="I24"/>
  <c r="L37"/>
  <c r="H24"/>
  <c r="D24"/>
  <c r="U10"/>
  <c r="Q24"/>
  <c r="P37"/>
  <c r="L24"/>
  <c r="M24"/>
  <c r="L34" i="28"/>
  <c r="H21"/>
  <c r="D21"/>
  <c r="AA8"/>
  <c r="AD8"/>
  <c r="H23"/>
  <c r="D23"/>
  <c r="AA10"/>
  <c r="AD10"/>
  <c r="U16"/>
  <c r="V16"/>
  <c r="L24"/>
  <c r="M24"/>
  <c r="H35"/>
  <c r="H32"/>
  <c r="U10"/>
  <c r="Q24"/>
  <c r="P37"/>
  <c r="L37"/>
  <c r="H37"/>
  <c r="I37"/>
  <c r="V21" i="27"/>
  <c r="U21"/>
  <c r="Y21"/>
  <c r="V20" i="28"/>
  <c r="U20"/>
  <c r="Y20"/>
  <c r="Q21"/>
  <c r="P34"/>
  <c r="L21"/>
  <c r="M21"/>
  <c r="Q20" i="27"/>
  <c r="P33"/>
  <c r="L33"/>
  <c r="H20"/>
  <c r="D20"/>
  <c r="AA7"/>
  <c r="AD7"/>
  <c r="Q21"/>
  <c r="P34"/>
  <c r="L34"/>
  <c r="H21"/>
  <c r="D21"/>
  <c r="AA8"/>
  <c r="U7"/>
  <c r="Z37"/>
  <c r="AA37"/>
  <c r="Q22"/>
  <c r="Q19"/>
  <c r="U5"/>
  <c r="U6"/>
  <c r="F45"/>
  <c r="I42"/>
  <c r="P35" i="28"/>
  <c r="L35"/>
  <c r="H22"/>
  <c r="D22"/>
  <c r="AA9"/>
  <c r="Q23"/>
  <c r="P36"/>
  <c r="L36"/>
  <c r="H36"/>
  <c r="I36"/>
  <c r="Z36"/>
  <c r="AA36"/>
  <c r="Q22"/>
  <c r="Q19"/>
  <c r="U5"/>
  <c r="U6"/>
  <c r="F45"/>
  <c r="I42"/>
</calcChain>
</file>

<file path=xl/sharedStrings.xml><?xml version="1.0" encoding="utf-8"?>
<sst xmlns="http://schemas.openxmlformats.org/spreadsheetml/2006/main" count="447" uniqueCount="149">
  <si>
    <t>1. 설계수량 및 수질</t>
    <phoneticPr fontId="1" type="noConversion"/>
  </si>
  <si>
    <t>Q=</t>
    <phoneticPr fontId="1" type="noConversion"/>
  </si>
  <si>
    <t>BOD</t>
    <phoneticPr fontId="1" type="noConversion"/>
  </si>
  <si>
    <t>SS</t>
    <phoneticPr fontId="1" type="noConversion"/>
  </si>
  <si>
    <t>T-N</t>
    <phoneticPr fontId="1" type="noConversion"/>
  </si>
  <si>
    <t>T-P</t>
    <phoneticPr fontId="1" type="noConversion"/>
  </si>
  <si>
    <t>유입수</t>
    <phoneticPr fontId="1" type="noConversion"/>
  </si>
  <si>
    <t>2. 최초침전지</t>
    <phoneticPr fontId="1" type="noConversion"/>
  </si>
  <si>
    <t>형식</t>
    <phoneticPr fontId="1" type="noConversion"/>
  </si>
  <si>
    <t>형식:</t>
    <phoneticPr fontId="1" type="noConversion"/>
  </si>
  <si>
    <t>중력식</t>
    <phoneticPr fontId="1" type="noConversion"/>
  </si>
  <si>
    <t>처리효율</t>
    <phoneticPr fontId="1" type="noConversion"/>
  </si>
  <si>
    <t>TS</t>
    <phoneticPr fontId="1" type="noConversion"/>
  </si>
  <si>
    <t>FSS/TSS</t>
    <phoneticPr fontId="1" type="noConversion"/>
  </si>
  <si>
    <t>I-N</t>
    <phoneticPr fontId="1" type="noConversion"/>
  </si>
  <si>
    <t>I-P</t>
    <phoneticPr fontId="1" type="noConversion"/>
  </si>
  <si>
    <t>3. DNR 반응조</t>
    <phoneticPr fontId="1" type="noConversion"/>
  </si>
  <si>
    <t>반송률</t>
    <phoneticPr fontId="1" type="noConversion"/>
  </si>
  <si>
    <t>내부반송률</t>
    <phoneticPr fontId="1" type="noConversion"/>
  </si>
  <si>
    <t>매생물증식에 의한 T-N</t>
    <phoneticPr fontId="1" type="noConversion"/>
  </si>
  <si>
    <t>무산소조로 유입되는 T-N</t>
    <phoneticPr fontId="1" type="noConversion"/>
  </si>
  <si>
    <t>내부반송수의 Nox</t>
    <phoneticPr fontId="1" type="noConversion"/>
  </si>
  <si>
    <t>무산소조에서의 고율탈질</t>
    <phoneticPr fontId="1" type="noConversion"/>
  </si>
  <si>
    <t>무산소조에서 2차탈질</t>
    <phoneticPr fontId="1" type="noConversion"/>
  </si>
  <si>
    <t>유출수내 T-N</t>
    <phoneticPr fontId="1" type="noConversion"/>
  </si>
  <si>
    <t>반응조 체류시간</t>
    <phoneticPr fontId="1" type="noConversion"/>
  </si>
  <si>
    <t>질소 함유량</t>
    <phoneticPr fontId="1" type="noConversion"/>
  </si>
  <si>
    <t xml:space="preserve">P 방출량 </t>
    <phoneticPr fontId="1" type="noConversion"/>
  </si>
  <si>
    <t>RBDCOD 소모량= P방출량 x gRBDCOD/Prel(2)</t>
    <phoneticPr fontId="1" type="noConversion"/>
  </si>
  <si>
    <t>탈질이용 COD</t>
    <phoneticPr fontId="1" type="noConversion"/>
  </si>
  <si>
    <t>=RBDCODt(COD의 25%)-인방출용 RBDCOD</t>
    <phoneticPr fontId="1" type="noConversion"/>
  </si>
  <si>
    <t>고율탈질율= 탈질이용 COD/탈질시 COD소모율</t>
    <phoneticPr fontId="1" type="noConversion"/>
  </si>
  <si>
    <t>내부반송수 Nox의 탈질률</t>
    <phoneticPr fontId="1" type="noConversion"/>
  </si>
  <si>
    <t>고형물체류시간</t>
    <phoneticPr fontId="1" type="noConversion"/>
  </si>
  <si>
    <t>반응조내 MLSS농도</t>
    <phoneticPr fontId="1" type="noConversion"/>
  </si>
  <si>
    <t>MLVSS/MLSS</t>
    <phoneticPr fontId="1" type="noConversion"/>
  </si>
  <si>
    <t>반응조내 인의 유입량</t>
    <phoneticPr fontId="1" type="noConversion"/>
  </si>
  <si>
    <t>미생물증식에 의한 인 제거</t>
    <phoneticPr fontId="1" type="noConversion"/>
  </si>
  <si>
    <t>처리후 T-P량</t>
    <phoneticPr fontId="1" type="noConversion"/>
  </si>
  <si>
    <t>처리후 T-P농도</t>
    <phoneticPr fontId="1" type="noConversion"/>
  </si>
  <si>
    <t>잉여슬러지량(VSS)</t>
    <phoneticPr fontId="1" type="noConversion"/>
  </si>
  <si>
    <t>잉여슬러지량(TSS)</t>
    <phoneticPr fontId="1" type="noConversion"/>
  </si>
  <si>
    <t>4. 최종침전지</t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</si>
  <si>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Mn</t>
    </r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</si>
  <si>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cr</t>
    </r>
    <phoneticPr fontId="1" type="noConversion"/>
  </si>
  <si>
    <t>5. 부상농축조</t>
    <phoneticPr fontId="1" type="noConversion"/>
  </si>
  <si>
    <t>원심농축기</t>
    <phoneticPr fontId="1" type="noConversion"/>
  </si>
  <si>
    <t>처리효율</t>
    <phoneticPr fontId="1" type="noConversion"/>
  </si>
  <si>
    <t>상등수</t>
    <phoneticPr fontId="1" type="noConversion"/>
  </si>
  <si>
    <t>SBOD</t>
    <phoneticPr fontId="1" type="noConversion"/>
  </si>
  <si>
    <t>COD</t>
    <phoneticPr fontId="1" type="noConversion"/>
  </si>
  <si>
    <t>함수율</t>
    <phoneticPr fontId="1" type="noConversion"/>
  </si>
  <si>
    <t>유기물함유율</t>
    <phoneticPr fontId="1" type="noConversion"/>
  </si>
  <si>
    <t>유기물분해율</t>
    <phoneticPr fontId="1" type="noConversion"/>
  </si>
  <si>
    <t>함수율</t>
    <phoneticPr fontId="1" type="noConversion"/>
  </si>
  <si>
    <t>소화슬러지내 질소함량</t>
    <phoneticPr fontId="1" type="noConversion"/>
  </si>
  <si>
    <t>소화슬러지내 인함량</t>
    <phoneticPr fontId="1" type="noConversion"/>
  </si>
  <si>
    <t>혐기성 2단소화</t>
    <phoneticPr fontId="1" type="noConversion"/>
  </si>
  <si>
    <t>6. 소화조(1)</t>
    <phoneticPr fontId="1" type="noConversion"/>
  </si>
  <si>
    <t>7. 소화조(2)</t>
    <phoneticPr fontId="1" type="noConversion"/>
  </si>
  <si>
    <t xml:space="preserve">형식: </t>
    <phoneticPr fontId="1" type="noConversion"/>
  </si>
  <si>
    <t xml:space="preserve"> </t>
    <phoneticPr fontId="1" type="noConversion"/>
  </si>
  <si>
    <t>혐기성 2단 소화</t>
    <phoneticPr fontId="1" type="noConversion"/>
  </si>
  <si>
    <t>유기물함량</t>
    <phoneticPr fontId="1" type="noConversion"/>
  </si>
  <si>
    <t>용출되는 질소량</t>
    <phoneticPr fontId="1" type="noConversion"/>
  </si>
  <si>
    <t>용출되는 인 량</t>
    <phoneticPr fontId="1" type="noConversion"/>
  </si>
  <si>
    <t>(인의 재용출량 포함, 보통 25~35%)</t>
    <phoneticPr fontId="1" type="noConversion"/>
  </si>
  <si>
    <t>8. 탈수기</t>
    <phoneticPr fontId="1" type="noConversion"/>
  </si>
  <si>
    <t>벨트프레스</t>
    <phoneticPr fontId="1" type="noConversion"/>
  </si>
  <si>
    <t>9. 반류수내 인 부하감소율</t>
    <phoneticPr fontId="1" type="noConversion"/>
  </si>
  <si>
    <t>반류수내  SS부하감소율</t>
    <phoneticPr fontId="1" type="noConversion"/>
  </si>
  <si>
    <t>10. 분뇨 및 정화조 패액</t>
    <phoneticPr fontId="1" type="noConversion"/>
  </si>
  <si>
    <t>유입량</t>
    <phoneticPr fontId="1" type="noConversion"/>
  </si>
  <si>
    <t>폐액성상</t>
    <phoneticPr fontId="1" type="noConversion"/>
  </si>
  <si>
    <t>Q</t>
    <phoneticPr fontId="1" type="noConversion"/>
  </si>
  <si>
    <t>최초 침전지</t>
    <phoneticPr fontId="1" type="noConversion"/>
  </si>
  <si>
    <t>설계수질</t>
    <phoneticPr fontId="1" type="noConversion"/>
  </si>
  <si>
    <t>제거율</t>
    <phoneticPr fontId="1" type="noConversion"/>
  </si>
  <si>
    <t>반송수</t>
    <phoneticPr fontId="1" type="noConversion"/>
  </si>
  <si>
    <t>최종침전지 유출수</t>
    <phoneticPr fontId="1" type="noConversion"/>
  </si>
  <si>
    <t>전체</t>
    <phoneticPr fontId="1" type="noConversion"/>
  </si>
  <si>
    <t>최종침전지</t>
    <phoneticPr fontId="1" type="noConversion"/>
  </si>
  <si>
    <t>(기존 소화조)</t>
    <phoneticPr fontId="1" type="noConversion"/>
  </si>
  <si>
    <t>탈수기</t>
    <phoneticPr fontId="1" type="noConversion"/>
  </si>
  <si>
    <t>농축여액</t>
    <phoneticPr fontId="1" type="noConversion"/>
  </si>
  <si>
    <t>농축액</t>
    <phoneticPr fontId="1" type="noConversion"/>
  </si>
  <si>
    <t>탈수여액</t>
    <phoneticPr fontId="1" type="noConversion"/>
  </si>
  <si>
    <t>탈수케익</t>
    <phoneticPr fontId="1" type="noConversion"/>
  </si>
  <si>
    <t xml:space="preserve"> 하수찌꺼기 저류조</t>
    <phoneticPr fontId="1" type="noConversion"/>
  </si>
  <si>
    <t>하수찌꺼기 저류조</t>
    <phoneticPr fontId="1" type="noConversion"/>
  </si>
  <si>
    <t>회수율</t>
    <phoneticPr fontId="1" type="noConversion"/>
  </si>
  <si>
    <t>값만입력</t>
    <phoneticPr fontId="1" type="noConversion"/>
  </si>
  <si>
    <t>순환참조</t>
    <phoneticPr fontId="1" type="noConversion"/>
  </si>
  <si>
    <t>반송수농도</t>
    <phoneticPr fontId="1" type="noConversion"/>
  </si>
  <si>
    <t>단위(kg/일, mg/L)</t>
    <phoneticPr fontId="1" type="noConversion"/>
  </si>
  <si>
    <t>슬러지인함량</t>
    <phoneticPr fontId="1" type="noConversion"/>
  </si>
  <si>
    <t>VS</t>
    <phoneticPr fontId="1" type="noConversion"/>
  </si>
  <si>
    <t>용량대비 잉여발생량</t>
    <phoneticPr fontId="1" type="noConversion"/>
  </si>
  <si>
    <t>1. 고형물 수지계산(2010년, 천안처리장)</t>
    <phoneticPr fontId="1" type="noConversion"/>
  </si>
  <si>
    <t>유입수질</t>
    <phoneticPr fontId="1" type="noConversion"/>
  </si>
  <si>
    <t>제거유기물량</t>
    <phoneticPr fontId="1" type="noConversion"/>
  </si>
  <si>
    <t>자기산화율</t>
    <phoneticPr fontId="1" type="noConversion"/>
  </si>
  <si>
    <t>MLVSS</t>
    <phoneticPr fontId="1" type="noConversion"/>
  </si>
  <si>
    <t>BOD슬러지전환율</t>
    <phoneticPr fontId="1" type="noConversion"/>
  </si>
  <si>
    <t>SS슬러지전환율</t>
    <phoneticPr fontId="1" type="noConversion"/>
  </si>
  <si>
    <t>a:</t>
    <phoneticPr fontId="1" type="noConversion"/>
  </si>
  <si>
    <t>Sr</t>
    <phoneticPr fontId="1" type="noConversion"/>
  </si>
  <si>
    <t>b</t>
    <phoneticPr fontId="1" type="noConversion"/>
  </si>
  <si>
    <t>X</t>
    <phoneticPr fontId="1" type="noConversion"/>
  </si>
  <si>
    <t>c</t>
    <phoneticPr fontId="1" type="noConversion"/>
  </si>
  <si>
    <t>Ss</t>
    <phoneticPr fontId="1" type="noConversion"/>
  </si>
  <si>
    <t>반응조제거SS</t>
    <phoneticPr fontId="1" type="noConversion"/>
  </si>
  <si>
    <t>슬러지발생량 =a*Sr-b*X+c*Ss</t>
    <phoneticPr fontId="1" type="noConversion"/>
  </si>
  <si>
    <t>슬러지질소함량</t>
    <phoneticPr fontId="1" type="noConversion"/>
  </si>
  <si>
    <t>최초 침전지  슬러지</t>
    <phoneticPr fontId="1" type="noConversion"/>
  </si>
  <si>
    <t>인 함유량</t>
    <phoneticPr fontId="1" type="noConversion"/>
  </si>
  <si>
    <t>인제거량</t>
    <phoneticPr fontId="1" type="noConversion"/>
  </si>
  <si>
    <t>rbdCOD</t>
    <phoneticPr fontId="1" type="noConversion"/>
  </si>
  <si>
    <t>Y</t>
    <phoneticPr fontId="1" type="noConversion"/>
  </si>
  <si>
    <t>Kd</t>
    <phoneticPr fontId="1" type="noConversion"/>
  </si>
  <si>
    <t>SRT</t>
    <phoneticPr fontId="1" type="noConversion"/>
  </si>
  <si>
    <t>PAOs인농도</t>
    <phoneticPr fontId="1" type="noConversion"/>
  </si>
  <si>
    <t>기타인농도</t>
    <phoneticPr fontId="1" type="noConversion"/>
  </si>
  <si>
    <t>유출수 VSS</t>
    <phoneticPr fontId="1" type="noConversion"/>
  </si>
  <si>
    <t>PAO제거량</t>
    <phoneticPr fontId="1" type="noConversion"/>
  </si>
  <si>
    <t>mg/L</t>
    <phoneticPr fontId="1" type="noConversion"/>
  </si>
  <si>
    <t>kg/d</t>
    <phoneticPr fontId="1" type="noConversion"/>
  </si>
  <si>
    <t>최종 침전지 잉여 슬러지</t>
    <phoneticPr fontId="1" type="noConversion"/>
  </si>
  <si>
    <t>Q</t>
  </si>
  <si>
    <t>BOD</t>
  </si>
  <si>
    <t>COD</t>
  </si>
  <si>
    <t>SS</t>
  </si>
  <si>
    <t>T-N</t>
  </si>
  <si>
    <t>T-P</t>
  </si>
  <si>
    <t>후단처리 역세수</t>
    <phoneticPr fontId="1" type="noConversion"/>
  </si>
  <si>
    <t>축산폐수 연계처리</t>
    <phoneticPr fontId="1" type="noConversion"/>
  </si>
  <si>
    <t>1침유출 RBDCOD/TCOD</t>
    <phoneticPr fontId="1" type="noConversion"/>
  </si>
  <si>
    <t>1침유출 bCOD/TCOD</t>
    <phoneticPr fontId="1" type="noConversion"/>
  </si>
  <si>
    <t>약품주입처리</t>
    <phoneticPr fontId="1" type="noConversion"/>
  </si>
  <si>
    <t>후단처리시설 통과시</t>
    <phoneticPr fontId="1" type="noConversion"/>
  </si>
  <si>
    <t>제거율</t>
    <phoneticPr fontId="1" type="noConversion"/>
  </si>
  <si>
    <t xml:space="preserve"> 생물반응조</t>
    <phoneticPr fontId="1" type="noConversion"/>
  </si>
  <si>
    <t>원심농축</t>
    <phoneticPr fontId="1" type="noConversion"/>
  </si>
  <si>
    <t>혐기</t>
    <phoneticPr fontId="1" type="noConversion"/>
  </si>
  <si>
    <t>무산소</t>
    <phoneticPr fontId="1" type="noConversion"/>
  </si>
  <si>
    <t>호기조</t>
    <phoneticPr fontId="1" type="noConversion"/>
  </si>
  <si>
    <t>2.3 3단계(2020년)</t>
    <phoneticPr fontId="1" type="noConversion"/>
  </si>
  <si>
    <t>2.4 4단계(2025년)</t>
    <phoneticPr fontId="1" type="noConversion"/>
  </si>
  <si>
    <t>다. 증설 2단계 처리시설(Q=22000㎥/일)</t>
    <phoneticPr fontId="3" type="noConversion"/>
  </si>
</sst>
</file>

<file path=xl/styles.xml><?xml version="1.0" encoding="utf-8"?>
<styleSheet xmlns="http://schemas.openxmlformats.org/spreadsheetml/2006/main">
  <numFmts count="13">
    <numFmt numFmtId="176" formatCode="0\ &quot;㎎/ℓ&quot;"/>
    <numFmt numFmtId="177" formatCode="0\ &quot;㎥/일&quot;"/>
    <numFmt numFmtId="178" formatCode="0.00\ &quot;㎎/ℓ&quot;"/>
    <numFmt numFmtId="179" formatCode="0.0\ &quot;㎎/ℓ&quot;"/>
    <numFmt numFmtId="180" formatCode="0.0%"/>
    <numFmt numFmtId="181" formatCode="0\ &quot;일&quot;"/>
    <numFmt numFmtId="182" formatCode="0\ &quot;㎏/일&quot;"/>
    <numFmt numFmtId="183" formatCode="0\ &quot;gCOD/gNO3&quot;"/>
    <numFmt numFmtId="184" formatCode="0_ "/>
    <numFmt numFmtId="185" formatCode="0_);[Red]\(0\)"/>
    <numFmt numFmtId="186" formatCode="0.0_);[Red]\(0.0\)"/>
    <numFmt numFmtId="187" formatCode="0.00_);[Red]\(0.00\)"/>
    <numFmt numFmtId="188" formatCode="0.0_ "/>
  </numFmts>
  <fonts count="1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vertAlign val="subscript"/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8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8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8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80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81" fontId="0" fillId="0" borderId="27" xfId="0" applyNumberFormat="1" applyBorder="1">
      <alignment vertical="center"/>
    </xf>
    <xf numFmtId="176" fontId="0" fillId="0" borderId="5" xfId="0" applyNumberFormat="1" applyBorder="1">
      <alignment vertical="center"/>
    </xf>
    <xf numFmtId="9" fontId="0" fillId="0" borderId="5" xfId="0" applyNumberFormat="1" applyBorder="1">
      <alignment vertical="center"/>
    </xf>
    <xf numFmtId="182" fontId="0" fillId="0" borderId="5" xfId="0" applyNumberFormat="1" applyBorder="1">
      <alignment vertical="center"/>
    </xf>
    <xf numFmtId="179" fontId="0" fillId="0" borderId="11" xfId="0" applyNumberFormat="1" applyBorder="1">
      <alignment vertical="center"/>
    </xf>
    <xf numFmtId="9" fontId="0" fillId="0" borderId="15" xfId="0" applyNumberFormat="1" applyBorder="1">
      <alignment vertical="center"/>
    </xf>
    <xf numFmtId="183" fontId="0" fillId="0" borderId="13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quotePrefix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179" fontId="0" fillId="0" borderId="34" xfId="0" applyNumberFormat="1" applyBorder="1">
      <alignment vertical="center"/>
    </xf>
    <xf numFmtId="0" fontId="5" fillId="0" borderId="0" xfId="0" applyFont="1">
      <alignment vertical="center"/>
    </xf>
    <xf numFmtId="176" fontId="0" fillId="0" borderId="35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4" xfId="0" applyFont="1" applyBorder="1">
      <alignment vertical="center"/>
    </xf>
    <xf numFmtId="180" fontId="5" fillId="0" borderId="27" xfId="0" applyNumberFormat="1" applyFont="1" applyBorder="1">
      <alignment vertical="center"/>
    </xf>
    <xf numFmtId="180" fontId="6" fillId="0" borderId="26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9" xfId="0" applyFont="1" applyBorder="1">
      <alignment vertical="center"/>
    </xf>
    <xf numFmtId="180" fontId="5" fillId="0" borderId="5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9" xfId="0" applyFont="1" applyBorder="1">
      <alignment vertical="center"/>
    </xf>
    <xf numFmtId="180" fontId="6" fillId="0" borderId="5" xfId="0" applyNumberFormat="1" applyFont="1" applyBorder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9" fontId="0" fillId="0" borderId="27" xfId="0" applyNumberFormat="1" applyBorder="1">
      <alignment vertical="center"/>
    </xf>
    <xf numFmtId="0" fontId="0" fillId="0" borderId="36" xfId="0" applyBorder="1">
      <alignment vertical="center"/>
    </xf>
    <xf numFmtId="176" fontId="0" fillId="0" borderId="37" xfId="0" applyNumberFormat="1" applyBorder="1">
      <alignment vertical="center"/>
    </xf>
    <xf numFmtId="0" fontId="5" fillId="0" borderId="2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12" xfId="0" applyFont="1" applyBorder="1">
      <alignment vertical="center"/>
    </xf>
    <xf numFmtId="184" fontId="6" fillId="0" borderId="17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84" fontId="6" fillId="0" borderId="18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5" xfId="0" applyFont="1" applyBorder="1">
      <alignment vertical="center"/>
    </xf>
    <xf numFmtId="184" fontId="6" fillId="0" borderId="0" xfId="0" applyNumberFormat="1" applyFont="1" applyBorder="1">
      <alignment vertical="center"/>
    </xf>
    <xf numFmtId="185" fontId="6" fillId="0" borderId="40" xfId="0" applyNumberFormat="1" applyFont="1" applyBorder="1">
      <alignment vertical="center"/>
    </xf>
    <xf numFmtId="185" fontId="6" fillId="0" borderId="17" xfId="0" applyNumberFormat="1" applyFont="1" applyBorder="1">
      <alignment vertical="center"/>
    </xf>
    <xf numFmtId="185" fontId="6" fillId="0" borderId="13" xfId="0" applyNumberFormat="1" applyFont="1" applyBorder="1">
      <alignment vertical="center"/>
    </xf>
    <xf numFmtId="185" fontId="6" fillId="0" borderId="12" xfId="0" applyNumberFormat="1" applyFont="1" applyBorder="1">
      <alignment vertical="center"/>
    </xf>
    <xf numFmtId="185" fontId="6" fillId="0" borderId="18" xfId="0" applyNumberFormat="1" applyFont="1" applyBorder="1">
      <alignment vertical="center"/>
    </xf>
    <xf numFmtId="185" fontId="6" fillId="0" borderId="15" xfId="0" applyNumberFormat="1" applyFont="1" applyBorder="1">
      <alignment vertical="center"/>
    </xf>
    <xf numFmtId="185" fontId="6" fillId="0" borderId="14" xfId="0" applyNumberFormat="1" applyFont="1" applyBorder="1">
      <alignment vertical="center"/>
    </xf>
    <xf numFmtId="186" fontId="6" fillId="0" borderId="13" xfId="0" applyNumberFormat="1" applyFont="1" applyBorder="1">
      <alignment vertical="center"/>
    </xf>
    <xf numFmtId="187" fontId="6" fillId="0" borderId="13" xfId="0" applyNumberFormat="1" applyFont="1" applyBorder="1">
      <alignment vertical="center"/>
    </xf>
    <xf numFmtId="187" fontId="6" fillId="0" borderId="15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184" fontId="6" fillId="0" borderId="13" xfId="0" applyNumberFormat="1" applyFont="1" applyBorder="1">
      <alignment vertical="center"/>
    </xf>
    <xf numFmtId="184" fontId="6" fillId="0" borderId="15" xfId="0" applyNumberFormat="1" applyFont="1" applyBorder="1">
      <alignment vertical="center"/>
    </xf>
    <xf numFmtId="0" fontId="6" fillId="2" borderId="47" xfId="0" applyFont="1" applyFill="1" applyBorder="1">
      <alignment vertical="center"/>
    </xf>
    <xf numFmtId="9" fontId="6" fillId="2" borderId="48" xfId="0" applyNumberFormat="1" applyFont="1" applyFill="1" applyBorder="1">
      <alignment vertical="center"/>
    </xf>
    <xf numFmtId="9" fontId="6" fillId="2" borderId="49" xfId="0" applyNumberFormat="1" applyFont="1" applyFill="1" applyBorder="1">
      <alignment vertical="center"/>
    </xf>
    <xf numFmtId="9" fontId="6" fillId="2" borderId="50" xfId="0" applyNumberFormat="1" applyFont="1" applyFill="1" applyBorder="1">
      <alignment vertical="center"/>
    </xf>
    <xf numFmtId="180" fontId="6" fillId="2" borderId="48" xfId="0" applyNumberFormat="1" applyFont="1" applyFill="1" applyBorder="1">
      <alignment vertical="center"/>
    </xf>
    <xf numFmtId="180" fontId="6" fillId="2" borderId="51" xfId="0" applyNumberFormat="1" applyFont="1" applyFill="1" applyBorder="1">
      <alignment vertical="center"/>
    </xf>
    <xf numFmtId="186" fontId="6" fillId="0" borderId="15" xfId="0" applyNumberFormat="1" applyFont="1" applyBorder="1">
      <alignment vertical="center"/>
    </xf>
    <xf numFmtId="185" fontId="6" fillId="0" borderId="0" xfId="0" applyNumberFormat="1" applyFont="1" applyBorder="1">
      <alignment vertical="center"/>
    </xf>
    <xf numFmtId="0" fontId="5" fillId="0" borderId="49" xfId="0" applyFont="1" applyBorder="1">
      <alignment vertical="center"/>
    </xf>
    <xf numFmtId="185" fontId="6" fillId="0" borderId="49" xfId="0" applyNumberFormat="1" applyFont="1" applyBorder="1">
      <alignment vertical="center"/>
    </xf>
    <xf numFmtId="186" fontId="6" fillId="0" borderId="49" xfId="0" applyNumberFormat="1" applyFont="1" applyBorder="1">
      <alignment vertical="center"/>
    </xf>
    <xf numFmtId="187" fontId="6" fillId="0" borderId="49" xfId="0" applyNumberFormat="1" applyFont="1" applyBorder="1">
      <alignment vertical="center"/>
    </xf>
    <xf numFmtId="187" fontId="6" fillId="0" borderId="0" xfId="0" applyNumberFormat="1" applyFont="1" applyBorder="1">
      <alignment vertical="center"/>
    </xf>
    <xf numFmtId="9" fontId="6" fillId="0" borderId="0" xfId="0" applyNumberFormat="1" applyFont="1" applyFill="1" applyBorder="1">
      <alignment vertical="center"/>
    </xf>
    <xf numFmtId="185" fontId="6" fillId="0" borderId="39" xfId="0" applyNumberFormat="1" applyFont="1" applyBorder="1">
      <alignment vertical="center"/>
    </xf>
    <xf numFmtId="0" fontId="5" fillId="0" borderId="52" xfId="0" applyFont="1" applyBorder="1">
      <alignment vertical="center"/>
    </xf>
    <xf numFmtId="187" fontId="6" fillId="0" borderId="0" xfId="0" applyNumberFormat="1" applyFont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179" fontId="0" fillId="2" borderId="35" xfId="0" applyNumberFormat="1" applyFill="1" applyBorder="1">
      <alignment vertical="center"/>
    </xf>
    <xf numFmtId="0" fontId="0" fillId="2" borderId="4" xfId="0" applyFill="1" applyBorder="1">
      <alignment vertical="center"/>
    </xf>
    <xf numFmtId="179" fontId="0" fillId="2" borderId="5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0" fontId="0" fillId="2" borderId="55" xfId="0" applyFill="1" applyBorder="1">
      <alignment vertical="center"/>
    </xf>
    <xf numFmtId="178" fontId="0" fillId="2" borderId="25" xfId="0" applyNumberFormat="1" applyFill="1" applyBorder="1">
      <alignment vertical="center"/>
    </xf>
    <xf numFmtId="0" fontId="0" fillId="2" borderId="56" xfId="0" applyFill="1" applyBorder="1">
      <alignment vertical="center"/>
    </xf>
    <xf numFmtId="180" fontId="0" fillId="2" borderId="57" xfId="0" applyNumberFormat="1" applyFill="1" applyBorder="1">
      <alignment vertical="center"/>
    </xf>
    <xf numFmtId="180" fontId="0" fillId="2" borderId="58" xfId="0" applyNumberFormat="1" applyFill="1" applyBorder="1">
      <alignment vertical="center"/>
    </xf>
    <xf numFmtId="180" fontId="0" fillId="2" borderId="59" xfId="0" applyNumberFormat="1" applyFill="1" applyBorder="1">
      <alignment vertical="center"/>
    </xf>
    <xf numFmtId="180" fontId="0" fillId="2" borderId="60" xfId="0" applyNumberFormat="1" applyFill="1" applyBorder="1">
      <alignment vertical="center"/>
    </xf>
    <xf numFmtId="9" fontId="0" fillId="2" borderId="61" xfId="0" applyNumberFormat="1" applyFill="1" applyBorder="1">
      <alignment vertical="center"/>
    </xf>
    <xf numFmtId="9" fontId="0" fillId="2" borderId="5" xfId="0" applyNumberFormat="1" applyFill="1" applyBorder="1">
      <alignment vertical="center"/>
    </xf>
    <xf numFmtId="0" fontId="0" fillId="2" borderId="1" xfId="0" applyFill="1" applyBorder="1">
      <alignment vertical="center"/>
    </xf>
    <xf numFmtId="180" fontId="0" fillId="2" borderId="41" xfId="0" applyNumberFormat="1" applyFill="1" applyBorder="1">
      <alignment vertical="center"/>
    </xf>
    <xf numFmtId="0" fontId="0" fillId="2" borderId="2" xfId="0" applyFill="1" applyBorder="1">
      <alignment vertical="center"/>
    </xf>
    <xf numFmtId="180" fontId="0" fillId="2" borderId="35" xfId="0" applyNumberFormat="1" applyFill="1" applyBorder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9" fontId="6" fillId="0" borderId="0" xfId="0" applyNumberFormat="1" applyFont="1" applyBorder="1">
      <alignment vertical="center"/>
    </xf>
    <xf numFmtId="185" fontId="6" fillId="0" borderId="13" xfId="0" applyNumberFormat="1" applyFont="1" applyBorder="1" applyAlignment="1">
      <alignment vertical="center" shrinkToFit="1"/>
    </xf>
    <xf numFmtId="185" fontId="6" fillId="0" borderId="15" xfId="0" applyNumberFormat="1" applyFont="1" applyBorder="1" applyAlignment="1">
      <alignment vertical="center" shrinkToFit="1"/>
    </xf>
    <xf numFmtId="187" fontId="6" fillId="0" borderId="0" xfId="0" applyNumberFormat="1" applyFont="1" applyBorder="1" applyAlignment="1">
      <alignment vertical="center" shrinkToFit="1"/>
    </xf>
    <xf numFmtId="186" fontId="6" fillId="0" borderId="0" xfId="0" applyNumberFormat="1" applyFont="1" applyBorder="1" applyAlignment="1">
      <alignment vertical="center" shrinkToFit="1"/>
    </xf>
    <xf numFmtId="0" fontId="0" fillId="2" borderId="36" xfId="0" applyFill="1" applyBorder="1">
      <alignment vertical="center"/>
    </xf>
    <xf numFmtId="182" fontId="0" fillId="2" borderId="0" xfId="0" applyNumberFormat="1" applyFill="1">
      <alignment vertical="center"/>
    </xf>
    <xf numFmtId="177" fontId="5" fillId="2" borderId="62" xfId="0" applyNumberFormat="1" applyFont="1" applyFill="1" applyBorder="1" applyAlignment="1">
      <alignment vertical="center" shrinkToFit="1"/>
    </xf>
    <xf numFmtId="177" fontId="0" fillId="0" borderId="0" xfId="0" applyNumberFormat="1" applyAlignment="1">
      <alignment vertical="center" shrinkToFit="1"/>
    </xf>
    <xf numFmtId="185" fontId="5" fillId="0" borderId="0" xfId="0" applyNumberFormat="1" applyFont="1">
      <alignment vertical="center"/>
    </xf>
    <xf numFmtId="9" fontId="6" fillId="0" borderId="0" xfId="0" applyNumberFormat="1" applyFont="1">
      <alignment vertical="center"/>
    </xf>
    <xf numFmtId="0" fontId="6" fillId="0" borderId="63" xfId="0" applyFont="1" applyBorder="1">
      <alignment vertical="center"/>
    </xf>
    <xf numFmtId="9" fontId="6" fillId="0" borderId="35" xfId="0" applyNumberFormat="1" applyFont="1" applyBorder="1">
      <alignment vertical="center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66" xfId="0" applyFont="1" applyBorder="1">
      <alignment vertical="center"/>
    </xf>
    <xf numFmtId="186" fontId="5" fillId="0" borderId="0" xfId="0" applyNumberFormat="1" applyFont="1">
      <alignment vertical="center"/>
    </xf>
    <xf numFmtId="9" fontId="0" fillId="2" borderId="54" xfId="0" applyNumberFormat="1" applyFill="1" applyBorder="1" applyAlignment="1">
      <alignment vertical="center" shrinkToFit="1"/>
    </xf>
    <xf numFmtId="9" fontId="0" fillId="2" borderId="4" xfId="0" applyNumberFormat="1" applyFill="1" applyBorder="1" applyAlignment="1">
      <alignment vertical="center" shrinkToFit="1"/>
    </xf>
    <xf numFmtId="9" fontId="0" fillId="2" borderId="55" xfId="0" applyNumberFormat="1" applyFill="1" applyBorder="1" applyAlignment="1">
      <alignment vertical="center" shrinkToFit="1"/>
    </xf>
    <xf numFmtId="184" fontId="0" fillId="2" borderId="35" xfId="0" applyNumberFormat="1" applyFill="1" applyBorder="1" applyAlignment="1">
      <alignment vertical="center" shrinkToFit="1"/>
    </xf>
    <xf numFmtId="184" fontId="0" fillId="2" borderId="5" xfId="0" applyNumberFormat="1" applyFill="1" applyBorder="1" applyAlignment="1">
      <alignment vertical="center" shrinkToFit="1"/>
    </xf>
    <xf numFmtId="184" fontId="0" fillId="2" borderId="25" xfId="0" applyNumberForma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80" fontId="6" fillId="2" borderId="19" xfId="0" applyNumberFormat="1" applyFont="1" applyFill="1" applyBorder="1">
      <alignment vertical="center"/>
    </xf>
    <xf numFmtId="180" fontId="6" fillId="2" borderId="68" xfId="0" applyNumberFormat="1" applyFont="1" applyFill="1" applyBorder="1">
      <alignment vertical="center"/>
    </xf>
    <xf numFmtId="188" fontId="0" fillId="0" borderId="0" xfId="0" applyNumberFormat="1">
      <alignment vertical="center"/>
    </xf>
    <xf numFmtId="0" fontId="5" fillId="0" borderId="6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>
      <alignment vertical="center"/>
    </xf>
    <xf numFmtId="185" fontId="7" fillId="0" borderId="0" xfId="0" applyNumberFormat="1" applyFont="1" applyBorder="1">
      <alignment vertical="center"/>
    </xf>
    <xf numFmtId="185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>
      <alignment vertical="center"/>
    </xf>
    <xf numFmtId="180" fontId="6" fillId="0" borderId="35" xfId="0" applyNumberFormat="1" applyFont="1" applyFill="1" applyBorder="1">
      <alignment vertical="center"/>
    </xf>
    <xf numFmtId="0" fontId="9" fillId="0" borderId="35" xfId="0" applyFont="1" applyBorder="1">
      <alignment vertical="center"/>
    </xf>
    <xf numFmtId="180" fontId="7" fillId="3" borderId="35" xfId="0" applyNumberFormat="1" applyFont="1" applyFill="1" applyBorder="1">
      <alignment vertical="center"/>
    </xf>
    <xf numFmtId="0" fontId="7" fillId="3" borderId="35" xfId="0" applyFont="1" applyFill="1" applyBorder="1">
      <alignment vertical="center"/>
    </xf>
    <xf numFmtId="0" fontId="10" fillId="0" borderId="2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85" fontId="6" fillId="0" borderId="69" xfId="0" applyNumberFormat="1" applyFont="1" applyBorder="1" applyAlignment="1">
      <alignment vertical="center"/>
    </xf>
    <xf numFmtId="0" fontId="0" fillId="0" borderId="70" xfId="0" applyBorder="1" applyAlignment="1">
      <alignment vertical="center"/>
    </xf>
    <xf numFmtId="188" fontId="6" fillId="0" borderId="69" xfId="0" applyNumberFormat="1" applyFont="1" applyBorder="1" applyAlignment="1">
      <alignment vertical="center"/>
    </xf>
    <xf numFmtId="188" fontId="0" fillId="0" borderId="70" xfId="0" applyNumberFormat="1" applyBorder="1" applyAlignment="1">
      <alignment vertical="center"/>
    </xf>
    <xf numFmtId="184" fontId="6" fillId="0" borderId="69" xfId="0" applyNumberFormat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</cellXfs>
  <cellStyles count="1">
    <cellStyle name="표준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90524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90524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79"/>
  <sheetViews>
    <sheetView topLeftCell="A61" workbookViewId="0">
      <selection activeCell="G49" sqref="G49"/>
    </sheetView>
  </sheetViews>
  <sheetFormatPr defaultRowHeight="16.5"/>
  <cols>
    <col min="1" max="1" width="2.625" customWidth="1"/>
    <col min="2" max="2" width="7.25" customWidth="1"/>
    <col min="3" max="3" width="7.75" customWidth="1"/>
    <col min="4" max="5" width="9.75" customWidth="1"/>
    <col min="6" max="6" width="5.75" customWidth="1"/>
    <col min="7" max="7" width="13.375" customWidth="1"/>
    <col min="9" max="9" width="10" customWidth="1"/>
  </cols>
  <sheetData>
    <row r="2" spans="2:8">
      <c r="B2" t="s">
        <v>98</v>
      </c>
    </row>
    <row r="4" spans="2:8" ht="17.25" thickBot="1">
      <c r="B4" t="s">
        <v>0</v>
      </c>
    </row>
    <row r="5" spans="2:8" ht="17.25" thickBot="1">
      <c r="B5" t="s">
        <v>6</v>
      </c>
      <c r="C5" s="133" t="s">
        <v>1</v>
      </c>
      <c r="D5" s="161">
        <v>142900</v>
      </c>
      <c r="E5" s="162">
        <f>143100-I59</f>
        <v>142920</v>
      </c>
    </row>
    <row r="6" spans="2:8" ht="17.25" thickTop="1">
      <c r="C6" s="134" t="s">
        <v>2</v>
      </c>
      <c r="D6" s="135">
        <v>196</v>
      </c>
      <c r="F6" s="183" t="s">
        <v>136</v>
      </c>
      <c r="G6" s="7"/>
      <c r="H6" s="8">
        <v>0.3</v>
      </c>
    </row>
    <row r="7" spans="2:8" ht="18">
      <c r="C7" s="136" t="s">
        <v>43</v>
      </c>
      <c r="D7" s="137">
        <v>159</v>
      </c>
      <c r="F7" s="6" t="s">
        <v>137</v>
      </c>
      <c r="G7" s="7"/>
      <c r="H7" s="8">
        <v>0.87</v>
      </c>
    </row>
    <row r="8" spans="2:8" ht="18">
      <c r="C8" s="136" t="s">
        <v>44</v>
      </c>
      <c r="D8" s="137">
        <f>D7*1.7</f>
        <v>270.3</v>
      </c>
    </row>
    <row r="9" spans="2:8">
      <c r="C9" s="136" t="s">
        <v>3</v>
      </c>
      <c r="D9" s="137">
        <v>188</v>
      </c>
    </row>
    <row r="10" spans="2:8">
      <c r="C10" s="136" t="s">
        <v>4</v>
      </c>
      <c r="D10" s="138">
        <v>41.9</v>
      </c>
      <c r="G10" s="182"/>
    </row>
    <row r="11" spans="2:8" ht="17.25" thickBot="1">
      <c r="C11" s="139" t="s">
        <v>5</v>
      </c>
      <c r="D11" s="140">
        <v>6</v>
      </c>
    </row>
    <row r="13" spans="2:8">
      <c r="B13" t="s">
        <v>7</v>
      </c>
    </row>
    <row r="14" spans="2:8" ht="17.25" thickBot="1">
      <c r="B14" t="s">
        <v>9</v>
      </c>
      <c r="D14" t="s">
        <v>10</v>
      </c>
    </row>
    <row r="15" spans="2:8">
      <c r="B15" s="49" t="s">
        <v>47</v>
      </c>
      <c r="C15" s="141" t="s">
        <v>2</v>
      </c>
      <c r="D15" s="142">
        <v>0.3</v>
      </c>
    </row>
    <row r="16" spans="2:8" ht="18">
      <c r="C16" s="136" t="s">
        <v>43</v>
      </c>
      <c r="D16" s="143">
        <v>0.3</v>
      </c>
    </row>
    <row r="17" spans="2:10">
      <c r="C17" s="136" t="s">
        <v>3</v>
      </c>
      <c r="D17" s="143">
        <v>0.5</v>
      </c>
      <c r="F17" s="10" t="s">
        <v>13</v>
      </c>
      <c r="G17" s="11">
        <v>0.4</v>
      </c>
    </row>
    <row r="18" spans="2:10">
      <c r="C18" s="136" t="s">
        <v>4</v>
      </c>
      <c r="D18" s="143">
        <v>0.15</v>
      </c>
      <c r="F18" s="12" t="s">
        <v>14</v>
      </c>
      <c r="G18" s="13">
        <v>0.4</v>
      </c>
    </row>
    <row r="19" spans="2:10">
      <c r="C19" s="134" t="s">
        <v>5</v>
      </c>
      <c r="D19" s="144">
        <v>0.15</v>
      </c>
      <c r="F19" s="14" t="s">
        <v>15</v>
      </c>
      <c r="G19" s="15">
        <v>0.4</v>
      </c>
      <c r="J19" s="29"/>
    </row>
    <row r="20" spans="2:10" ht="17.25" thickBot="1">
      <c r="C20" s="159" t="s">
        <v>12</v>
      </c>
      <c r="D20" s="145">
        <v>0.03</v>
      </c>
    </row>
    <row r="22" spans="2:10">
      <c r="B22" t="s">
        <v>16</v>
      </c>
    </row>
    <row r="23" spans="2:10" ht="17.25" thickBot="1"/>
    <row r="24" spans="2:10">
      <c r="B24" s="1" t="s">
        <v>17</v>
      </c>
      <c r="C24" s="23"/>
      <c r="D24" s="23"/>
      <c r="E24" s="30">
        <v>0.45</v>
      </c>
      <c r="F24" s="1" t="s">
        <v>33</v>
      </c>
      <c r="G24" s="23"/>
      <c r="H24" s="23"/>
      <c r="I24" s="35">
        <v>10</v>
      </c>
    </row>
    <row r="25" spans="2:10">
      <c r="B25" s="9" t="s">
        <v>18</v>
      </c>
      <c r="C25" s="19"/>
      <c r="D25" s="19"/>
      <c r="E25" s="31">
        <v>1</v>
      </c>
      <c r="F25" s="9" t="s">
        <v>34</v>
      </c>
      <c r="G25" s="19"/>
      <c r="H25" s="19"/>
      <c r="I25" s="36">
        <v>2500</v>
      </c>
    </row>
    <row r="26" spans="2:10">
      <c r="B26" s="9" t="s">
        <v>19</v>
      </c>
      <c r="C26" s="19"/>
      <c r="D26" s="19"/>
      <c r="E26" s="32"/>
      <c r="F26" s="9" t="s">
        <v>35</v>
      </c>
      <c r="G26" s="19"/>
      <c r="H26" s="19"/>
      <c r="I26" s="37">
        <v>0.8</v>
      </c>
    </row>
    <row r="27" spans="2:10">
      <c r="B27" s="9" t="s">
        <v>20</v>
      </c>
      <c r="C27" s="19"/>
      <c r="D27" s="19"/>
      <c r="E27" s="32"/>
      <c r="F27" s="9" t="s">
        <v>36</v>
      </c>
      <c r="G27" s="19"/>
      <c r="H27" s="19"/>
      <c r="I27" s="38">
        <v>393</v>
      </c>
    </row>
    <row r="28" spans="2:10">
      <c r="B28" s="9" t="s">
        <v>21</v>
      </c>
      <c r="C28" s="19"/>
      <c r="D28" s="19"/>
      <c r="E28" s="32"/>
      <c r="F28" s="9" t="s">
        <v>37</v>
      </c>
      <c r="G28" s="19"/>
      <c r="H28" s="19"/>
      <c r="I28" s="38">
        <v>325</v>
      </c>
    </row>
    <row r="29" spans="2:10">
      <c r="B29" s="9" t="s">
        <v>22</v>
      </c>
      <c r="C29" s="19"/>
      <c r="D29" s="19"/>
      <c r="E29" s="32"/>
      <c r="F29" s="9" t="s">
        <v>38</v>
      </c>
      <c r="G29" s="19"/>
      <c r="H29" s="19"/>
      <c r="I29" s="38">
        <v>68</v>
      </c>
    </row>
    <row r="30" spans="2:10">
      <c r="B30" s="9" t="s">
        <v>23</v>
      </c>
      <c r="C30" s="19"/>
      <c r="D30" s="19"/>
      <c r="E30" s="32"/>
      <c r="F30" s="9" t="s">
        <v>39</v>
      </c>
      <c r="G30" s="19"/>
      <c r="H30" s="19"/>
      <c r="I30" s="5">
        <v>1</v>
      </c>
    </row>
    <row r="31" spans="2:10">
      <c r="B31" s="9" t="s">
        <v>24</v>
      </c>
      <c r="C31" s="19"/>
      <c r="D31" s="19"/>
      <c r="E31" s="32"/>
      <c r="F31" s="9" t="s">
        <v>40</v>
      </c>
      <c r="G31" s="19"/>
      <c r="H31" s="19"/>
      <c r="I31" s="38"/>
    </row>
    <row r="32" spans="2:10">
      <c r="B32" s="9" t="s">
        <v>25</v>
      </c>
      <c r="C32" s="19"/>
      <c r="D32" s="19"/>
      <c r="E32" s="33">
        <v>7</v>
      </c>
      <c r="F32" s="9" t="s">
        <v>41</v>
      </c>
      <c r="G32" s="19"/>
      <c r="H32" s="19"/>
      <c r="I32" s="38"/>
    </row>
    <row r="33" spans="2:9">
      <c r="B33" s="9" t="s">
        <v>26</v>
      </c>
      <c r="C33" s="19"/>
      <c r="D33" s="19"/>
      <c r="E33" s="31">
        <v>0.1</v>
      </c>
      <c r="F33" s="9"/>
      <c r="G33" s="19"/>
      <c r="H33" s="19"/>
      <c r="I33" s="28"/>
    </row>
    <row r="34" spans="2:9">
      <c r="B34" s="9" t="s">
        <v>115</v>
      </c>
      <c r="C34" s="19"/>
      <c r="D34" s="19"/>
      <c r="E34" s="31">
        <v>0.06</v>
      </c>
      <c r="F34" s="9"/>
      <c r="G34" s="19"/>
      <c r="H34" s="19"/>
      <c r="I34" s="28"/>
    </row>
    <row r="35" spans="2:9" ht="17.25" thickBot="1">
      <c r="B35" s="3" t="s">
        <v>27</v>
      </c>
      <c r="C35" s="25"/>
      <c r="D35" s="25"/>
      <c r="E35" s="34"/>
      <c r="F35" s="3"/>
      <c r="G35" s="25"/>
      <c r="H35" s="25"/>
      <c r="I35" s="27"/>
    </row>
    <row r="37" spans="2:9">
      <c r="B37" s="10" t="s">
        <v>28</v>
      </c>
      <c r="C37" s="16"/>
      <c r="D37" s="16"/>
      <c r="E37" s="16"/>
      <c r="F37" s="16"/>
      <c r="G37" s="39">
        <v>25.5</v>
      </c>
    </row>
    <row r="38" spans="2:9">
      <c r="B38" s="42" t="s">
        <v>29</v>
      </c>
      <c r="C38" s="43"/>
      <c r="D38" s="44"/>
      <c r="E38" s="44"/>
      <c r="F38" s="44"/>
      <c r="G38" s="48">
        <v>19</v>
      </c>
    </row>
    <row r="39" spans="2:9">
      <c r="B39" s="45" t="s">
        <v>30</v>
      </c>
      <c r="C39" s="46"/>
      <c r="D39" s="46"/>
      <c r="E39" s="46"/>
      <c r="F39" s="46"/>
      <c r="G39" s="47"/>
    </row>
    <row r="40" spans="2:9">
      <c r="B40" s="12" t="s">
        <v>31</v>
      </c>
      <c r="C40" s="17"/>
      <c r="D40" s="17"/>
      <c r="E40" s="17"/>
      <c r="F40" s="17"/>
      <c r="G40" s="41">
        <v>7</v>
      </c>
    </row>
    <row r="41" spans="2:9">
      <c r="B41" s="14" t="s">
        <v>32</v>
      </c>
      <c r="C41" s="18"/>
      <c r="D41" s="20"/>
      <c r="E41" s="22"/>
      <c r="F41" s="21"/>
      <c r="G41" s="40">
        <v>0.9</v>
      </c>
    </row>
    <row r="45" spans="2:9">
      <c r="B45" t="s">
        <v>42</v>
      </c>
      <c r="E45" s="29" t="s">
        <v>67</v>
      </c>
    </row>
    <row r="46" spans="2:9" ht="17.25" thickBot="1">
      <c r="B46" t="s">
        <v>8</v>
      </c>
      <c r="D46" t="s">
        <v>10</v>
      </c>
      <c r="E46" s="29" t="s">
        <v>8</v>
      </c>
      <c r="G46" t="s">
        <v>68</v>
      </c>
    </row>
    <row r="47" spans="2:9">
      <c r="B47" s="49" t="s">
        <v>47</v>
      </c>
      <c r="C47" s="141" t="s">
        <v>2</v>
      </c>
      <c r="D47" s="142">
        <v>0.94299999999999995</v>
      </c>
      <c r="E47" s="29" t="s">
        <v>11</v>
      </c>
      <c r="F47" s="141" t="s">
        <v>3</v>
      </c>
      <c r="G47" s="146">
        <v>0.95</v>
      </c>
    </row>
    <row r="48" spans="2:9" ht="18">
      <c r="C48" s="136" t="s">
        <v>43</v>
      </c>
      <c r="D48" s="143">
        <v>0.9</v>
      </c>
      <c r="F48" s="136" t="s">
        <v>12</v>
      </c>
      <c r="G48" s="147">
        <v>0.22</v>
      </c>
    </row>
    <row r="49" spans="2:9">
      <c r="C49" s="136" t="s">
        <v>3</v>
      </c>
      <c r="D49" s="143">
        <v>0.94</v>
      </c>
      <c r="E49" s="29" t="s">
        <v>48</v>
      </c>
      <c r="F49" s="4" t="s">
        <v>2</v>
      </c>
      <c r="G49" s="36">
        <v>1000</v>
      </c>
    </row>
    <row r="50" spans="2:9" ht="17.25" thickBot="1">
      <c r="C50" s="136" t="s">
        <v>4</v>
      </c>
      <c r="D50" s="143">
        <v>0.85</v>
      </c>
      <c r="F50" s="73" t="s">
        <v>50</v>
      </c>
      <c r="G50" s="74">
        <v>3000</v>
      </c>
    </row>
    <row r="51" spans="2:9">
      <c r="C51" s="134" t="s">
        <v>5</v>
      </c>
      <c r="D51" s="144">
        <v>0.9</v>
      </c>
    </row>
    <row r="52" spans="2:9" ht="17.25" thickBot="1">
      <c r="C52" s="139" t="s">
        <v>12</v>
      </c>
      <c r="D52" s="145">
        <v>8.0000000000000002E-3</v>
      </c>
    </row>
    <row r="54" spans="2:9">
      <c r="B54" t="s">
        <v>45</v>
      </c>
      <c r="E54" t="s">
        <v>69</v>
      </c>
      <c r="I54" s="71">
        <v>0.6</v>
      </c>
    </row>
    <row r="55" spans="2:9" ht="17.25" thickBot="1">
      <c r="B55" t="s">
        <v>8</v>
      </c>
      <c r="D55" t="s">
        <v>46</v>
      </c>
      <c r="E55" s="70"/>
      <c r="F55" t="s">
        <v>70</v>
      </c>
      <c r="I55" s="71">
        <v>0.5</v>
      </c>
    </row>
    <row r="56" spans="2:9">
      <c r="B56" s="49" t="s">
        <v>11</v>
      </c>
      <c r="C56" s="148" t="s">
        <v>3</v>
      </c>
      <c r="D56" s="149">
        <v>0.85</v>
      </c>
    </row>
    <row r="57" spans="2:9">
      <c r="C57" s="150" t="s">
        <v>12</v>
      </c>
      <c r="D57" s="151">
        <v>3.5000000000000003E-2</v>
      </c>
    </row>
    <row r="58" spans="2:9">
      <c r="B58" t="s">
        <v>48</v>
      </c>
      <c r="C58" s="2" t="s">
        <v>49</v>
      </c>
      <c r="D58" s="50">
        <v>500</v>
      </c>
      <c r="E58" s="70" t="s">
        <v>71</v>
      </c>
    </row>
    <row r="59" spans="2:9">
      <c r="C59" s="2" t="s">
        <v>2</v>
      </c>
      <c r="D59" s="50">
        <v>1000</v>
      </c>
      <c r="G59" s="152" t="s">
        <v>72</v>
      </c>
      <c r="H59" s="152"/>
      <c r="I59" s="153">
        <v>180</v>
      </c>
    </row>
    <row r="60" spans="2:9" ht="17.25" thickBot="1">
      <c r="C60" s="3" t="s">
        <v>50</v>
      </c>
      <c r="D60" s="51">
        <v>1400</v>
      </c>
      <c r="G60" s="152" t="s">
        <v>73</v>
      </c>
      <c r="H60" s="152" t="s">
        <v>2</v>
      </c>
      <c r="I60" s="160">
        <v>3763</v>
      </c>
    </row>
    <row r="61" spans="2:9">
      <c r="G61" s="152"/>
      <c r="H61" s="152" t="s">
        <v>50</v>
      </c>
      <c r="I61" s="160">
        <v>3175</v>
      </c>
    </row>
    <row r="62" spans="2:9">
      <c r="B62" t="s">
        <v>58</v>
      </c>
      <c r="G62" s="152"/>
      <c r="H62" s="152" t="s">
        <v>3</v>
      </c>
      <c r="I62" s="160">
        <v>15921</v>
      </c>
    </row>
    <row r="63" spans="2:9" ht="17.25" thickBot="1">
      <c r="B63" t="s">
        <v>8</v>
      </c>
      <c r="C63" t="s">
        <v>57</v>
      </c>
      <c r="G63" s="152"/>
      <c r="H63" s="152" t="s">
        <v>4</v>
      </c>
      <c r="I63" s="160">
        <v>1374</v>
      </c>
    </row>
    <row r="64" spans="2:9">
      <c r="B64" s="54" t="s">
        <v>52</v>
      </c>
      <c r="C64" s="55"/>
      <c r="D64" s="62">
        <v>0.6</v>
      </c>
      <c r="G64" s="152"/>
      <c r="H64" s="152" t="s">
        <v>5</v>
      </c>
      <c r="I64" s="160">
        <v>105</v>
      </c>
    </row>
    <row r="65" spans="2:5">
      <c r="B65" s="64" t="s">
        <v>53</v>
      </c>
      <c r="C65" s="65"/>
      <c r="D65" s="66">
        <v>0.5</v>
      </c>
    </row>
    <row r="66" spans="2:5">
      <c r="B66" s="64" t="s">
        <v>54</v>
      </c>
      <c r="C66" s="65"/>
      <c r="D66" s="66">
        <v>0.97</v>
      </c>
    </row>
    <row r="67" spans="2:5">
      <c r="B67" s="67" t="s">
        <v>55</v>
      </c>
      <c r="C67" s="68"/>
      <c r="D67" s="69">
        <v>0.04</v>
      </c>
    </row>
    <row r="68" spans="2:5" ht="17.25" thickBot="1">
      <c r="B68" s="60" t="s">
        <v>56</v>
      </c>
      <c r="C68" s="61"/>
      <c r="D68" s="63">
        <v>0.05</v>
      </c>
    </row>
    <row r="70" spans="2:5">
      <c r="B70" t="s">
        <v>59</v>
      </c>
    </row>
    <row r="71" spans="2:5" ht="17.25" thickBot="1">
      <c r="B71" t="s">
        <v>60</v>
      </c>
      <c r="C71" t="s">
        <v>61</v>
      </c>
      <c r="D71" t="s">
        <v>62</v>
      </c>
    </row>
    <row r="72" spans="2:5">
      <c r="B72" s="1" t="s">
        <v>11</v>
      </c>
      <c r="C72" s="23" t="s">
        <v>3</v>
      </c>
      <c r="D72" s="23"/>
      <c r="E72" s="72">
        <v>0.95</v>
      </c>
    </row>
    <row r="73" spans="2:5">
      <c r="B73" s="9"/>
      <c r="C73" s="19" t="s">
        <v>51</v>
      </c>
      <c r="D73" s="19"/>
      <c r="E73" s="37">
        <v>0.96</v>
      </c>
    </row>
    <row r="74" spans="2:5">
      <c r="B74" s="9" t="s">
        <v>48</v>
      </c>
      <c r="C74" s="19" t="s">
        <v>2</v>
      </c>
      <c r="D74" s="19"/>
      <c r="E74" s="36">
        <v>1800</v>
      </c>
    </row>
    <row r="75" spans="2:5">
      <c r="B75" s="9"/>
      <c r="C75" s="19" t="s">
        <v>63</v>
      </c>
      <c r="D75" s="19"/>
      <c r="E75" s="37">
        <v>0.6</v>
      </c>
    </row>
    <row r="76" spans="2:5">
      <c r="B76" s="9"/>
      <c r="C76" s="19" t="s">
        <v>50</v>
      </c>
      <c r="D76" s="19"/>
      <c r="E76" s="36">
        <v>4500</v>
      </c>
    </row>
    <row r="77" spans="2:5">
      <c r="B77" s="9" t="s">
        <v>64</v>
      </c>
      <c r="C77" s="19"/>
      <c r="D77" s="19"/>
      <c r="E77" s="37">
        <v>0.05</v>
      </c>
    </row>
    <row r="78" spans="2:5">
      <c r="B78" s="9" t="s">
        <v>65</v>
      </c>
      <c r="C78" s="19"/>
      <c r="D78" s="19"/>
      <c r="E78" s="37">
        <v>0.4</v>
      </c>
    </row>
    <row r="79" spans="2:5" ht="17.25" thickBot="1">
      <c r="B79" s="3" t="s">
        <v>66</v>
      </c>
      <c r="C79" s="25"/>
      <c r="D79" s="25"/>
      <c r="E79" s="2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58"/>
  <sheetViews>
    <sheetView view="pageBreakPreview" zoomScaleSheetLayoutView="100" workbookViewId="0">
      <selection activeCell="D29" sqref="D29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9.5" customHeight="1">
      <c r="A1" s="1"/>
      <c r="B1" s="23"/>
      <c r="C1" s="197" t="s">
        <v>146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22000</v>
      </c>
      <c r="E5" s="200"/>
      <c r="F5" s="123"/>
      <c r="G5" s="90" t="s">
        <v>74</v>
      </c>
      <c r="H5" s="199">
        <f>D5+D19</f>
        <v>22278.420841004066</v>
      </c>
      <c r="I5" s="200"/>
      <c r="J5" s="125"/>
      <c r="K5" s="79" t="s">
        <v>74</v>
      </c>
      <c r="L5" s="199">
        <f>L8/M8*10^3</f>
        <v>105.60872785124118</v>
      </c>
      <c r="M5" s="200"/>
      <c r="N5" s="116" t="s">
        <v>77</v>
      </c>
      <c r="O5" s="130" t="s">
        <v>74</v>
      </c>
      <c r="P5" s="199">
        <f t="shared" ref="P5:P10" si="0">H5-L5</f>
        <v>22172.812113152824</v>
      </c>
      <c r="Q5" s="200"/>
      <c r="R5" s="116" t="s">
        <v>77</v>
      </c>
      <c r="S5" s="59"/>
      <c r="T5" s="90" t="s">
        <v>74</v>
      </c>
      <c r="U5" s="199">
        <f ca="1">P5-Q19</f>
        <v>21982.791358433984</v>
      </c>
      <c r="V5" s="200"/>
      <c r="W5" s="100"/>
      <c r="X5" s="59"/>
      <c r="Z5" s="113" t="s">
        <v>84</v>
      </c>
      <c r="AA5" s="157">
        <f ca="1">P32-L32</f>
        <v>181.76766279023218</v>
      </c>
      <c r="AB5" s="157">
        <v>181.76767814401046</v>
      </c>
      <c r="AD5" s="132">
        <f ca="1">AA5-AB5</f>
        <v>-1.5353778280768893E-5</v>
      </c>
    </row>
    <row r="6" spans="1:30" s="53" customFormat="1" ht="12" customHeight="1">
      <c r="A6" s="58"/>
      <c r="B6" s="59"/>
      <c r="C6" s="80" t="s">
        <v>2</v>
      </c>
      <c r="D6" s="91">
        <f>$D$5*E6/10^3</f>
        <v>5434</v>
      </c>
      <c r="E6" s="97">
        <v>247</v>
      </c>
      <c r="F6" s="123"/>
      <c r="G6" s="93" t="s">
        <v>2</v>
      </c>
      <c r="H6" s="91">
        <f>$H$5*I6/10^3</f>
        <v>5953.3880938980674</v>
      </c>
      <c r="I6" s="97">
        <f>($D$5*E6+$D$19*E20)/$H$5</f>
        <v>267.22666460006388</v>
      </c>
      <c r="J6" s="126"/>
      <c r="K6" s="80" t="s">
        <v>2</v>
      </c>
      <c r="L6" s="91">
        <f>H6*N6</f>
        <v>1786.0164281694201</v>
      </c>
      <c r="M6" s="82">
        <f>L6/$L$5*10^3</f>
        <v>16911.636609098965</v>
      </c>
      <c r="N6" s="117">
        <v>0.3</v>
      </c>
      <c r="O6" s="93" t="s">
        <v>2</v>
      </c>
      <c r="P6" s="91">
        <f t="shared" si="0"/>
        <v>4167.3716657286477</v>
      </c>
      <c r="Q6" s="97">
        <f>P6/$P$5*10^3</f>
        <v>187.94962246834623</v>
      </c>
      <c r="R6" s="120">
        <f ca="1">1-U6/P6</f>
        <v>0.95780018079171658</v>
      </c>
      <c r="S6" s="59"/>
      <c r="T6" s="93" t="s">
        <v>2</v>
      </c>
      <c r="U6" s="91">
        <f ca="1">$U$5*V6/10^3</f>
        <v>175.86233086747188</v>
      </c>
      <c r="V6" s="97">
        <v>8</v>
      </c>
      <c r="W6" s="100"/>
      <c r="X6" s="59"/>
      <c r="Z6" s="113" t="s">
        <v>86</v>
      </c>
      <c r="AA6" s="157">
        <f ca="1">L32-H32</f>
        <v>96.653158381305062</v>
      </c>
      <c r="AB6" s="157">
        <v>96.653162860056128</v>
      </c>
      <c r="AD6" s="132">
        <f t="shared" ref="AD6:AD11" ca="1" si="1">AA6-AB6</f>
        <v>-4.4787510660171392E-6</v>
      </c>
    </row>
    <row r="7" spans="1:30" s="53" customFormat="1" ht="12" customHeight="1">
      <c r="A7" s="58"/>
      <c r="B7" s="59"/>
      <c r="C7" s="80" t="s">
        <v>50</v>
      </c>
      <c r="D7" s="91">
        <f>$D$5*E7/10^3</f>
        <v>4532</v>
      </c>
      <c r="E7" s="97">
        <v>206</v>
      </c>
      <c r="F7" s="123"/>
      <c r="G7" s="93" t="s">
        <v>50</v>
      </c>
      <c r="H7" s="91">
        <f>$H$5*I7/10^3</f>
        <v>5027.1616789838608</v>
      </c>
      <c r="I7" s="97">
        <f>($D$5*E7+$D$19*E21)/$H$5</f>
        <v>225.65161664112327</v>
      </c>
      <c r="J7" s="126"/>
      <c r="K7" s="80" t="s">
        <v>50</v>
      </c>
      <c r="L7" s="91">
        <f>H7*N7</f>
        <v>1508.1485036951583</v>
      </c>
      <c r="M7" s="82">
        <f>L7/$L$5*10^3</f>
        <v>14280.52902805072</v>
      </c>
      <c r="N7" s="118">
        <v>0.3</v>
      </c>
      <c r="O7" s="93" t="s">
        <v>50</v>
      </c>
      <c r="P7" s="91">
        <f t="shared" si="0"/>
        <v>3519.0131752887028</v>
      </c>
      <c r="Q7" s="97">
        <f>P7/$P$5*10^3</f>
        <v>158.70847402351993</v>
      </c>
      <c r="R7" s="120">
        <f ca="1">1-U7/P7</f>
        <v>0.8813096129496647</v>
      </c>
      <c r="S7" s="59"/>
      <c r="T7" s="93" t="s">
        <v>50</v>
      </c>
      <c r="U7" s="91">
        <f ca="1">$U$5*V7/10^3</f>
        <v>417.67303581024566</v>
      </c>
      <c r="V7" s="97">
        <v>19</v>
      </c>
      <c r="W7" s="100"/>
      <c r="X7" s="59"/>
      <c r="Z7" s="113" t="s">
        <v>93</v>
      </c>
      <c r="AA7" s="158">
        <f ca="1">D20/$D$19*10^3</f>
        <v>1865.4757952377452</v>
      </c>
      <c r="AB7" s="158">
        <v>1865.4785037822658</v>
      </c>
      <c r="AD7" s="132">
        <f t="shared" ca="1" si="1"/>
        <v>-2.7085445206012082E-3</v>
      </c>
    </row>
    <row r="8" spans="1:30" s="53" customFormat="1" ht="12" customHeight="1">
      <c r="A8" s="58"/>
      <c r="B8" s="59"/>
      <c r="C8" s="80" t="s">
        <v>3</v>
      </c>
      <c r="D8" s="91">
        <f>$D$5*E8/10^3</f>
        <v>5434</v>
      </c>
      <c r="E8" s="97">
        <v>247</v>
      </c>
      <c r="F8" s="123"/>
      <c r="G8" s="93" t="s">
        <v>3</v>
      </c>
      <c r="H8" s="91">
        <f>$H$5*I8/10^3</f>
        <v>6336.5236710744712</v>
      </c>
      <c r="I8" s="97">
        <f>($D$5*E8+$D$19*E22)/$H$5</f>
        <v>284.42427388802707</v>
      </c>
      <c r="J8" s="126"/>
      <c r="K8" s="80" t="s">
        <v>3</v>
      </c>
      <c r="L8" s="91">
        <f>H8*N8</f>
        <v>3168.2618355372356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3168.2618355372356</v>
      </c>
      <c r="Q8" s="97">
        <f>P8/$P$5*10^3</f>
        <v>142.88949093912336</v>
      </c>
      <c r="R8" s="120">
        <f ca="1">1-U8/P8</f>
        <v>0.96530780519485315</v>
      </c>
      <c r="S8" s="59"/>
      <c r="T8" s="93" t="s">
        <v>3</v>
      </c>
      <c r="U8" s="91">
        <f ca="1">$U$5*V8/10^3</f>
        <v>109.91395679216993</v>
      </c>
      <c r="V8" s="97">
        <v>5</v>
      </c>
      <c r="W8" s="100"/>
      <c r="X8" s="59"/>
      <c r="Z8" s="59"/>
      <c r="AA8" s="158">
        <f ca="1">D21/$D$19*10^3</f>
        <v>1778.4622687099679</v>
      </c>
      <c r="AB8" s="158">
        <v>1778.4648491045564</v>
      </c>
      <c r="AD8" s="132">
        <f t="shared" ca="1" si="1"/>
        <v>-2.5803945884490531E-3</v>
      </c>
    </row>
    <row r="9" spans="1:30" s="53" customFormat="1" ht="12" customHeight="1">
      <c r="A9" s="58"/>
      <c r="B9" s="59"/>
      <c r="C9" s="80" t="s">
        <v>4</v>
      </c>
      <c r="D9" s="91">
        <f>$D$5*E9/10^3</f>
        <v>1104.4000000000001</v>
      </c>
      <c r="E9" s="98">
        <v>50.2</v>
      </c>
      <c r="F9" s="123"/>
      <c r="G9" s="93" t="s">
        <v>4</v>
      </c>
      <c r="H9" s="91">
        <f>$H$5*I9/10^3</f>
        <v>1167.3711292008318</v>
      </c>
      <c r="I9" s="97">
        <f>($D$5*E9+$D$19*E23)/$H$5</f>
        <v>52.399186528169537</v>
      </c>
      <c r="J9" s="127"/>
      <c r="K9" s="80" t="s">
        <v>4</v>
      </c>
      <c r="L9" s="91">
        <f>H9*N9</f>
        <v>175.10566938012477</v>
      </c>
      <c r="M9" s="114">
        <f>L9/$L$5*10^3</f>
        <v>1658.060587821642</v>
      </c>
      <c r="N9" s="118">
        <v>0.15</v>
      </c>
      <c r="O9" s="93" t="s">
        <v>4</v>
      </c>
      <c r="P9" s="91">
        <f t="shared" si="0"/>
        <v>992.26545982070706</v>
      </c>
      <c r="Q9" s="98">
        <f>P9/$P$5*10^3</f>
        <v>44.751448519788752</v>
      </c>
      <c r="R9" s="120">
        <f ca="1">1-U9/P9</f>
        <v>0.82276685222999846</v>
      </c>
      <c r="S9" s="59"/>
      <c r="T9" s="93" t="s">
        <v>4</v>
      </c>
      <c r="U9" s="91">
        <f ca="1">$U$5*V9/10^3</f>
        <v>175.86233086747188</v>
      </c>
      <c r="V9" s="98">
        <v>8</v>
      </c>
      <c r="W9" s="100"/>
      <c r="X9" s="59"/>
      <c r="Z9" s="59"/>
      <c r="AA9" s="158">
        <f ca="1">D22/$D$19*10^3</f>
        <v>3241.5761778219476</v>
      </c>
      <c r="AB9" s="158">
        <v>3241.5808666467192</v>
      </c>
      <c r="AD9" s="132">
        <f t="shared" ca="1" si="1"/>
        <v>-4.6888247716196929E-3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171.6</v>
      </c>
      <c r="E10" s="99">
        <v>7.8</v>
      </c>
      <c r="F10" s="123"/>
      <c r="G10" s="96" t="s">
        <v>5</v>
      </c>
      <c r="H10" s="94">
        <f>$H$5*I10/10^3</f>
        <v>208.83947010578035</v>
      </c>
      <c r="I10" s="122">
        <f>($D$5*E10+$D$19*E24)/$H$5</f>
        <v>9.3740697150942296</v>
      </c>
      <c r="J10" s="127"/>
      <c r="K10" s="83" t="s">
        <v>5</v>
      </c>
      <c r="L10" s="94">
        <f>H10*N10</f>
        <v>31.32592051586705</v>
      </c>
      <c r="M10" s="115">
        <f>L10/L5*10^3</f>
        <v>296.62245870428677</v>
      </c>
      <c r="N10" s="119">
        <v>0.15</v>
      </c>
      <c r="O10" s="96" t="s">
        <v>5</v>
      </c>
      <c r="P10" s="94">
        <f t="shared" si="0"/>
        <v>177.51354958991331</v>
      </c>
      <c r="Q10" s="99">
        <f>P10/$P$5*10^3</f>
        <v>8.0059105125692653</v>
      </c>
      <c r="R10" s="121">
        <f ca="1">1-U10/P10</f>
        <v>0.91331391892927272</v>
      </c>
      <c r="S10" s="59"/>
      <c r="T10" s="96" t="s">
        <v>5</v>
      </c>
      <c r="U10" s="94">
        <f ca="1">$U$5*V10/10^3</f>
        <v>15.387953950903787</v>
      </c>
      <c r="V10" s="99">
        <v>0.7</v>
      </c>
      <c r="W10" s="100"/>
      <c r="X10" s="59"/>
      <c r="Z10" s="59"/>
      <c r="AA10" s="158">
        <f ca="1">D23/$D$19*10^3</f>
        <v>226.17214054552721</v>
      </c>
      <c r="AB10" s="158">
        <v>226.17246961017523</v>
      </c>
      <c r="AD10" s="132">
        <f t="shared" ca="1" si="1"/>
        <v>-3.2906464801385482E-4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133.75226051870825</v>
      </c>
      <c r="AB11" s="158">
        <v>133.75245176145575</v>
      </c>
      <c r="AD11" s="132">
        <f t="shared" ca="1" si="1"/>
        <v>-1.9124274749060532E-4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143</v>
      </c>
      <c r="I12" s="167" t="s">
        <v>144</v>
      </c>
      <c r="J12" s="168"/>
      <c r="K12" s="86" t="s">
        <v>145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/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140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3">
        <f t="shared" ref="D19:D24" si="2">H19+L19</f>
        <v>278.42084100406657</v>
      </c>
      <c r="E19" s="200"/>
      <c r="F19" s="59"/>
      <c r="G19" s="112" t="s">
        <v>74</v>
      </c>
      <c r="H19" s="203">
        <f>AB6</f>
        <v>96.653162860056128</v>
      </c>
      <c r="I19" s="200"/>
      <c r="J19" s="59"/>
      <c r="K19" s="79" t="s">
        <v>74</v>
      </c>
      <c r="L19" s="203">
        <f>AB5</f>
        <v>181.76767814401046</v>
      </c>
      <c r="M19" s="200"/>
      <c r="N19" s="59"/>
      <c r="O19" s="59"/>
      <c r="P19" s="79" t="s">
        <v>74</v>
      </c>
      <c r="Q19" s="199">
        <f ca="1">Q22/R22*10^3</f>
        <v>190.02075471884169</v>
      </c>
      <c r="R19" s="200"/>
      <c r="S19" s="59"/>
      <c r="T19" s="177" t="s">
        <v>128</v>
      </c>
      <c r="U19" s="188">
        <f ca="1">U5-Z35</f>
        <v>21323.307617680963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519.38733978282289</v>
      </c>
      <c r="E20" s="114">
        <f>AB7</f>
        <v>1865.4785037822658</v>
      </c>
      <c r="F20" s="59"/>
      <c r="G20" s="80" t="s">
        <v>2</v>
      </c>
      <c r="H20" s="81">
        <f ca="1">L33-H33</f>
        <v>114.66993215984394</v>
      </c>
      <c r="I20" s="114">
        <f ca="1">H20/$H$19*10^3</f>
        <v>1186.4064120268288</v>
      </c>
      <c r="J20" s="59"/>
      <c r="K20" s="80" t="s">
        <v>2</v>
      </c>
      <c r="L20" s="81">
        <f ca="1">P33-L33</f>
        <v>404.71740762297895</v>
      </c>
      <c r="M20" s="92">
        <f ca="1">L20/$L$19*10^3</f>
        <v>2226.5642151314187</v>
      </c>
      <c r="N20" s="59"/>
      <c r="O20" s="59"/>
      <c r="P20" s="80" t="s">
        <v>2</v>
      </c>
      <c r="Q20" s="91">
        <f ca="1">Q22*0.6</f>
        <v>912.0996226504401</v>
      </c>
      <c r="R20" s="82">
        <f ca="1">Q20/$Q$19*10^3</f>
        <v>4800</v>
      </c>
      <c r="S20" s="59"/>
      <c r="T20" s="177" t="s">
        <v>129</v>
      </c>
      <c r="U20" s="187">
        <f ca="1">U6-Z36</f>
        <v>175.86233086747188</v>
      </c>
      <c r="V20" s="177">
        <f ca="1">U20/$U$19*10^3</f>
        <v>8.2474226804123738</v>
      </c>
      <c r="W20" s="195">
        <v>0</v>
      </c>
      <c r="X20" s="59"/>
      <c r="Y20" s="180">
        <f ca="1">1-(U20/D6)</f>
        <v>0.96763667080098048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495.16096054822947</v>
      </c>
      <c r="E21" s="114">
        <f>AB8</f>
        <v>1778.4648491045564</v>
      </c>
      <c r="F21" s="59"/>
      <c r="G21" s="80" t="s">
        <v>50</v>
      </c>
      <c r="H21" s="81">
        <f ca="1">L34-H34</f>
        <v>109.32125103012868</v>
      </c>
      <c r="I21" s="114">
        <f ca="1">H21/$H$19*10^3</f>
        <v>1131.0674973814841</v>
      </c>
      <c r="J21" s="59"/>
      <c r="K21" s="80" t="s">
        <v>50</v>
      </c>
      <c r="L21" s="81">
        <f ca="1">P34-L34</f>
        <v>385.83970951810079</v>
      </c>
      <c r="M21" s="92">
        <f ca="1">L21/$L$19*10^3</f>
        <v>2122.7080273997262</v>
      </c>
      <c r="N21" s="59"/>
      <c r="O21" s="59"/>
      <c r="P21" s="80" t="s">
        <v>50</v>
      </c>
      <c r="Q21" s="91">
        <f ca="1">Q22*0.7</f>
        <v>1064.1162264255133</v>
      </c>
      <c r="R21" s="82">
        <f ca="1">Q21/$Q$19*10^3</f>
        <v>5600</v>
      </c>
      <c r="S21" s="59"/>
      <c r="T21" s="177" t="s">
        <v>130</v>
      </c>
      <c r="U21" s="187">
        <f ca="1">U7-Z37</f>
        <v>417.67303581024566</v>
      </c>
      <c r="V21" s="177">
        <f ca="1">U21/$U$19*10^3</f>
        <v>19.587628865979383</v>
      </c>
      <c r="W21" s="195">
        <v>0</v>
      </c>
      <c r="X21" s="59"/>
      <c r="Y21" s="180">
        <f ca="1">1-(U21/D7)</f>
        <v>0.90783913596419996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902.52236560793426</v>
      </c>
      <c r="E22" s="114">
        <f>AB9</f>
        <v>3241.5808666467192</v>
      </c>
      <c r="F22" s="59"/>
      <c r="G22" s="80" t="s">
        <v>3</v>
      </c>
      <c r="H22" s="81">
        <f ca="1">L35-H35</f>
        <v>199.25818461473864</v>
      </c>
      <c r="I22" s="114">
        <f ca="1">H22/$H$19*10^3</f>
        <v>2061.5795564108344</v>
      </c>
      <c r="J22" s="59"/>
      <c r="K22" s="80" t="s">
        <v>3</v>
      </c>
      <c r="L22" s="81">
        <f ca="1">P35-L35</f>
        <v>703.26418099319562</v>
      </c>
      <c r="M22" s="92">
        <f ca="1">L22/$L$19*10^3</f>
        <v>3869.0276960902538</v>
      </c>
      <c r="N22" s="59"/>
      <c r="O22" s="59"/>
      <c r="P22" s="80" t="s">
        <v>3</v>
      </c>
      <c r="Q22" s="91">
        <f ca="1">I42</f>
        <v>1520.1660377507335</v>
      </c>
      <c r="R22" s="82">
        <f>참조!D52*10^6</f>
        <v>8000</v>
      </c>
      <c r="S22" s="59"/>
      <c r="T22" s="177" t="s">
        <v>131</v>
      </c>
      <c r="U22" s="187">
        <f ca="1">U8-Z38</f>
        <v>109.91395679216993</v>
      </c>
      <c r="V22" s="177">
        <f ca="1">U22/$U$19*10^3</f>
        <v>5.1546391752577323</v>
      </c>
      <c r="W22" s="195">
        <v>0</v>
      </c>
      <c r="X22" s="59"/>
      <c r="Y22" s="180">
        <f ca="1">1-(U22/D8)</f>
        <v>0.97977291925061283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62.971037582375629</v>
      </c>
      <c r="E23" s="114">
        <f>AB10</f>
        <v>226.17246961017523</v>
      </c>
      <c r="F23" s="59"/>
      <c r="G23" s="80" t="s">
        <v>4</v>
      </c>
      <c r="H23" s="81">
        <f ca="1">L36-H36</f>
        <v>13.902696609095926</v>
      </c>
      <c r="I23" s="114">
        <f ca="1">H23/$H$19*10^3</f>
        <v>143.84109322139417</v>
      </c>
      <c r="J23" s="59"/>
      <c r="K23" s="80" t="s">
        <v>4</v>
      </c>
      <c r="L23" s="81">
        <f ca="1">P36-L36</f>
        <v>49.068340973279703</v>
      </c>
      <c r="M23" s="92">
        <f ca="1">L23/$L$19*10^3</f>
        <v>269.95085965946021</v>
      </c>
      <c r="N23" s="59"/>
      <c r="O23" s="59"/>
      <c r="P23" s="80" t="s">
        <v>4</v>
      </c>
      <c r="Q23" s="91">
        <f ca="1">Q22*AC31</f>
        <v>152.01660377507335</v>
      </c>
      <c r="R23" s="114">
        <f ca="1">Q23/$Q$19*10^3</f>
        <v>800</v>
      </c>
      <c r="S23" s="59"/>
      <c r="T23" s="177" t="s">
        <v>132</v>
      </c>
      <c r="U23" s="187">
        <f ca="1">U9*(1-W23)</f>
        <v>175.86233086747188</v>
      </c>
      <c r="V23" s="177">
        <f ca="1">U23/$U$19*10^3</f>
        <v>8.2474226804123738</v>
      </c>
      <c r="W23" s="195">
        <v>0</v>
      </c>
      <c r="X23" s="59"/>
      <c r="Y23" s="180">
        <f ca="1">1-(U23/D9)</f>
        <v>0.84076210533550177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37.239416859813758</v>
      </c>
      <c r="E24" s="115">
        <f>AB11</f>
        <v>133.75245176145575</v>
      </c>
      <c r="F24" s="59"/>
      <c r="G24" s="83" t="s">
        <v>5</v>
      </c>
      <c r="H24" s="84">
        <f ca="1">L37-H37</f>
        <v>8.2216894365822668</v>
      </c>
      <c r="I24" s="115">
        <f ca="1">H24/$H$19*10^3</f>
        <v>85.06384264409877</v>
      </c>
      <c r="J24" s="59"/>
      <c r="K24" s="83" t="s">
        <v>5</v>
      </c>
      <c r="L24" s="84">
        <f ca="1">P37-L37</f>
        <v>29.017727423231491</v>
      </c>
      <c r="M24" s="95">
        <f ca="1">L24/$L$19*10^3</f>
        <v>159.64184457613746</v>
      </c>
      <c r="N24" s="59"/>
      <c r="O24" s="59"/>
      <c r="P24" s="83" t="s">
        <v>5</v>
      </c>
      <c r="Q24" s="94">
        <f ca="1">P10-U10</f>
        <v>162.12559563900953</v>
      </c>
      <c r="R24" s="115">
        <f ca="1">Q24/Q19*10^3</f>
        <v>853.19940907978003</v>
      </c>
      <c r="S24" s="59"/>
      <c r="T24" s="177" t="s">
        <v>133</v>
      </c>
      <c r="U24" s="187">
        <f ca="1">U10-U16</f>
        <v>15.387953950903787</v>
      </c>
      <c r="V24" s="177">
        <f ca="1">U24/$U$19*10^3</f>
        <v>0.72164948453608246</v>
      </c>
      <c r="W24" s="195">
        <f>W16</f>
        <v>0</v>
      </c>
      <c r="X24" s="59"/>
      <c r="Y24" s="181">
        <f ca="1">1-(U24/D10)</f>
        <v>0.91032660867771686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1.3437703753185586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142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4" t="s">
        <v>87</v>
      </c>
      <c r="H31" s="205"/>
      <c r="I31" s="206"/>
      <c r="J31" s="59"/>
      <c r="K31" s="204" t="s">
        <v>85</v>
      </c>
      <c r="L31" s="205"/>
      <c r="M31" s="206"/>
      <c r="N31" s="59"/>
      <c r="O31" s="204" t="s">
        <v>88</v>
      </c>
      <c r="P31" s="205"/>
      <c r="Q31" s="206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4.1261489220524163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1">
        <f ca="1">H35/I35*10^3</f>
        <v>17.208661398545612</v>
      </c>
      <c r="I32" s="202"/>
      <c r="J32" s="59"/>
      <c r="K32" s="112" t="s">
        <v>74</v>
      </c>
      <c r="L32" s="203">
        <f ca="1">L35/M35*10^3</f>
        <v>113.86181977985068</v>
      </c>
      <c r="M32" s="200"/>
      <c r="N32" s="59"/>
      <c r="O32" s="79" t="s">
        <v>74</v>
      </c>
      <c r="P32" s="203">
        <f t="shared" ref="P32:P37" ca="1" si="3">Q19+L5</f>
        <v>295.62948257008287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5.1576861525655193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2178.7287110370371</v>
      </c>
      <c r="I33" s="155">
        <f ca="1">H33/$H$32*10^3</f>
        <v>126606.51869303281</v>
      </c>
      <c r="J33" s="59"/>
      <c r="K33" s="80" t="s">
        <v>2</v>
      </c>
      <c r="L33" s="81">
        <f ca="1">P33*$L$28</f>
        <v>2293.398643196881</v>
      </c>
      <c r="M33" s="92">
        <f ca="1">L33/L32*10^3</f>
        <v>20141.94615570976</v>
      </c>
      <c r="N33" s="59"/>
      <c r="O33" s="80" t="s">
        <v>2</v>
      </c>
      <c r="P33" s="81">
        <f t="shared" ca="1" si="3"/>
        <v>2698.11605081986</v>
      </c>
      <c r="Q33" s="92">
        <f ca="1">P33/$P$32*10^3</f>
        <v>9126.681234102678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2077.1037695724422</v>
      </c>
      <c r="I34" s="155">
        <f ca="1">H34/$H$32*10^3</f>
        <v>120701.06567080159</v>
      </c>
      <c r="J34" s="59"/>
      <c r="K34" s="80" t="s">
        <v>50</v>
      </c>
      <c r="L34" s="81">
        <f ca="1">P34*$L$28</f>
        <v>2186.4250206025708</v>
      </c>
      <c r="M34" s="92">
        <f ca="1">L34/$L$32*10^3</f>
        <v>19202.442265809343</v>
      </c>
      <c r="N34" s="59"/>
      <c r="O34" s="80" t="s">
        <v>50</v>
      </c>
      <c r="P34" s="81">
        <f t="shared" ca="1" si="3"/>
        <v>2572.2647301206716</v>
      </c>
      <c r="Q34" s="92">
        <f ca="1">P34/$P$32*10^3</f>
        <v>8700.9749763739565</v>
      </c>
      <c r="R34" s="59"/>
      <c r="S34" s="59"/>
      <c r="T34" s="59"/>
      <c r="U34" s="59"/>
      <c r="V34" s="59"/>
      <c r="W34" s="100"/>
      <c r="X34" s="59"/>
      <c r="Y34" s="204" t="s">
        <v>134</v>
      </c>
      <c r="Z34" s="205"/>
      <c r="AA34" s="206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3785.905507680035</v>
      </c>
      <c r="I35" s="155">
        <f>참조!G48*10^6</f>
        <v>220000</v>
      </c>
      <c r="J35" s="59"/>
      <c r="K35" s="80" t="s">
        <v>3</v>
      </c>
      <c r="L35" s="81">
        <f ca="1">P35*$L$28</f>
        <v>3985.1636922947737</v>
      </c>
      <c r="M35" s="92">
        <f>참조!D57*10^6</f>
        <v>35000</v>
      </c>
      <c r="N35" s="59"/>
      <c r="O35" s="80" t="s">
        <v>3</v>
      </c>
      <c r="P35" s="81">
        <f t="shared" ca="1" si="3"/>
        <v>4688.4278732879693</v>
      </c>
      <c r="Q35" s="92">
        <f ca="1">P35/$P$32*10^3</f>
        <v>15859.134997391593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659.48374075301945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264.15123557282249</v>
      </c>
      <c r="I36" s="155">
        <f ca="1">H36/$H$32*10^3</f>
        <v>15349.90023077258</v>
      </c>
      <c r="J36" s="59"/>
      <c r="K36" s="80" t="s">
        <v>4</v>
      </c>
      <c r="L36" s="81">
        <f ca="1">P36*$L$28</f>
        <v>278.05393218191841</v>
      </c>
      <c r="M36" s="92">
        <f ca="1">L36/$L$32*10^3</f>
        <v>2442.0295821683649</v>
      </c>
      <c r="N36" s="59"/>
      <c r="O36" s="80" t="s">
        <v>4</v>
      </c>
      <c r="P36" s="81">
        <f t="shared" ca="1" si="3"/>
        <v>327.12227315519812</v>
      </c>
      <c r="Q36" s="92">
        <f ca="1">P36/$P$32*10^3</f>
        <v>1106.5279088923394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156.21209929506281</v>
      </c>
      <c r="I37" s="156">
        <f ca="1">H37/$H$32*10^3</f>
        <v>9077.5276285153159</v>
      </c>
      <c r="J37" s="59"/>
      <c r="K37" s="83" t="s">
        <v>5</v>
      </c>
      <c r="L37" s="84">
        <f ca="1">P37*$L$28</f>
        <v>164.43378873164508</v>
      </c>
      <c r="M37" s="95">
        <f ca="1">L37/$L$32*10^3</f>
        <v>1444.1521227183457</v>
      </c>
      <c r="N37" s="59"/>
      <c r="O37" s="83" t="s">
        <v>5</v>
      </c>
      <c r="P37" s="84">
        <f t="shared" ca="1" si="3"/>
        <v>193.45151615487657</v>
      </c>
      <c r="Q37" s="95">
        <f ca="1">P37/$P$32*10^3</f>
        <v>654.37152774171068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1520.1660377507335</v>
      </c>
      <c r="N42" s="49" t="s">
        <v>116</v>
      </c>
      <c r="R42" s="49" t="s">
        <v>124</v>
      </c>
      <c r="T42" s="49">
        <f>(P44/(1+(P45*P46))*P43*P47)</f>
        <v>5.3960881167996781</v>
      </c>
      <c r="U42" s="49">
        <f>P5*T42/10^3</f>
        <v>119.6464479598159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80.941321751995162</v>
      </c>
      <c r="T43" s="49">
        <f>L49*참조!H7*(P44/(1+P45*P46))*P48</f>
        <v>1.0432437025812711</v>
      </c>
      <c r="U43" s="49">
        <f>P5*T43/10^3</f>
        <v>23.131646605564409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187.94962246834623</v>
      </c>
      <c r="N44" s="49" t="s">
        <v>118</v>
      </c>
      <c r="P44" s="49">
        <f>0.4</f>
        <v>0.4</v>
      </c>
      <c r="U44" s="49">
        <f>SUM(U42:U43)</f>
        <v>142.77809456538031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3991.5093348611758</v>
      </c>
      <c r="K45" s="172" t="s">
        <v>43</v>
      </c>
      <c r="L45" s="175">
        <f>Q7</f>
        <v>158.70847402351993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142.88949093912336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44345.624226305648</v>
      </c>
      <c r="K47" s="172" t="s">
        <v>4</v>
      </c>
      <c r="L47" s="175">
        <f>Q9</f>
        <v>44.751448519788752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8.0059105125692653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3058.3478787450658</v>
      </c>
      <c r="K49" s="172" t="s">
        <v>44</v>
      </c>
      <c r="L49" s="175">
        <f>L45*1.7</f>
        <v>269.80440583998387</v>
      </c>
      <c r="N49" s="49" t="s">
        <v>123</v>
      </c>
      <c r="P49" s="170">
        <f>V8</f>
        <v>5</v>
      </c>
    </row>
    <row r="52" spans="3:16" ht="17.25" thickBot="1">
      <c r="C52" s="204" t="s">
        <v>135</v>
      </c>
      <c r="D52" s="205"/>
      <c r="E52" s="206"/>
    </row>
    <row r="53" spans="3:16" ht="17.25" thickTop="1">
      <c r="C53" s="112" t="s">
        <v>74</v>
      </c>
      <c r="D53" s="199">
        <v>120</v>
      </c>
      <c r="E53" s="200"/>
    </row>
    <row r="54" spans="3:16">
      <c r="C54" s="80" t="s">
        <v>2</v>
      </c>
      <c r="D54" s="91">
        <v>27</v>
      </c>
      <c r="E54" s="114">
        <f>D54/$D$53*10^3</f>
        <v>225</v>
      </c>
    </row>
    <row r="55" spans="3:16">
      <c r="C55" s="80" t="s">
        <v>50</v>
      </c>
      <c r="D55" s="91">
        <v>44</v>
      </c>
      <c r="E55" s="114">
        <f>D55/$D$53*10^3</f>
        <v>366.66666666666663</v>
      </c>
    </row>
    <row r="56" spans="3:16">
      <c r="C56" s="80" t="s">
        <v>3</v>
      </c>
      <c r="D56" s="91">
        <v>2</v>
      </c>
      <c r="E56" s="114">
        <f>D56/$D$53*10^3</f>
        <v>16.666666666666668</v>
      </c>
    </row>
    <row r="57" spans="3:16">
      <c r="C57" s="80" t="s">
        <v>4</v>
      </c>
      <c r="D57" s="91">
        <v>31</v>
      </c>
      <c r="E57" s="114">
        <f>D57/$D$53*10^3</f>
        <v>258.33333333333337</v>
      </c>
    </row>
    <row r="58" spans="3:16">
      <c r="C58" s="83" t="s">
        <v>5</v>
      </c>
      <c r="D58" s="94">
        <v>7</v>
      </c>
      <c r="E58" s="115">
        <f>D58/$D$53*10^3</f>
        <v>58.333333333333336</v>
      </c>
    </row>
  </sheetData>
  <mergeCells count="19">
    <mergeCell ref="Y34:AA34"/>
    <mergeCell ref="Z35:AA35"/>
    <mergeCell ref="U5:V5"/>
    <mergeCell ref="D19:E19"/>
    <mergeCell ref="H19:I19"/>
    <mergeCell ref="L19:M19"/>
    <mergeCell ref="Q19:R19"/>
    <mergeCell ref="H5:I5"/>
    <mergeCell ref="L5:M5"/>
    <mergeCell ref="P5:Q5"/>
    <mergeCell ref="D53:E53"/>
    <mergeCell ref="H32:I32"/>
    <mergeCell ref="L32:M32"/>
    <mergeCell ref="P32:Q32"/>
    <mergeCell ref="D5:E5"/>
    <mergeCell ref="C52:E52"/>
    <mergeCell ref="G31:I31"/>
    <mergeCell ref="K31:M31"/>
    <mergeCell ref="O31:Q31"/>
  </mergeCells>
  <phoneticPr fontId="1" type="noConversion"/>
  <conditionalFormatting sqref="AB5">
    <cfRule type="cellIs" dxfId="1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9"/>
  <sheetViews>
    <sheetView tabSelected="1" view="pageBreakPreview" zoomScaleSheetLayoutView="100" workbookViewId="0">
      <selection activeCell="U20" sqref="U20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8" customHeight="1">
      <c r="A1" s="1"/>
      <c r="B1" s="23"/>
      <c r="C1" s="197" t="s">
        <v>147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22000</v>
      </c>
      <c r="E5" s="200"/>
      <c r="F5" s="123"/>
      <c r="G5" s="90" t="s">
        <v>74</v>
      </c>
      <c r="H5" s="199">
        <f>D5+D19</f>
        <v>22296.913590572956</v>
      </c>
      <c r="I5" s="200"/>
      <c r="J5" s="125"/>
      <c r="K5" s="79" t="s">
        <v>74</v>
      </c>
      <c r="L5" s="199">
        <f>L8/M8*10^3</f>
        <v>108.11320079958799</v>
      </c>
      <c r="M5" s="200"/>
      <c r="N5" s="116" t="s">
        <v>77</v>
      </c>
      <c r="O5" s="130" t="s">
        <v>74</v>
      </c>
      <c r="P5" s="199">
        <f t="shared" ref="P5:P10" si="0">H5-L5</f>
        <v>22188.800389773369</v>
      </c>
      <c r="Q5" s="200"/>
      <c r="R5" s="116" t="s">
        <v>77</v>
      </c>
      <c r="S5" s="59"/>
      <c r="T5" s="90" t="s">
        <v>74</v>
      </c>
      <c r="U5" s="199">
        <f ca="1">P5-Q19</f>
        <v>21982.023165367093</v>
      </c>
      <c r="V5" s="200"/>
      <c r="W5" s="100"/>
      <c r="X5" s="59"/>
      <c r="Z5" s="113" t="s">
        <v>84</v>
      </c>
      <c r="AA5" s="157">
        <f ca="1">P32-L32</f>
        <v>195.94837531008685</v>
      </c>
      <c r="AB5" s="157">
        <v>195.94811009442697</v>
      </c>
      <c r="AD5" s="132">
        <f ca="1">AA5-AB5</f>
        <v>2.652156598799138E-4</v>
      </c>
    </row>
    <row r="6" spans="1:30" s="53" customFormat="1" ht="12" customHeight="1">
      <c r="A6" s="58"/>
      <c r="B6" s="59"/>
      <c r="C6" s="80" t="s">
        <v>2</v>
      </c>
      <c r="D6" s="91">
        <f>$D$5*E6/10^3</f>
        <v>5698</v>
      </c>
      <c r="E6" s="97">
        <v>259</v>
      </c>
      <c r="F6" s="123"/>
      <c r="G6" s="93" t="s">
        <v>2</v>
      </c>
      <c r="H6" s="91">
        <f>$H$5*I6/10^3</f>
        <v>6250.0006165862469</v>
      </c>
      <c r="I6" s="97">
        <f>($D$5*E6+$D$19*E20)/$H$5</f>
        <v>280.30788168048161</v>
      </c>
      <c r="J6" s="126"/>
      <c r="K6" s="80" t="s">
        <v>2</v>
      </c>
      <c r="L6" s="91">
        <f>H6*N6</f>
        <v>1875.0001849758739</v>
      </c>
      <c r="M6" s="82">
        <f>L6/$L$5*10^3</f>
        <v>17342.934730529403</v>
      </c>
      <c r="N6" s="117">
        <v>0.3</v>
      </c>
      <c r="O6" s="93" t="s">
        <v>2</v>
      </c>
      <c r="P6" s="91">
        <f t="shared" si="0"/>
        <v>4375.0004316103732</v>
      </c>
      <c r="Q6" s="97">
        <f>P6/$P$5*10^3</f>
        <v>197.17156199335471</v>
      </c>
      <c r="R6" s="120">
        <f ca="1">1-U6/P6</f>
        <v>0.95980430446307252</v>
      </c>
      <c r="S6" s="59"/>
      <c r="T6" s="93" t="s">
        <v>2</v>
      </c>
      <c r="U6" s="91">
        <f ca="1">$U$5*V6/10^3</f>
        <v>175.85618532293674</v>
      </c>
      <c r="V6" s="97">
        <v>8</v>
      </c>
      <c r="W6" s="100"/>
      <c r="X6" s="59"/>
      <c r="Z6" s="113" t="s">
        <v>86</v>
      </c>
      <c r="AA6" s="157">
        <f ca="1">L32-H32</f>
        <v>100.96558099107993</v>
      </c>
      <c r="AB6" s="157">
        <v>100.96548047853065</v>
      </c>
      <c r="AD6" s="132">
        <f t="shared" ref="AD6:AD11" ca="1" si="1">AA6-AB6</f>
        <v>1.0051254928100661E-4</v>
      </c>
    </row>
    <row r="7" spans="1:30" s="53" customFormat="1" ht="12" customHeight="1">
      <c r="A7" s="58"/>
      <c r="B7" s="59"/>
      <c r="C7" s="80" t="s">
        <v>50</v>
      </c>
      <c r="D7" s="91">
        <f>$D$5*E7/10^3</f>
        <v>4686</v>
      </c>
      <c r="E7" s="97">
        <v>213</v>
      </c>
      <c r="F7" s="123"/>
      <c r="G7" s="93" t="s">
        <v>50</v>
      </c>
      <c r="H7" s="91">
        <f>$H$5*I7/10^3</f>
        <v>5209.7709297693964</v>
      </c>
      <c r="I7" s="97">
        <f>($D$5*E7+$D$19*E21)/$H$5</f>
        <v>233.6543534873843</v>
      </c>
      <c r="J7" s="126"/>
      <c r="K7" s="80" t="s">
        <v>50</v>
      </c>
      <c r="L7" s="91">
        <f>H7*N7</f>
        <v>1562.931278930819</v>
      </c>
      <c r="M7" s="82">
        <f>L7/$L$5*10^3</f>
        <v>14456.43332517795</v>
      </c>
      <c r="N7" s="118">
        <v>0.3</v>
      </c>
      <c r="O7" s="93" t="s">
        <v>50</v>
      </c>
      <c r="P7" s="91">
        <f t="shared" si="0"/>
        <v>3646.8396508385777</v>
      </c>
      <c r="Q7" s="97">
        <f>P7/$P$5*10^3</f>
        <v>164.35497128179023</v>
      </c>
      <c r="R7" s="120">
        <f ca="1">1-U7/P7</f>
        <v>0.88547386775123615</v>
      </c>
      <c r="S7" s="59"/>
      <c r="T7" s="93" t="s">
        <v>50</v>
      </c>
      <c r="U7" s="91">
        <f ca="1">$U$5*V7/10^3</f>
        <v>417.65844014197478</v>
      </c>
      <c r="V7" s="97">
        <v>19</v>
      </c>
      <c r="W7" s="100"/>
      <c r="X7" s="59"/>
      <c r="Z7" s="113" t="s">
        <v>93</v>
      </c>
      <c r="AA7" s="158">
        <f ca="1">D20/$D$19*10^3</f>
        <v>1859.1257136254055</v>
      </c>
      <c r="AB7" s="158">
        <v>1859.1288311223636</v>
      </c>
      <c r="AD7" s="132">
        <f t="shared" ca="1" si="1"/>
        <v>-3.1174969581115874E-3</v>
      </c>
    </row>
    <row r="8" spans="1:30" s="53" customFormat="1" ht="12" customHeight="1">
      <c r="A8" s="58"/>
      <c r="B8" s="59"/>
      <c r="C8" s="80" t="s">
        <v>3</v>
      </c>
      <c r="D8" s="91">
        <f>$D$5*E8/10^3</f>
        <v>5544</v>
      </c>
      <c r="E8" s="97">
        <v>252</v>
      </c>
      <c r="F8" s="123"/>
      <c r="G8" s="93" t="s">
        <v>3</v>
      </c>
      <c r="H8" s="91">
        <f>$H$5*I8/10^3</f>
        <v>6486.7920479752793</v>
      </c>
      <c r="I8" s="97">
        <f>($D$5*E8+$D$19*E22)/$H$5</f>
        <v>290.92780135802599</v>
      </c>
      <c r="J8" s="126"/>
      <c r="K8" s="80" t="s">
        <v>3</v>
      </c>
      <c r="L8" s="91">
        <f>H8*N8</f>
        <v>3243.3960239876396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3243.3960239876396</v>
      </c>
      <c r="Q8" s="97">
        <f>P8/$P$5*10^3</f>
        <v>146.17266219955241</v>
      </c>
      <c r="R8" s="120">
        <f ca="1">1-U8/P8</f>
        <v>0.96611264396516561</v>
      </c>
      <c r="S8" s="59"/>
      <c r="T8" s="93" t="s">
        <v>3</v>
      </c>
      <c r="U8" s="91">
        <f ca="1">$U$5*V8/10^3</f>
        <v>109.91011582683547</v>
      </c>
      <c r="V8" s="97">
        <v>5</v>
      </c>
      <c r="W8" s="100"/>
      <c r="X8" s="59"/>
      <c r="Z8" s="59"/>
      <c r="AA8" s="158">
        <f ca="1">D21/$D$19*10^3</f>
        <v>1764.0489884385622</v>
      </c>
      <c r="AB8" s="158">
        <v>1764.0517187464188</v>
      </c>
      <c r="AD8" s="132">
        <f t="shared" ca="1" si="1"/>
        <v>-2.7303078566092154E-3</v>
      </c>
    </row>
    <row r="9" spans="1:30" s="53" customFormat="1" ht="12" customHeight="1">
      <c r="A9" s="58"/>
      <c r="B9" s="59"/>
      <c r="C9" s="80" t="s">
        <v>4</v>
      </c>
      <c r="D9" s="91">
        <f>$D$5*E9/10^3</f>
        <v>1130.8</v>
      </c>
      <c r="E9" s="98">
        <v>51.4</v>
      </c>
      <c r="F9" s="123"/>
      <c r="G9" s="93" t="s">
        <v>4</v>
      </c>
      <c r="H9" s="91">
        <f>$H$5*I9/10^3</f>
        <v>1197.2133356128866</v>
      </c>
      <c r="I9" s="97">
        <f>($D$5*E9+$D$19*E23)/$H$5</f>
        <v>53.694128146913727</v>
      </c>
      <c r="J9" s="127"/>
      <c r="K9" s="80" t="s">
        <v>4</v>
      </c>
      <c r="L9" s="91">
        <f>H9*N9</f>
        <v>179.58200034193297</v>
      </c>
      <c r="M9" s="114">
        <f>L9/$L$5*10^3</f>
        <v>1661.0552551748826</v>
      </c>
      <c r="N9" s="118">
        <v>0.15</v>
      </c>
      <c r="O9" s="93" t="s">
        <v>4</v>
      </c>
      <c r="P9" s="91">
        <f t="shared" si="0"/>
        <v>1017.6313352709536</v>
      </c>
      <c r="Q9" s="98">
        <f>P9/$P$5*10^3</f>
        <v>45.86238631178869</v>
      </c>
      <c r="R9" s="120">
        <f ca="1">1-U9/P9</f>
        <v>0.82719067384445921</v>
      </c>
      <c r="S9" s="59"/>
      <c r="T9" s="93" t="s">
        <v>4</v>
      </c>
      <c r="U9" s="91">
        <f ca="1">$U$5*V9/10^3</f>
        <v>175.85618532293674</v>
      </c>
      <c r="V9" s="98">
        <v>8</v>
      </c>
      <c r="W9" s="100"/>
      <c r="X9" s="59"/>
      <c r="Z9" s="59"/>
      <c r="AA9" s="158">
        <f ca="1">D22/$D$19*10^3</f>
        <v>3175.3031526288</v>
      </c>
      <c r="AB9" s="158">
        <v>3175.3078266170364</v>
      </c>
      <c r="AD9" s="132">
        <f t="shared" ca="1" si="1"/>
        <v>-4.6739882363908691E-3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173.8</v>
      </c>
      <c r="E10" s="99">
        <v>7.9</v>
      </c>
      <c r="F10" s="123"/>
      <c r="G10" s="96" t="s">
        <v>5</v>
      </c>
      <c r="H10" s="94">
        <f>$H$5*I10/10^3</f>
        <v>211.56405938183553</v>
      </c>
      <c r="I10" s="122">
        <f>($D$5*E10+$D$19*E24)/$H$5</f>
        <v>9.488490795931682</v>
      </c>
      <c r="J10" s="127"/>
      <c r="K10" s="83" t="s">
        <v>5</v>
      </c>
      <c r="L10" s="94">
        <f>H10*N10</f>
        <v>31.73460890727533</v>
      </c>
      <c r="M10" s="115">
        <f>L10/L5*10^3</f>
        <v>293.5313048968232</v>
      </c>
      <c r="N10" s="119">
        <v>0.15</v>
      </c>
      <c r="O10" s="96" t="s">
        <v>5</v>
      </c>
      <c r="P10" s="94">
        <f t="shared" si="0"/>
        <v>179.82945047456019</v>
      </c>
      <c r="Q10" s="99">
        <f>P10/$P$5*10^3</f>
        <v>8.1045143187390174</v>
      </c>
      <c r="R10" s="121">
        <f ca="1">1-U10/P10</f>
        <v>0.91443328011540714</v>
      </c>
      <c r="S10" s="59"/>
      <c r="T10" s="96" t="s">
        <v>5</v>
      </c>
      <c r="U10" s="94">
        <f ca="1">$U$5*V10/10^3</f>
        <v>15.387416215756964</v>
      </c>
      <c r="V10" s="99">
        <v>0.7</v>
      </c>
      <c r="W10" s="100"/>
      <c r="X10" s="59"/>
      <c r="Z10" s="59"/>
      <c r="AA10" s="158">
        <f ca="1">D23/$D$19*10^3</f>
        <v>223.6786382744103</v>
      </c>
      <c r="AB10" s="158">
        <v>223.6790019774038</v>
      </c>
      <c r="AD10" s="132">
        <f t="shared" ca="1" si="1"/>
        <v>-3.6370299349641755E-4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127.1885323154002</v>
      </c>
      <c r="AB11" s="158">
        <v>127.18871948219609</v>
      </c>
      <c r="AD11" s="132">
        <f t="shared" ca="1" si="1"/>
        <v>-1.8716679589658725E-4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143</v>
      </c>
      <c r="I12" s="167" t="s">
        <v>144</v>
      </c>
      <c r="J12" s="168"/>
      <c r="K12" s="86" t="s">
        <v>145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/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140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3">
        <f t="shared" ref="D19:D24" si="2">H19+L19</f>
        <v>296.91359057295762</v>
      </c>
      <c r="E19" s="200"/>
      <c r="F19" s="59"/>
      <c r="G19" s="112" t="s">
        <v>74</v>
      </c>
      <c r="H19" s="203">
        <f>AB6</f>
        <v>100.96548047853065</v>
      </c>
      <c r="I19" s="200"/>
      <c r="J19" s="59"/>
      <c r="K19" s="79" t="s">
        <v>74</v>
      </c>
      <c r="L19" s="203">
        <f>AB5</f>
        <v>195.94811009442697</v>
      </c>
      <c r="M19" s="200"/>
      <c r="N19" s="59"/>
      <c r="O19" s="59"/>
      <c r="P19" s="79" t="s">
        <v>74</v>
      </c>
      <c r="Q19" s="199">
        <f ca="1">Q22/R22*10^3</f>
        <v>206.77722440627491</v>
      </c>
      <c r="R19" s="200"/>
      <c r="S19" s="59"/>
      <c r="T19" s="177" t="s">
        <v>128</v>
      </c>
      <c r="U19" s="188">
        <f ca="1">U5-Z35</f>
        <v>21322.562470406079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551.99969096007317</v>
      </c>
      <c r="E20" s="114">
        <f>AB7</f>
        <v>1859.1288311223636</v>
      </c>
      <c r="F20" s="59"/>
      <c r="G20" s="80" t="s">
        <v>2</v>
      </c>
      <c r="H20" s="81">
        <f ca="1">L33-H33</f>
        <v>121.87006164119612</v>
      </c>
      <c r="I20" s="114">
        <f ca="1">H20/$H$19*10^3</f>
        <v>1207.0468150459662</v>
      </c>
      <c r="J20" s="59"/>
      <c r="K20" s="80" t="s">
        <v>2</v>
      </c>
      <c r="L20" s="81">
        <f ca="1">P33-L33</f>
        <v>430.12962931889933</v>
      </c>
      <c r="M20" s="92">
        <f ca="1">L20/$L$19*10^3</f>
        <v>2195.1200708780543</v>
      </c>
      <c r="N20" s="59"/>
      <c r="O20" s="59"/>
      <c r="P20" s="80" t="s">
        <v>2</v>
      </c>
      <c r="Q20" s="91">
        <f ca="1">Q22*0.6</f>
        <v>992.53067715011957</v>
      </c>
      <c r="R20" s="82">
        <f ca="1">Q20/$Q$19*10^3</f>
        <v>4800</v>
      </c>
      <c r="S20" s="59"/>
      <c r="T20" s="177" t="s">
        <v>129</v>
      </c>
      <c r="U20" s="187">
        <f ca="1">U6-Z36</f>
        <v>175.85618532293674</v>
      </c>
      <c r="V20" s="177">
        <f ca="1">U20/$U$19*10^3</f>
        <v>8.247422680412372</v>
      </c>
      <c r="W20" s="195">
        <v>0</v>
      </c>
      <c r="X20" s="59"/>
      <c r="Y20" s="180">
        <f ca="1">1-(U20/D6)</f>
        <v>0.96913720861303321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523.77011910510237</v>
      </c>
      <c r="E21" s="114">
        <f>AB8</f>
        <v>1764.0517187464188</v>
      </c>
      <c r="F21" s="59"/>
      <c r="G21" s="80" t="s">
        <v>50</v>
      </c>
      <c r="H21" s="81">
        <f ca="1">L34-H34</f>
        <v>115.63755876423465</v>
      </c>
      <c r="I21" s="114">
        <f ca="1">H21/$H$19*10^3</f>
        <v>1145.3177681734885</v>
      </c>
      <c r="J21" s="59"/>
      <c r="K21" s="80" t="s">
        <v>50</v>
      </c>
      <c r="L21" s="81">
        <f ca="1">P34-L34</f>
        <v>408.13256034089363</v>
      </c>
      <c r="M21" s="92">
        <f ca="1">L21/$L$19*10^3</f>
        <v>2082.8604069935427</v>
      </c>
      <c r="N21" s="59"/>
      <c r="O21" s="59"/>
      <c r="P21" s="80" t="s">
        <v>50</v>
      </c>
      <c r="Q21" s="91">
        <f ca="1">Q22*0.7</f>
        <v>1157.9524566751395</v>
      </c>
      <c r="R21" s="82">
        <f ca="1">Q21/$Q$19*10^3</f>
        <v>5600</v>
      </c>
      <c r="S21" s="59"/>
      <c r="T21" s="177" t="s">
        <v>130</v>
      </c>
      <c r="U21" s="187">
        <f ca="1">U7-Z37</f>
        <v>417.65844014197478</v>
      </c>
      <c r="V21" s="177">
        <f ca="1">U21/$U$19*10^3</f>
        <v>19.587628865979383</v>
      </c>
      <c r="W21" s="195">
        <v>0</v>
      </c>
      <c r="X21" s="59"/>
      <c r="Y21" s="180">
        <f ca="1">1-(U21/D7)</f>
        <v>0.91087101149338989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942.79066020468554</v>
      </c>
      <c r="E22" s="114">
        <f>AB9</f>
        <v>3175.3078266170364</v>
      </c>
      <c r="F22" s="59"/>
      <c r="G22" s="80" t="s">
        <v>3</v>
      </c>
      <c r="H22" s="81">
        <f ca="1">L35-H35</f>
        <v>208.14858731760842</v>
      </c>
      <c r="I22" s="114">
        <f ca="1">H22/$H$19*10^3</f>
        <v>2061.5817042723752</v>
      </c>
      <c r="J22" s="59"/>
      <c r="K22" s="80" t="s">
        <v>3</v>
      </c>
      <c r="L22" s="81">
        <f ca="1">P35-L35</f>
        <v>734.64207288567559</v>
      </c>
      <c r="M22" s="92">
        <f ca="1">L22/$L$19*10^3</f>
        <v>3749.1664121264203</v>
      </c>
      <c r="N22" s="59"/>
      <c r="O22" s="59"/>
      <c r="P22" s="80" t="s">
        <v>3</v>
      </c>
      <c r="Q22" s="91">
        <f ca="1">I42</f>
        <v>1654.2177952501988</v>
      </c>
      <c r="R22" s="82">
        <f>참조!D52*10^6</f>
        <v>8000</v>
      </c>
      <c r="S22" s="59"/>
      <c r="T22" s="177" t="s">
        <v>131</v>
      </c>
      <c r="U22" s="187">
        <f ca="1">U8-Z38</f>
        <v>109.91011582683547</v>
      </c>
      <c r="V22" s="177">
        <f ca="1">U22/$U$19*10^3</f>
        <v>5.1546391752577323</v>
      </c>
      <c r="W22" s="195">
        <v>0</v>
      </c>
      <c r="X22" s="59"/>
      <c r="Y22" s="180">
        <f ca="1">1-(U22/D8)</f>
        <v>0.9801749430326776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66.413227624528645</v>
      </c>
      <c r="E23" s="114">
        <f>AB10</f>
        <v>223.6790019774038</v>
      </c>
      <c r="F23" s="59"/>
      <c r="G23" s="80" t="s">
        <v>4</v>
      </c>
      <c r="H23" s="81">
        <f ca="1">L36-H36</f>
        <v>14.662660644345522</v>
      </c>
      <c r="I23" s="114">
        <f ca="1">H23/$H$19*10^3</f>
        <v>145.2244923200598</v>
      </c>
      <c r="J23" s="59"/>
      <c r="K23" s="80" t="s">
        <v>4</v>
      </c>
      <c r="L23" s="81">
        <f ca="1">P36-L36</f>
        <v>51.750566980042947</v>
      </c>
      <c r="M23" s="92">
        <f ca="1">L23/$L$19*10^3</f>
        <v>264.10342490725969</v>
      </c>
      <c r="N23" s="59"/>
      <c r="O23" s="59"/>
      <c r="P23" s="80" t="s">
        <v>4</v>
      </c>
      <c r="Q23" s="91">
        <f ca="1">Q22*AC31</f>
        <v>165.4217795250199</v>
      </c>
      <c r="R23" s="114">
        <f ca="1">Q23/$Q$19*10^3</f>
        <v>799.99999999999977</v>
      </c>
      <c r="S23" s="59"/>
      <c r="T23" s="177" t="s">
        <v>132</v>
      </c>
      <c r="U23" s="187">
        <f ca="1">U9*(1-W23)</f>
        <v>175.85618532293674</v>
      </c>
      <c r="V23" s="177">
        <f ca="1">U23/$U$19*10^3</f>
        <v>8.247422680412372</v>
      </c>
      <c r="W23" s="195">
        <v>0</v>
      </c>
      <c r="X23" s="59"/>
      <c r="Y23" s="180">
        <f ca="1">1-(U23/D9)</f>
        <v>0.84448515624077047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37.764003809470125</v>
      </c>
      <c r="E24" s="115">
        <f>AB11</f>
        <v>127.18871948219609</v>
      </c>
      <c r="F24" s="59"/>
      <c r="G24" s="83" t="s">
        <v>5</v>
      </c>
      <c r="H24" s="84">
        <f ca="1">L37-H37</f>
        <v>8.337507334558353</v>
      </c>
      <c r="I24" s="115">
        <f ca="1">H24/$H$19*10^3</f>
        <v>82.577800799266683</v>
      </c>
      <c r="J24" s="59"/>
      <c r="K24" s="83" t="s">
        <v>5</v>
      </c>
      <c r="L24" s="84">
        <f ca="1">P37-L37</f>
        <v>29.426496474911943</v>
      </c>
      <c r="M24" s="95">
        <f ca="1">L24/$L$19*10^3</f>
        <v>150.17494407438471</v>
      </c>
      <c r="N24" s="59"/>
      <c r="O24" s="59"/>
      <c r="P24" s="83" t="s">
        <v>5</v>
      </c>
      <c r="Q24" s="94">
        <f ca="1">P10-U10</f>
        <v>164.44203425880323</v>
      </c>
      <c r="R24" s="115">
        <f ca="1">Q24/Q19*10^3</f>
        <v>795.26183181426359</v>
      </c>
      <c r="S24" s="59"/>
      <c r="T24" s="177" t="s">
        <v>133</v>
      </c>
      <c r="U24" s="187">
        <f ca="1">U10-U16</f>
        <v>15.387416215756964</v>
      </c>
      <c r="V24" s="177">
        <f ca="1">U24/$U$19*10^3</f>
        <v>0.72164948453608246</v>
      </c>
      <c r="W24" s="195">
        <f>W16</f>
        <v>0</v>
      </c>
      <c r="X24" s="59"/>
      <c r="Y24" s="181">
        <f ca="1">1-(U24/D10)</f>
        <v>0.91146480888517278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1.4313201145721042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142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4" t="s">
        <v>87</v>
      </c>
      <c r="H31" s="205"/>
      <c r="I31" s="206"/>
      <c r="J31" s="59"/>
      <c r="K31" s="204" t="s">
        <v>85</v>
      </c>
      <c r="L31" s="205"/>
      <c r="M31" s="206"/>
      <c r="N31" s="59"/>
      <c r="O31" s="204" t="s">
        <v>88</v>
      </c>
      <c r="P31" s="205"/>
      <c r="Q31" s="206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4.0055555706637431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1">
        <f ca="1">H35/I35*10^3</f>
        <v>17.976468904702521</v>
      </c>
      <c r="I32" s="202"/>
      <c r="J32" s="59"/>
      <c r="K32" s="112" t="s">
        <v>74</v>
      </c>
      <c r="L32" s="203">
        <f ca="1">L35/M35*10^3</f>
        <v>118.94204989577608</v>
      </c>
      <c r="M32" s="200"/>
      <c r="N32" s="59"/>
      <c r="O32" s="79" t="s">
        <v>74</v>
      </c>
      <c r="P32" s="203">
        <f t="shared" ref="P32:P37" ca="1" si="3">Q19+L5</f>
        <v>314.89042520586293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5.0069444633296794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2315.5311711667396</v>
      </c>
      <c r="I33" s="155">
        <f ca="1">H33/$H$32*10^3</f>
        <v>128809.01045927948</v>
      </c>
      <c r="J33" s="59"/>
      <c r="K33" s="80" t="s">
        <v>2</v>
      </c>
      <c r="L33" s="81">
        <f ca="1">P33*$L$28</f>
        <v>2437.4012328070944</v>
      </c>
      <c r="M33" s="92">
        <f ca="1">L33/L32*10^3</f>
        <v>20492.342573067192</v>
      </c>
      <c r="N33" s="59"/>
      <c r="O33" s="80" t="s">
        <v>2</v>
      </c>
      <c r="P33" s="81">
        <f t="shared" ca="1" si="3"/>
        <v>2867.5308621259937</v>
      </c>
      <c r="Q33" s="92">
        <f ca="1">P33/$P$32*10^3</f>
        <v>9106.4403125351146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2197.1136165018115</v>
      </c>
      <c r="I34" s="155">
        <f ca="1">H34/$H$32*10^3</f>
        <v>122221.64587212463</v>
      </c>
      <c r="J34" s="59"/>
      <c r="K34" s="80" t="s">
        <v>50</v>
      </c>
      <c r="L34" s="81">
        <f ca="1">P34*$L$28</f>
        <v>2312.7511752650648</v>
      </c>
      <c r="M34" s="92">
        <f ca="1">L34/$L$32*10^3</f>
        <v>19444.352752383464</v>
      </c>
      <c r="N34" s="59"/>
      <c r="O34" s="80" t="s">
        <v>50</v>
      </c>
      <c r="P34" s="81">
        <f t="shared" ca="1" si="3"/>
        <v>2720.8837356059585</v>
      </c>
      <c r="Q34" s="92">
        <f ca="1">P34/$P$32*10^3</f>
        <v>8640.7318794375915</v>
      </c>
      <c r="R34" s="59"/>
      <c r="S34" s="59"/>
      <c r="T34" s="59"/>
      <c r="U34" s="59"/>
      <c r="V34" s="59"/>
      <c r="W34" s="100"/>
      <c r="X34" s="59"/>
      <c r="Y34" s="204" t="s">
        <v>134</v>
      </c>
      <c r="Z34" s="205"/>
      <c r="AA34" s="206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3954.8231590345545</v>
      </c>
      <c r="I35" s="155">
        <f>참조!G48*10^6</f>
        <v>220000</v>
      </c>
      <c r="J35" s="59"/>
      <c r="K35" s="80" t="s">
        <v>3</v>
      </c>
      <c r="L35" s="81">
        <f ca="1">P35*$L$28</f>
        <v>4162.9717463521629</v>
      </c>
      <c r="M35" s="92">
        <f>참조!D57*10^6</f>
        <v>35000</v>
      </c>
      <c r="N35" s="59"/>
      <c r="O35" s="80" t="s">
        <v>3</v>
      </c>
      <c r="P35" s="81">
        <f t="shared" ca="1" si="3"/>
        <v>4897.6138192378385</v>
      </c>
      <c r="Q35" s="92">
        <f ca="1">P35/$P$32*10^3</f>
        <v>15553.390726428001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659.46069496101279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278.5905522425644</v>
      </c>
      <c r="I36" s="155">
        <f ca="1">H36/$H$32*10^3</f>
        <v>15497.512538165212</v>
      </c>
      <c r="J36" s="59"/>
      <c r="K36" s="80" t="s">
        <v>4</v>
      </c>
      <c r="L36" s="81">
        <f ca="1">P36*$L$28</f>
        <v>293.25321288690992</v>
      </c>
      <c r="M36" s="92">
        <f ca="1">L36/$L$32*10^3</f>
        <v>2465.5133583444663</v>
      </c>
      <c r="N36" s="59"/>
      <c r="O36" s="80" t="s">
        <v>4</v>
      </c>
      <c r="P36" s="81">
        <f t="shared" ca="1" si="3"/>
        <v>345.00377986695287</v>
      </c>
      <c r="Q36" s="92">
        <f ca="1">P36/$P$32*10^3</f>
        <v>1095.631217244548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158.41263935660828</v>
      </c>
      <c r="I37" s="156">
        <f ca="1">H37/$H$32*10^3</f>
        <v>8812.2222554602249</v>
      </c>
      <c r="J37" s="59"/>
      <c r="K37" s="83" t="s">
        <v>5</v>
      </c>
      <c r="L37" s="84">
        <f ca="1">P37*$L$28</f>
        <v>166.75014669116678</v>
      </c>
      <c r="M37" s="95">
        <f ca="1">L37/$L$32*10^3</f>
        <v>1401.9444497323102</v>
      </c>
      <c r="N37" s="59"/>
      <c r="O37" s="83" t="s">
        <v>5</v>
      </c>
      <c r="P37" s="84">
        <f t="shared" ca="1" si="3"/>
        <v>196.17664316607858</v>
      </c>
      <c r="Q37" s="95">
        <f ca="1">P37/$P$32*10^3</f>
        <v>622.99970866953493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1654.2177952502009</v>
      </c>
      <c r="N42" s="49" t="s">
        <v>116</v>
      </c>
      <c r="R42" s="49" t="s">
        <v>124</v>
      </c>
      <c r="T42" s="49">
        <f>(P44/(1+(P45*P46))*P43*P47)</f>
        <v>5.588069023580867</v>
      </c>
      <c r="U42" s="49">
        <f>P5*T42/10^3</f>
        <v>123.99254812851163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83.821035353713015</v>
      </c>
      <c r="T43" s="49">
        <f>L49*참조!H7*(P44/(1+P45*P46))*P48</f>
        <v>1.0803600112256344</v>
      </c>
      <c r="U43" s="49">
        <f>P5*T43/10^3</f>
        <v>23.971892638178918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197.17156199335471</v>
      </c>
      <c r="N44" s="49" t="s">
        <v>118</v>
      </c>
      <c r="P44" s="49">
        <f>0.4</f>
        <v>0.4</v>
      </c>
      <c r="U44" s="49">
        <f>SUM(U42:U43)</f>
        <v>147.96444076669056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4199.1442462874365</v>
      </c>
      <c r="K45" s="172" t="s">
        <v>43</v>
      </c>
      <c r="L45" s="175">
        <f>Q7</f>
        <v>164.35497128179023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146.17266219955241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44377.600779546738</v>
      </c>
      <c r="K47" s="172" t="s">
        <v>4</v>
      </c>
      <c r="L47" s="175">
        <f>Q9</f>
        <v>45.86238631178869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8.1045143187390174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3133.4859081608042</v>
      </c>
      <c r="K49" s="172" t="s">
        <v>44</v>
      </c>
      <c r="L49" s="175">
        <f>L45*1.7</f>
        <v>279.40345117904337</v>
      </c>
      <c r="N49" s="49" t="s">
        <v>123</v>
      </c>
      <c r="P49" s="170">
        <f>V8</f>
        <v>5</v>
      </c>
    </row>
    <row r="53" spans="3:16" ht="17.25" thickBot="1">
      <c r="C53" s="204" t="s">
        <v>135</v>
      </c>
      <c r="D53" s="205"/>
      <c r="E53" s="206"/>
    </row>
    <row r="54" spans="3:16" ht="17.25" thickTop="1">
      <c r="C54" s="112" t="s">
        <v>74</v>
      </c>
      <c r="D54" s="199">
        <v>120</v>
      </c>
      <c r="E54" s="200"/>
    </row>
    <row r="55" spans="3:16">
      <c r="C55" s="80" t="s">
        <v>2</v>
      </c>
      <c r="D55" s="91">
        <v>27</v>
      </c>
      <c r="E55" s="114">
        <f>D55/$D$54*10^3</f>
        <v>225</v>
      </c>
    </row>
    <row r="56" spans="3:16">
      <c r="C56" s="80" t="s">
        <v>50</v>
      </c>
      <c r="D56" s="91">
        <v>44</v>
      </c>
      <c r="E56" s="114">
        <f>D56/$D$54*10^3</f>
        <v>366.66666666666663</v>
      </c>
    </row>
    <row r="57" spans="3:16">
      <c r="C57" s="80" t="s">
        <v>3</v>
      </c>
      <c r="D57" s="91">
        <v>2</v>
      </c>
      <c r="E57" s="114">
        <f>D57/$D$54*10^3</f>
        <v>16.666666666666668</v>
      </c>
    </row>
    <row r="58" spans="3:16">
      <c r="C58" s="80" t="s">
        <v>4</v>
      </c>
      <c r="D58" s="91">
        <v>31</v>
      </c>
      <c r="E58" s="114">
        <f>D58/$D$54*10^3</f>
        <v>258.33333333333337</v>
      </c>
    </row>
    <row r="59" spans="3:16">
      <c r="C59" s="83" t="s">
        <v>5</v>
      </c>
      <c r="D59" s="94">
        <v>7</v>
      </c>
      <c r="E59" s="115">
        <f>D59/$D$54*10^3</f>
        <v>58.333333333333336</v>
      </c>
    </row>
  </sheetData>
  <mergeCells count="19">
    <mergeCell ref="Y34:AA34"/>
    <mergeCell ref="Z35:AA35"/>
    <mergeCell ref="U5:V5"/>
    <mergeCell ref="D19:E19"/>
    <mergeCell ref="H19:I19"/>
    <mergeCell ref="L19:M19"/>
    <mergeCell ref="Q19:R19"/>
    <mergeCell ref="H5:I5"/>
    <mergeCell ref="L5:M5"/>
    <mergeCell ref="P5:Q5"/>
    <mergeCell ref="D54:E54"/>
    <mergeCell ref="H32:I32"/>
    <mergeCell ref="L32:M32"/>
    <mergeCell ref="P32:Q32"/>
    <mergeCell ref="D5:E5"/>
    <mergeCell ref="C53:E53"/>
    <mergeCell ref="G31:I31"/>
    <mergeCell ref="K31:M31"/>
    <mergeCell ref="O31:Q31"/>
  </mergeCells>
  <phoneticPr fontId="1" type="noConversion"/>
  <conditionalFormatting sqref="AB5">
    <cfRule type="cellIs" dxfId="0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Z43" sqref="Z43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참조</vt:lpstr>
      <vt:lpstr>물질수지 (2020년)</vt:lpstr>
      <vt:lpstr>물질수지 (2025년)</vt:lpstr>
      <vt:lpstr>Sheet3</vt:lpstr>
      <vt:lpstr>'물질수지 (2020년)'!Print_Area</vt:lpstr>
      <vt:lpstr>'물질수지 (2025년)'!Print_Area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2009-11-28T01:58:22Z</cp:lastPrinted>
  <dcterms:created xsi:type="dcterms:W3CDTF">2008-10-30T00:45:32Z</dcterms:created>
  <dcterms:modified xsi:type="dcterms:W3CDTF">2009-11-28T01:58:40Z</dcterms:modified>
</cp:coreProperties>
</file>