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60" yWindow="90" windowWidth="19320" windowHeight="11760" activeTab="3"/>
  </bookViews>
  <sheets>
    <sheet name="참조" sheetId="1" r:id="rId1"/>
    <sheet name="물질수지 (2015년)" sheetId="28" r:id="rId2"/>
    <sheet name="물질수지 (2020년)" sheetId="29" r:id="rId3"/>
    <sheet name="물질수지 (2025년)" sheetId="30" r:id="rId4"/>
    <sheet name="Sheet3" sheetId="3" r:id="rId5"/>
  </sheets>
  <definedNames>
    <definedName name="_xlnm.Print_Area" localSheetId="1">'물질수지 (2015년)'!$A$1:$W$39</definedName>
    <definedName name="_xlnm.Print_Area" localSheetId="2">'물질수지 (2020년)'!$A$1:$W$39</definedName>
    <definedName name="_xlnm.Print_Area" localSheetId="3">'물질수지 (2025년)'!$A$1:$W$39</definedName>
  </definedNames>
  <calcPr calcId="124519"/>
</workbook>
</file>

<file path=xl/calcChain.xml><?xml version="1.0" encoding="utf-8"?>
<calcChain xmlns="http://schemas.openxmlformats.org/spreadsheetml/2006/main">
  <c r="E59" i="30"/>
  <c r="E58"/>
  <c r="E57"/>
  <c r="E56"/>
  <c r="E55"/>
  <c r="P49"/>
  <c r="P47"/>
  <c r="F47"/>
  <c r="P46"/>
  <c r="P45"/>
  <c r="P44"/>
  <c r="M35"/>
  <c r="I35"/>
  <c r="L28"/>
  <c r="H28"/>
  <c r="W24"/>
  <c r="E24"/>
  <c r="E23"/>
  <c r="R22"/>
  <c r="E22"/>
  <c r="E21"/>
  <c r="E20"/>
  <c r="L19"/>
  <c r="H19"/>
  <c r="D10"/>
  <c r="D9"/>
  <c r="M8"/>
  <c r="D8"/>
  <c r="D7"/>
  <c r="D6"/>
  <c r="E59" i="29"/>
  <c r="E58"/>
  <c r="E57"/>
  <c r="E56"/>
  <c r="E55"/>
  <c r="P49"/>
  <c r="P47"/>
  <c r="F47"/>
  <c r="P46"/>
  <c r="P45"/>
  <c r="P44"/>
  <c r="M35"/>
  <c r="I35"/>
  <c r="L28"/>
  <c r="H28"/>
  <c r="W24"/>
  <c r="E24"/>
  <c r="E23"/>
  <c r="R22"/>
  <c r="E22"/>
  <c r="E21"/>
  <c r="E20"/>
  <c r="L19"/>
  <c r="H19"/>
  <c r="D10"/>
  <c r="D9"/>
  <c r="M8"/>
  <c r="D8"/>
  <c r="D7"/>
  <c r="D6"/>
  <c r="P49" i="28"/>
  <c r="P47"/>
  <c r="F47"/>
  <c r="P46"/>
  <c r="P45"/>
  <c r="P44"/>
  <c r="E59"/>
  <c r="E58"/>
  <c r="M35"/>
  <c r="I35"/>
  <c r="E57"/>
  <c r="E56"/>
  <c r="E55"/>
  <c r="L28"/>
  <c r="H28"/>
  <c r="W24"/>
  <c r="E24"/>
  <c r="E23"/>
  <c r="R22"/>
  <c r="E22"/>
  <c r="E21"/>
  <c r="E20"/>
  <c r="L19"/>
  <c r="H19"/>
  <c r="D10"/>
  <c r="D9"/>
  <c r="M8"/>
  <c r="D8"/>
  <c r="D7"/>
  <c r="D6"/>
  <c r="D8" i="1"/>
  <c r="E5"/>
  <c r="D19" i="28" l="1"/>
  <c r="H5" s="1"/>
  <c r="D19" i="30"/>
  <c r="H5" s="1"/>
  <c r="I9" s="1"/>
  <c r="H9" s="1"/>
  <c r="D19" i="29"/>
  <c r="H5" s="1"/>
  <c r="I10" i="28" l="1"/>
  <c r="H10" s="1"/>
  <c r="I7"/>
  <c r="H7" s="1"/>
  <c r="I6"/>
  <c r="H6" s="1"/>
  <c r="I9"/>
  <c r="H9" s="1"/>
  <c r="I8"/>
  <c r="H8" s="1"/>
  <c r="L8" s="1"/>
  <c r="L5" s="1"/>
  <c r="P5" s="1"/>
  <c r="G47" s="1"/>
  <c r="I8" i="30"/>
  <c r="H8" s="1"/>
  <c r="L8" s="1"/>
  <c r="L5" s="1"/>
  <c r="P5" s="1"/>
  <c r="G47" s="1"/>
  <c r="I6"/>
  <c r="H6" s="1"/>
  <c r="L6" s="1"/>
  <c r="P6" s="1"/>
  <c r="I10"/>
  <c r="H10" s="1"/>
  <c r="L10" s="1"/>
  <c r="P10" s="1"/>
  <c r="I7"/>
  <c r="H7" s="1"/>
  <c r="L7" s="1"/>
  <c r="L9"/>
  <c r="P9" s="1"/>
  <c r="I7" i="29"/>
  <c r="H7" s="1"/>
  <c r="L7" s="1"/>
  <c r="I6"/>
  <c r="H6" s="1"/>
  <c r="L6" s="1"/>
  <c r="I8"/>
  <c r="H8" s="1"/>
  <c r="L8" s="1"/>
  <c r="L5" s="1"/>
  <c r="P5" s="1"/>
  <c r="G47" s="1"/>
  <c r="I9"/>
  <c r="H9" s="1"/>
  <c r="L9" s="1"/>
  <c r="I10"/>
  <c r="H10" s="1"/>
  <c r="L10" s="1"/>
  <c r="L7" i="28"/>
  <c r="L6"/>
  <c r="L9"/>
  <c r="P9" s="1"/>
  <c r="L10"/>
  <c r="P10" s="1"/>
  <c r="Q10" l="1"/>
  <c r="L48" s="1"/>
  <c r="M6" i="29"/>
  <c r="P8" i="30"/>
  <c r="Q8" s="1"/>
  <c r="L46" s="1"/>
  <c r="M7"/>
  <c r="P7"/>
  <c r="Q7" s="1"/>
  <c r="L45" s="1"/>
  <c r="L49" s="1"/>
  <c r="M6"/>
  <c r="M10"/>
  <c r="M9"/>
  <c r="Q6"/>
  <c r="L44" s="1"/>
  <c r="Q10"/>
  <c r="L48" s="1"/>
  <c r="Q9"/>
  <c r="L47" s="1"/>
  <c r="M10" i="29"/>
  <c r="M9"/>
  <c r="P8"/>
  <c r="Q8" s="1"/>
  <c r="L46" s="1"/>
  <c r="M7"/>
  <c r="P10"/>
  <c r="Q10" s="1"/>
  <c r="L48" s="1"/>
  <c r="P6"/>
  <c r="Q6" s="1"/>
  <c r="L44" s="1"/>
  <c r="P9"/>
  <c r="Q9" s="1"/>
  <c r="L47" s="1"/>
  <c r="P7"/>
  <c r="Q7" s="1"/>
  <c r="L45" s="1"/>
  <c r="L49" s="1"/>
  <c r="M10" i="28"/>
  <c r="P8"/>
  <c r="Q8" s="1"/>
  <c r="L46" s="1"/>
  <c r="Q9"/>
  <c r="L47" s="1"/>
  <c r="M6"/>
  <c r="M7"/>
  <c r="M9"/>
  <c r="P6"/>
  <c r="Q6" s="1"/>
  <c r="L44" s="1"/>
  <c r="P7"/>
  <c r="Q7" s="1"/>
  <c r="L45" s="1"/>
  <c r="L49" s="1"/>
  <c r="P43" i="30" l="1"/>
  <c r="T42" s="1"/>
  <c r="U42" s="1"/>
  <c r="T43"/>
  <c r="U43" s="1"/>
  <c r="P43" i="29"/>
  <c r="T42" s="1"/>
  <c r="U42" s="1"/>
  <c r="T43"/>
  <c r="U43" s="1"/>
  <c r="T43" i="28"/>
  <c r="U43" s="1"/>
  <c r="P43"/>
  <c r="T42" s="1"/>
  <c r="U42" s="1"/>
  <c r="U44" l="1"/>
  <c r="U44" i="30"/>
  <c r="U44" i="29"/>
  <c r="U19" i="28" l="1"/>
  <c r="Z35"/>
  <c r="Y20"/>
  <c r="V20"/>
  <c r="Y21"/>
  <c r="V21"/>
  <c r="V22"/>
  <c r="Y22"/>
  <c r="V23"/>
  <c r="Y23"/>
  <c r="V24"/>
  <c r="Y24"/>
  <c r="U20"/>
  <c r="R6"/>
  <c r="Q37"/>
  <c r="AA31"/>
  <c r="AA32"/>
  <c r="U21"/>
  <c r="R7"/>
  <c r="Z35" i="29"/>
  <c r="U19"/>
  <c r="Y20"/>
  <c r="V20"/>
  <c r="V21"/>
  <c r="Y21"/>
  <c r="Y22"/>
  <c r="V22"/>
  <c r="Y23"/>
  <c r="V23"/>
  <c r="V24"/>
  <c r="Y24"/>
  <c r="R6"/>
  <c r="U20"/>
  <c r="AA32"/>
  <c r="AA31"/>
  <c r="Q37"/>
  <c r="U21"/>
  <c r="R7"/>
  <c r="U19" i="30"/>
  <c r="Z35"/>
  <c r="V20"/>
  <c r="Y20"/>
  <c r="Y21"/>
  <c r="V21"/>
  <c r="V22"/>
  <c r="Y22"/>
  <c r="V23"/>
  <c r="Y23"/>
  <c r="V24"/>
  <c r="Y24"/>
  <c r="U20"/>
  <c r="R6"/>
  <c r="Q37"/>
  <c r="AA31"/>
  <c r="AA32"/>
  <c r="R7"/>
  <c r="U21"/>
  <c r="U22" i="28"/>
  <c r="F49"/>
  <c r="R8"/>
  <c r="R9"/>
  <c r="U23"/>
  <c r="U24"/>
  <c r="R10"/>
  <c r="R8" i="29"/>
  <c r="U22"/>
  <c r="F49"/>
  <c r="U23"/>
  <c r="R9"/>
  <c r="U24"/>
  <c r="R10"/>
  <c r="U22" i="30"/>
  <c r="R8"/>
  <c r="F49"/>
  <c r="U23"/>
  <c r="R9"/>
  <c r="R10"/>
  <c r="U24"/>
  <c r="Q34" i="28"/>
  <c r="M23"/>
  <c r="AD7" i="30"/>
  <c r="L23" i="28"/>
  <c r="Q36"/>
  <c r="M22" i="29"/>
  <c r="M33"/>
  <c r="I21" i="28"/>
  <c r="L22" i="29"/>
  <c r="Q35"/>
  <c r="Q36" i="30"/>
  <c r="R20" i="28"/>
  <c r="I22" i="29"/>
  <c r="M34" i="28"/>
  <c r="AA26"/>
  <c r="Q34" i="29"/>
  <c r="I23"/>
  <c r="M33" i="30"/>
  <c r="I20"/>
  <c r="I24"/>
  <c r="AD11"/>
  <c r="U16" i="29"/>
  <c r="V16"/>
  <c r="Q33" i="28"/>
  <c r="Q35"/>
  <c r="I34" i="29"/>
  <c r="AD10"/>
  <c r="I37" i="28"/>
  <c r="M36" i="30"/>
  <c r="I24" i="28"/>
  <c r="AD11"/>
  <c r="M37" i="30"/>
  <c r="R23"/>
  <c r="L23"/>
  <c r="M23"/>
  <c r="AD8" i="28"/>
  <c r="AD6" i="30"/>
  <c r="Z36" i="29"/>
  <c r="AA36"/>
  <c r="U16" i="28"/>
  <c r="V16"/>
  <c r="AD11" i="29"/>
  <c r="U9"/>
  <c r="Z39"/>
  <c r="AA39"/>
  <c r="AD5"/>
  <c r="AD9" i="28"/>
  <c r="AD10"/>
  <c r="M33"/>
  <c r="Q34" i="30"/>
  <c r="Q35"/>
  <c r="I20" i="29"/>
  <c r="AD8"/>
  <c r="R20" i="30"/>
  <c r="Q33" i="29"/>
  <c r="M36" i="28"/>
  <c r="I20"/>
  <c r="M34" i="29"/>
  <c r="H34"/>
  <c r="U8" i="28"/>
  <c r="Z38"/>
  <c r="AA38"/>
  <c r="M37" i="29"/>
  <c r="I23" i="30"/>
  <c r="Q33"/>
  <c r="AA26" i="29"/>
  <c r="AA5"/>
  <c r="M23"/>
  <c r="R23" i="28"/>
  <c r="L22"/>
  <c r="M22"/>
  <c r="I21" i="30"/>
  <c r="U8" i="29"/>
  <c r="Z38"/>
  <c r="AA38"/>
  <c r="I36"/>
  <c r="I22" i="30"/>
  <c r="R24" i="28"/>
  <c r="H32"/>
  <c r="L24" i="29"/>
  <c r="M24"/>
  <c r="M37" i="28"/>
  <c r="H37"/>
  <c r="L37"/>
  <c r="H24"/>
  <c r="D24"/>
  <c r="AA11"/>
  <c r="I34" i="30"/>
  <c r="L20"/>
  <c r="M20"/>
  <c r="Z40"/>
  <c r="AA40"/>
  <c r="Q24" i="28"/>
  <c r="P37"/>
  <c r="L24"/>
  <c r="M24"/>
  <c r="L24" i="30"/>
  <c r="M24"/>
  <c r="R23" i="29"/>
  <c r="L32" i="30"/>
  <c r="AA6"/>
  <c r="AA26"/>
  <c r="U10" i="28"/>
  <c r="Z40"/>
  <c r="AA40"/>
  <c r="H35"/>
  <c r="AA9"/>
  <c r="I23"/>
  <c r="AD6" i="29"/>
  <c r="R21" i="30"/>
  <c r="L21"/>
  <c r="M21"/>
  <c r="Q36" i="29"/>
  <c r="L23"/>
  <c r="R24"/>
  <c r="AA11"/>
  <c r="R21"/>
  <c r="AA8"/>
  <c r="U7"/>
  <c r="Z37"/>
  <c r="AA37"/>
  <c r="M36"/>
  <c r="H36"/>
  <c r="R21" i="28"/>
  <c r="AD7" i="29"/>
  <c r="AA5" i="28"/>
  <c r="AD5"/>
  <c r="AD7"/>
  <c r="R20" i="29"/>
  <c r="P32" i="28"/>
  <c r="AD10" i="30"/>
  <c r="H22" i="29"/>
  <c r="D22"/>
  <c r="AA9"/>
  <c r="AD9"/>
  <c r="H37" i="30"/>
  <c r="I37"/>
  <c r="L22"/>
  <c r="M22"/>
  <c r="U9" i="28"/>
  <c r="Z39"/>
  <c r="AA39"/>
  <c r="I21" i="29"/>
  <c r="L34"/>
  <c r="H21"/>
  <c r="D21"/>
  <c r="I24"/>
  <c r="H24"/>
  <c r="D24"/>
  <c r="U16" i="30"/>
  <c r="V16"/>
  <c r="Z40" i="29"/>
  <c r="AA40"/>
  <c r="L21" i="28"/>
  <c r="M21"/>
  <c r="AD9" i="30"/>
  <c r="M34"/>
  <c r="H34"/>
  <c r="H35" i="29"/>
  <c r="H32"/>
  <c r="H36" i="28"/>
  <c r="I36"/>
  <c r="Z36"/>
  <c r="AA36"/>
  <c r="H23" i="30"/>
  <c r="D23"/>
  <c r="AA10"/>
  <c r="H35"/>
  <c r="H32"/>
  <c r="I22" i="28"/>
  <c r="H22"/>
  <c r="D22"/>
  <c r="H33"/>
  <c r="I33"/>
  <c r="L33"/>
  <c r="H20"/>
  <c r="D20"/>
  <c r="AA7"/>
  <c r="U7" i="30"/>
  <c r="Z37"/>
  <c r="AA37"/>
  <c r="L20" i="29"/>
  <c r="M20"/>
  <c r="H33"/>
  <c r="I33"/>
  <c r="Q23" i="30"/>
  <c r="P36"/>
  <c r="L36"/>
  <c r="H36"/>
  <c r="I36"/>
  <c r="Z36"/>
  <c r="AA36"/>
  <c r="Q20" i="28"/>
  <c r="P33"/>
  <c r="L20"/>
  <c r="M20"/>
  <c r="AD8" i="30"/>
  <c r="H34" i="28"/>
  <c r="I34"/>
  <c r="U10" i="29"/>
  <c r="Q24"/>
  <c r="P37"/>
  <c r="L37"/>
  <c r="H37"/>
  <c r="I37"/>
  <c r="H33" i="30"/>
  <c r="I33"/>
  <c r="Q20"/>
  <c r="P33"/>
  <c r="L33"/>
  <c r="H20"/>
  <c r="D20"/>
  <c r="AA7"/>
  <c r="P32" i="29"/>
  <c r="P35" i="28"/>
  <c r="L35"/>
  <c r="L32"/>
  <c r="AA6"/>
  <c r="AD6"/>
  <c r="Q21" i="30"/>
  <c r="P34"/>
  <c r="L34"/>
  <c r="H21"/>
  <c r="D21"/>
  <c r="AA8"/>
  <c r="P35"/>
  <c r="L35"/>
  <c r="H22"/>
  <c r="D22"/>
  <c r="AA9"/>
  <c r="U9"/>
  <c r="Z39"/>
  <c r="AA39"/>
  <c r="Q21" i="29"/>
  <c r="P34"/>
  <c r="L21"/>
  <c r="M21"/>
  <c r="R24" i="30"/>
  <c r="Q21" i="28"/>
  <c r="P34"/>
  <c r="L34"/>
  <c r="H21"/>
  <c r="D21"/>
  <c r="AA8"/>
  <c r="P32" i="30"/>
  <c r="AA5"/>
  <c r="AD5"/>
  <c r="U8"/>
  <c r="Z38"/>
  <c r="AA38"/>
  <c r="U10"/>
  <c r="Q24"/>
  <c r="P37"/>
  <c r="L37"/>
  <c r="H24"/>
  <c r="D24"/>
  <c r="AA11"/>
  <c r="Q23" i="28"/>
  <c r="P36"/>
  <c r="L36"/>
  <c r="H23"/>
  <c r="D23"/>
  <c r="AA10"/>
  <c r="P35" i="29"/>
  <c r="L35"/>
  <c r="L32"/>
  <c r="AA6"/>
  <c r="U7" i="28"/>
  <c r="Z37"/>
  <c r="AA37"/>
  <c r="Q20" i="29"/>
  <c r="P33"/>
  <c r="L33"/>
  <c r="H20"/>
  <c r="D20"/>
  <c r="AA7"/>
  <c r="Q23"/>
  <c r="P36"/>
  <c r="L36"/>
  <c r="H23"/>
  <c r="D23"/>
  <c r="AA10"/>
  <c r="Q19"/>
  <c r="U5"/>
  <c r="U6"/>
  <c r="F45"/>
  <c r="I42"/>
  <c r="Q22"/>
  <c r="Q19" i="30"/>
  <c r="U5"/>
  <c r="U6"/>
  <c r="F45"/>
  <c r="I42"/>
  <c r="Q22"/>
  <c r="Q19" i="28"/>
  <c r="U5"/>
  <c r="U6"/>
  <c r="F45"/>
  <c r="I42"/>
  <c r="Q22"/>
</calcChain>
</file>

<file path=xl/sharedStrings.xml><?xml version="1.0" encoding="utf-8"?>
<sst xmlns="http://schemas.openxmlformats.org/spreadsheetml/2006/main" count="617" uniqueCount="151">
  <si>
    <t>1. 설계수량 및 수질</t>
    <phoneticPr fontId="1" type="noConversion"/>
  </si>
  <si>
    <t>Q=</t>
    <phoneticPr fontId="1" type="noConversion"/>
  </si>
  <si>
    <t>BOD</t>
    <phoneticPr fontId="1" type="noConversion"/>
  </si>
  <si>
    <t>SS</t>
    <phoneticPr fontId="1" type="noConversion"/>
  </si>
  <si>
    <t>T-N</t>
    <phoneticPr fontId="1" type="noConversion"/>
  </si>
  <si>
    <t>T-P</t>
    <phoneticPr fontId="1" type="noConversion"/>
  </si>
  <si>
    <t>유입수</t>
    <phoneticPr fontId="1" type="noConversion"/>
  </si>
  <si>
    <t>2. 최초침전지</t>
    <phoneticPr fontId="1" type="noConversion"/>
  </si>
  <si>
    <t>형식</t>
    <phoneticPr fontId="1" type="noConversion"/>
  </si>
  <si>
    <t>형식:</t>
    <phoneticPr fontId="1" type="noConversion"/>
  </si>
  <si>
    <t>중력식</t>
    <phoneticPr fontId="1" type="noConversion"/>
  </si>
  <si>
    <t>처리효율</t>
    <phoneticPr fontId="1" type="noConversion"/>
  </si>
  <si>
    <t>TS</t>
    <phoneticPr fontId="1" type="noConversion"/>
  </si>
  <si>
    <t>FSS/TSS</t>
    <phoneticPr fontId="1" type="noConversion"/>
  </si>
  <si>
    <t>I-N</t>
    <phoneticPr fontId="1" type="noConversion"/>
  </si>
  <si>
    <t>I-P</t>
    <phoneticPr fontId="1" type="noConversion"/>
  </si>
  <si>
    <t>3. DNR 반응조</t>
    <phoneticPr fontId="1" type="noConversion"/>
  </si>
  <si>
    <t>반송률</t>
    <phoneticPr fontId="1" type="noConversion"/>
  </si>
  <si>
    <t>내부반송률</t>
    <phoneticPr fontId="1" type="noConversion"/>
  </si>
  <si>
    <t>매생물증식에 의한 T-N</t>
    <phoneticPr fontId="1" type="noConversion"/>
  </si>
  <si>
    <t>무산소조로 유입되는 T-N</t>
    <phoneticPr fontId="1" type="noConversion"/>
  </si>
  <si>
    <t>내부반송수의 Nox</t>
    <phoneticPr fontId="1" type="noConversion"/>
  </si>
  <si>
    <t>무산소조에서의 고율탈질</t>
    <phoneticPr fontId="1" type="noConversion"/>
  </si>
  <si>
    <t>무산소조에서 2차탈질</t>
    <phoneticPr fontId="1" type="noConversion"/>
  </si>
  <si>
    <t>유출수내 T-N</t>
    <phoneticPr fontId="1" type="noConversion"/>
  </si>
  <si>
    <t>반응조 체류시간</t>
    <phoneticPr fontId="1" type="noConversion"/>
  </si>
  <si>
    <t>질소 함유량</t>
    <phoneticPr fontId="1" type="noConversion"/>
  </si>
  <si>
    <t xml:space="preserve">P 방출량 </t>
    <phoneticPr fontId="1" type="noConversion"/>
  </si>
  <si>
    <t>RBDCOD 소모량= P방출량 x gRBDCOD/Prel(2)</t>
    <phoneticPr fontId="1" type="noConversion"/>
  </si>
  <si>
    <t>탈질이용 COD</t>
    <phoneticPr fontId="1" type="noConversion"/>
  </si>
  <si>
    <t>=RBDCODt(COD의 25%)-인방출용 RBDCOD</t>
    <phoneticPr fontId="1" type="noConversion"/>
  </si>
  <si>
    <t>고율탈질율= 탈질이용 COD/탈질시 COD소모율</t>
    <phoneticPr fontId="1" type="noConversion"/>
  </si>
  <si>
    <t>내부반송수 Nox의 탈질률</t>
    <phoneticPr fontId="1" type="noConversion"/>
  </si>
  <si>
    <t>고형물체류시간</t>
    <phoneticPr fontId="1" type="noConversion"/>
  </si>
  <si>
    <t>반응조내 MLSS농도</t>
    <phoneticPr fontId="1" type="noConversion"/>
  </si>
  <si>
    <t>MLVSS/MLSS</t>
    <phoneticPr fontId="1" type="noConversion"/>
  </si>
  <si>
    <t>반응조내 인의 유입량</t>
    <phoneticPr fontId="1" type="noConversion"/>
  </si>
  <si>
    <t>미생물증식에 의한 인 제거</t>
    <phoneticPr fontId="1" type="noConversion"/>
  </si>
  <si>
    <t>처리후 T-P량</t>
    <phoneticPr fontId="1" type="noConversion"/>
  </si>
  <si>
    <t>처리후 T-P농도</t>
    <phoneticPr fontId="1" type="noConversion"/>
  </si>
  <si>
    <t>잉여슬러지량(VSS)</t>
    <phoneticPr fontId="1" type="noConversion"/>
  </si>
  <si>
    <t>잉여슬러지량(TSS)</t>
    <phoneticPr fontId="1" type="noConversion"/>
  </si>
  <si>
    <t>4. 최종침전지</t>
    <phoneticPr fontId="1" type="noConversion"/>
  </si>
  <si>
    <r>
      <t>COD</t>
    </r>
    <r>
      <rPr>
        <vertAlign val="subscript"/>
        <sz val="11"/>
        <color indexed="8"/>
        <rFont val="맑은 고딕"/>
        <family val="3"/>
        <charset val="129"/>
      </rPr>
      <t>Mn</t>
    </r>
    <phoneticPr fontId="1" type="noConversion"/>
  </si>
  <si>
    <r>
      <t>COD</t>
    </r>
    <r>
      <rPr>
        <vertAlign val="subscript"/>
        <sz val="11"/>
        <color indexed="8"/>
        <rFont val="맑은 고딕"/>
        <family val="3"/>
        <charset val="129"/>
      </rPr>
      <t>cr</t>
    </r>
    <phoneticPr fontId="1" type="noConversion"/>
  </si>
  <si>
    <t>5. 부상농축조</t>
    <phoneticPr fontId="1" type="noConversion"/>
  </si>
  <si>
    <t>원심농축기</t>
    <phoneticPr fontId="1" type="noConversion"/>
  </si>
  <si>
    <t>처리효율</t>
    <phoneticPr fontId="1" type="noConversion"/>
  </si>
  <si>
    <t>상등수</t>
    <phoneticPr fontId="1" type="noConversion"/>
  </si>
  <si>
    <t>SBOD</t>
    <phoneticPr fontId="1" type="noConversion"/>
  </si>
  <si>
    <t>COD</t>
    <phoneticPr fontId="1" type="noConversion"/>
  </si>
  <si>
    <t>함수율</t>
    <phoneticPr fontId="1" type="noConversion"/>
  </si>
  <si>
    <t>유기물함유율</t>
    <phoneticPr fontId="1" type="noConversion"/>
  </si>
  <si>
    <t>유기물분해율</t>
    <phoneticPr fontId="1" type="noConversion"/>
  </si>
  <si>
    <t>함수율</t>
    <phoneticPr fontId="1" type="noConversion"/>
  </si>
  <si>
    <t>소화슬러지내 질소함량</t>
    <phoneticPr fontId="1" type="noConversion"/>
  </si>
  <si>
    <t>소화슬러지내 인함량</t>
    <phoneticPr fontId="1" type="noConversion"/>
  </si>
  <si>
    <t>혐기성 2단소화</t>
    <phoneticPr fontId="1" type="noConversion"/>
  </si>
  <si>
    <t>6. 소화조(1)</t>
    <phoneticPr fontId="1" type="noConversion"/>
  </si>
  <si>
    <t>7. 소화조(2)</t>
    <phoneticPr fontId="1" type="noConversion"/>
  </si>
  <si>
    <t xml:space="preserve">형식: </t>
    <phoneticPr fontId="1" type="noConversion"/>
  </si>
  <si>
    <t xml:space="preserve"> </t>
    <phoneticPr fontId="1" type="noConversion"/>
  </si>
  <si>
    <t>혐기성 2단 소화</t>
    <phoneticPr fontId="1" type="noConversion"/>
  </si>
  <si>
    <t>유기물함량</t>
    <phoneticPr fontId="1" type="noConversion"/>
  </si>
  <si>
    <t>용출되는 질소량</t>
    <phoneticPr fontId="1" type="noConversion"/>
  </si>
  <si>
    <t>용출되는 인 량</t>
    <phoneticPr fontId="1" type="noConversion"/>
  </si>
  <si>
    <t>(인의 재용출량 포함, 보통 25~35%)</t>
    <phoneticPr fontId="1" type="noConversion"/>
  </si>
  <si>
    <t>8. 탈수기</t>
    <phoneticPr fontId="1" type="noConversion"/>
  </si>
  <si>
    <t>벨트프레스</t>
    <phoneticPr fontId="1" type="noConversion"/>
  </si>
  <si>
    <t>9. 반류수내 인 부하감소율</t>
    <phoneticPr fontId="1" type="noConversion"/>
  </si>
  <si>
    <t>반류수내  SS부하감소율</t>
    <phoneticPr fontId="1" type="noConversion"/>
  </si>
  <si>
    <t>10. 분뇨 및 정화조 패액</t>
    <phoneticPr fontId="1" type="noConversion"/>
  </si>
  <si>
    <t>유입량</t>
    <phoneticPr fontId="1" type="noConversion"/>
  </si>
  <si>
    <t>폐액성상</t>
    <phoneticPr fontId="1" type="noConversion"/>
  </si>
  <si>
    <t>Q</t>
    <phoneticPr fontId="1" type="noConversion"/>
  </si>
  <si>
    <t>최초 침전지</t>
    <phoneticPr fontId="1" type="noConversion"/>
  </si>
  <si>
    <t>설계수질</t>
    <phoneticPr fontId="1" type="noConversion"/>
  </si>
  <si>
    <t>제거율</t>
    <phoneticPr fontId="1" type="noConversion"/>
  </si>
  <si>
    <t>반송수</t>
    <phoneticPr fontId="1" type="noConversion"/>
  </si>
  <si>
    <t>최종침전지 유출수</t>
    <phoneticPr fontId="1" type="noConversion"/>
  </si>
  <si>
    <t>전체</t>
    <phoneticPr fontId="1" type="noConversion"/>
  </si>
  <si>
    <t>최종침전지</t>
    <phoneticPr fontId="1" type="noConversion"/>
  </si>
  <si>
    <t>(기존 소화조)</t>
    <phoneticPr fontId="1" type="noConversion"/>
  </si>
  <si>
    <t>탈수기</t>
    <phoneticPr fontId="1" type="noConversion"/>
  </si>
  <si>
    <t>농축여액</t>
    <phoneticPr fontId="1" type="noConversion"/>
  </si>
  <si>
    <t>농축액</t>
    <phoneticPr fontId="1" type="noConversion"/>
  </si>
  <si>
    <t>탈수여액</t>
    <phoneticPr fontId="1" type="noConversion"/>
  </si>
  <si>
    <t>탈수케익</t>
    <phoneticPr fontId="1" type="noConversion"/>
  </si>
  <si>
    <t xml:space="preserve"> 하수찌꺼기 저류조</t>
    <phoneticPr fontId="1" type="noConversion"/>
  </si>
  <si>
    <t>하수찌꺼기 저류조</t>
    <phoneticPr fontId="1" type="noConversion"/>
  </si>
  <si>
    <t>회수율</t>
    <phoneticPr fontId="1" type="noConversion"/>
  </si>
  <si>
    <t>값만입력</t>
    <phoneticPr fontId="1" type="noConversion"/>
  </si>
  <si>
    <t>순환참조</t>
    <phoneticPr fontId="1" type="noConversion"/>
  </si>
  <si>
    <t>반송수농도</t>
    <phoneticPr fontId="1" type="noConversion"/>
  </si>
  <si>
    <t>단위(kg/일, mg/L)</t>
    <phoneticPr fontId="1" type="noConversion"/>
  </si>
  <si>
    <t>슬러지인함량</t>
    <phoneticPr fontId="1" type="noConversion"/>
  </si>
  <si>
    <t>VS</t>
    <phoneticPr fontId="1" type="noConversion"/>
  </si>
  <si>
    <t>용량대비 잉여발생량</t>
    <phoneticPr fontId="1" type="noConversion"/>
  </si>
  <si>
    <t>1. 고형물 수지계산(2010년, 천안처리장)</t>
    <phoneticPr fontId="1" type="noConversion"/>
  </si>
  <si>
    <t>유입수질</t>
    <phoneticPr fontId="1" type="noConversion"/>
  </si>
  <si>
    <t>제거유기물량</t>
    <phoneticPr fontId="1" type="noConversion"/>
  </si>
  <si>
    <t>자기산화율</t>
    <phoneticPr fontId="1" type="noConversion"/>
  </si>
  <si>
    <t>MLVSS</t>
    <phoneticPr fontId="1" type="noConversion"/>
  </si>
  <si>
    <t>BOD슬러지전환율</t>
    <phoneticPr fontId="1" type="noConversion"/>
  </si>
  <si>
    <t>SS슬러지전환율</t>
    <phoneticPr fontId="1" type="noConversion"/>
  </si>
  <si>
    <t>a:</t>
    <phoneticPr fontId="1" type="noConversion"/>
  </si>
  <si>
    <t>Sr</t>
    <phoneticPr fontId="1" type="noConversion"/>
  </si>
  <si>
    <t>b</t>
    <phoneticPr fontId="1" type="noConversion"/>
  </si>
  <si>
    <t>X</t>
    <phoneticPr fontId="1" type="noConversion"/>
  </si>
  <si>
    <t>c</t>
    <phoneticPr fontId="1" type="noConversion"/>
  </si>
  <si>
    <t>Ss</t>
    <phoneticPr fontId="1" type="noConversion"/>
  </si>
  <si>
    <t>반응조제거SS</t>
    <phoneticPr fontId="1" type="noConversion"/>
  </si>
  <si>
    <t>슬러지발생량 =a*Sr-b*X+c*Ss</t>
    <phoneticPr fontId="1" type="noConversion"/>
  </si>
  <si>
    <t>슬러지질소함량</t>
    <phoneticPr fontId="1" type="noConversion"/>
  </si>
  <si>
    <t>최초 침전지  슬러지</t>
    <phoneticPr fontId="1" type="noConversion"/>
  </si>
  <si>
    <t>인 함유량</t>
    <phoneticPr fontId="1" type="noConversion"/>
  </si>
  <si>
    <t>인제거량</t>
    <phoneticPr fontId="1" type="noConversion"/>
  </si>
  <si>
    <t>rbdCOD</t>
    <phoneticPr fontId="1" type="noConversion"/>
  </si>
  <si>
    <t>Y</t>
    <phoneticPr fontId="1" type="noConversion"/>
  </si>
  <si>
    <t>Kd</t>
    <phoneticPr fontId="1" type="noConversion"/>
  </si>
  <si>
    <t>SRT</t>
    <phoneticPr fontId="1" type="noConversion"/>
  </si>
  <si>
    <t>PAOs인농도</t>
    <phoneticPr fontId="1" type="noConversion"/>
  </si>
  <si>
    <t>기타인농도</t>
    <phoneticPr fontId="1" type="noConversion"/>
  </si>
  <si>
    <t>유출수 VSS</t>
    <phoneticPr fontId="1" type="noConversion"/>
  </si>
  <si>
    <t>PAO제거량</t>
    <phoneticPr fontId="1" type="noConversion"/>
  </si>
  <si>
    <t>mg/L</t>
    <phoneticPr fontId="1" type="noConversion"/>
  </si>
  <si>
    <t>kg/d</t>
    <phoneticPr fontId="1" type="noConversion"/>
  </si>
  <si>
    <t>최종 침전지 잉여 슬러지</t>
    <phoneticPr fontId="1" type="noConversion"/>
  </si>
  <si>
    <t>Q</t>
  </si>
  <si>
    <t>BOD</t>
  </si>
  <si>
    <t>COD</t>
  </si>
  <si>
    <t>SS</t>
  </si>
  <si>
    <t>T-N</t>
  </si>
  <si>
    <t>T-P</t>
  </si>
  <si>
    <t>후단처리 역세수</t>
    <phoneticPr fontId="1" type="noConversion"/>
  </si>
  <si>
    <t>축산폐수 연계처리</t>
    <phoneticPr fontId="1" type="noConversion"/>
  </si>
  <si>
    <t>1침유출 RBDCOD/TCOD</t>
    <phoneticPr fontId="1" type="noConversion"/>
  </si>
  <si>
    <t>1침유출 bCOD/TCOD</t>
    <phoneticPr fontId="1" type="noConversion"/>
  </si>
  <si>
    <t>약품주입처리</t>
    <phoneticPr fontId="1" type="noConversion"/>
  </si>
  <si>
    <t>후단처리시설 통과시</t>
    <phoneticPr fontId="1" type="noConversion"/>
  </si>
  <si>
    <t>제거율</t>
    <phoneticPr fontId="1" type="noConversion"/>
  </si>
  <si>
    <t xml:space="preserve"> 생물반응조</t>
    <phoneticPr fontId="1" type="noConversion"/>
  </si>
  <si>
    <t>반송슬러지 50~100%</t>
    <phoneticPr fontId="1" type="noConversion"/>
  </si>
  <si>
    <t>원심 농축</t>
    <phoneticPr fontId="1" type="noConversion"/>
  </si>
  <si>
    <t>혐기</t>
    <phoneticPr fontId="1" type="noConversion"/>
  </si>
  <si>
    <t>무산소</t>
    <phoneticPr fontId="1" type="noConversion"/>
  </si>
  <si>
    <t>호기조</t>
    <phoneticPr fontId="1" type="noConversion"/>
  </si>
  <si>
    <t>1.2 2단계(2015년)</t>
    <phoneticPr fontId="1" type="noConversion"/>
  </si>
  <si>
    <t>다. 증설 4단계 처리시설(Q=40000㎥/일)</t>
    <phoneticPr fontId="1" type="noConversion"/>
  </si>
  <si>
    <t>1.4 4단계(2025년)</t>
    <phoneticPr fontId="1" type="noConversion"/>
  </si>
  <si>
    <t>1.3 3단계(2020년)</t>
    <phoneticPr fontId="1" type="noConversion"/>
  </si>
</sst>
</file>

<file path=xl/styles.xml><?xml version="1.0" encoding="utf-8"?>
<styleSheet xmlns="http://schemas.openxmlformats.org/spreadsheetml/2006/main">
  <numFmts count="13">
    <numFmt numFmtId="176" formatCode="0\ &quot;㎎/ℓ&quot;"/>
    <numFmt numFmtId="177" formatCode="0\ &quot;㎥/일&quot;"/>
    <numFmt numFmtId="178" formatCode="0.00\ &quot;㎎/ℓ&quot;"/>
    <numFmt numFmtId="179" formatCode="0.0\ &quot;㎎/ℓ&quot;"/>
    <numFmt numFmtId="180" formatCode="0.0%"/>
    <numFmt numFmtId="181" formatCode="0\ &quot;일&quot;"/>
    <numFmt numFmtId="182" formatCode="0\ &quot;㎏/일&quot;"/>
    <numFmt numFmtId="183" formatCode="0\ &quot;gCOD/gNO3&quot;"/>
    <numFmt numFmtId="184" formatCode="0_ "/>
    <numFmt numFmtId="185" formatCode="0_);[Red]\(0\)"/>
    <numFmt numFmtId="186" formatCode="0.0_);[Red]\(0.0\)"/>
    <numFmt numFmtId="187" formatCode="0.00_);[Red]\(0.00\)"/>
    <numFmt numFmtId="188" formatCode="0.0_ "/>
  </numFmts>
  <fonts count="1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vertAlign val="subscript"/>
      <sz val="11"/>
      <color indexed="8"/>
      <name val="맑은 고딕"/>
      <family val="3"/>
      <charset val="129"/>
    </font>
    <font>
      <sz val="11"/>
      <color theme="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0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0"/>
      <color theme="0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0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178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180" fontId="0" fillId="0" borderId="8" xfId="0" applyNumberFormat="1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180" fontId="0" fillId="0" borderId="11" xfId="0" applyNumberFormat="1" applyBorder="1">
      <alignment vertical="center"/>
    </xf>
    <xf numFmtId="0" fontId="0" fillId="0" borderId="12" xfId="0" applyBorder="1">
      <alignment vertical="center"/>
    </xf>
    <xf numFmtId="180" fontId="0" fillId="0" borderId="13" xfId="0" applyNumberFormat="1" applyBorder="1">
      <alignment vertical="center"/>
    </xf>
    <xf numFmtId="0" fontId="0" fillId="0" borderId="14" xfId="0" applyBorder="1">
      <alignment vertical="center"/>
    </xf>
    <xf numFmtId="180" fontId="0" fillId="0" borderId="15" xfId="0" applyNumberFormat="1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0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horizontal="right" vertical="center"/>
    </xf>
    <xf numFmtId="180" fontId="0" fillId="0" borderId="27" xfId="0" applyNumberFormat="1" applyBorder="1" applyAlignment="1">
      <alignment horizontal="right" vertical="center"/>
    </xf>
    <xf numFmtId="180" fontId="0" fillId="0" borderId="5" xfId="0" applyNumberFormat="1" applyBorder="1" applyAlignment="1">
      <alignment horizontal="right" vertical="center"/>
    </xf>
    <xf numFmtId="179" fontId="0" fillId="0" borderId="5" xfId="0" applyNumberForma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179" fontId="0" fillId="0" borderId="26" xfId="0" applyNumberFormat="1" applyBorder="1" applyAlignment="1">
      <alignment horizontal="right" vertical="center"/>
    </xf>
    <xf numFmtId="181" fontId="0" fillId="0" borderId="27" xfId="0" applyNumberFormat="1" applyBorder="1">
      <alignment vertical="center"/>
    </xf>
    <xf numFmtId="176" fontId="0" fillId="0" borderId="5" xfId="0" applyNumberFormat="1" applyBorder="1">
      <alignment vertical="center"/>
    </xf>
    <xf numFmtId="9" fontId="0" fillId="0" borderId="5" xfId="0" applyNumberFormat="1" applyBorder="1">
      <alignment vertical="center"/>
    </xf>
    <xf numFmtId="182" fontId="0" fillId="0" borderId="5" xfId="0" applyNumberFormat="1" applyBorder="1">
      <alignment vertical="center"/>
    </xf>
    <xf numFmtId="179" fontId="0" fillId="0" borderId="11" xfId="0" applyNumberFormat="1" applyBorder="1">
      <alignment vertical="center"/>
    </xf>
    <xf numFmtId="9" fontId="0" fillId="0" borderId="15" xfId="0" applyNumberFormat="1" applyBorder="1">
      <alignment vertical="center"/>
    </xf>
    <xf numFmtId="183" fontId="0" fillId="0" borderId="13" xfId="0" applyNumberFormat="1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quotePrefix="1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179" fontId="0" fillId="0" borderId="34" xfId="0" applyNumberFormat="1" applyBorder="1">
      <alignment vertical="center"/>
    </xf>
    <xf numFmtId="0" fontId="5" fillId="0" borderId="0" xfId="0" applyFont="1">
      <alignment vertical="center"/>
    </xf>
    <xf numFmtId="176" fontId="0" fillId="0" borderId="35" xfId="0" applyNumberFormat="1" applyBorder="1">
      <alignment vertical="center"/>
    </xf>
    <xf numFmtId="176" fontId="0" fillId="0" borderId="25" xfId="0" applyNumberFormat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0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24" xfId="0" applyFont="1" applyBorder="1">
      <alignment vertical="center"/>
    </xf>
    <xf numFmtId="180" fontId="5" fillId="0" borderId="27" xfId="0" applyNumberFormat="1" applyFont="1" applyBorder="1">
      <alignment vertical="center"/>
    </xf>
    <xf numFmtId="180" fontId="6" fillId="0" borderId="26" xfId="0" applyNumberFormat="1" applyFont="1" applyBorder="1">
      <alignment vertical="center"/>
    </xf>
    <xf numFmtId="0" fontId="5" fillId="0" borderId="9" xfId="0" applyFont="1" applyBorder="1">
      <alignment vertical="center"/>
    </xf>
    <xf numFmtId="0" fontId="5" fillId="0" borderId="19" xfId="0" applyFont="1" applyBorder="1">
      <alignment vertical="center"/>
    </xf>
    <xf numFmtId="180" fontId="5" fillId="0" borderId="5" xfId="0" applyNumberFormat="1" applyFont="1" applyBorder="1">
      <alignment vertical="center"/>
    </xf>
    <xf numFmtId="0" fontId="6" fillId="0" borderId="9" xfId="0" applyFont="1" applyBorder="1">
      <alignment vertical="center"/>
    </xf>
    <xf numFmtId="0" fontId="6" fillId="0" borderId="19" xfId="0" applyFont="1" applyBorder="1">
      <alignment vertical="center"/>
    </xf>
    <xf numFmtId="180" fontId="6" fillId="0" borderId="5" xfId="0" applyNumberFormat="1" applyFont="1" applyBorder="1">
      <alignment vertical="center"/>
    </xf>
    <xf numFmtId="0" fontId="0" fillId="0" borderId="0" xfId="0" applyAlignment="1">
      <alignment horizontal="left" vertical="center"/>
    </xf>
    <xf numFmtId="9" fontId="0" fillId="0" borderId="0" xfId="0" applyNumberFormat="1">
      <alignment vertical="center"/>
    </xf>
    <xf numFmtId="9" fontId="0" fillId="0" borderId="27" xfId="0" applyNumberFormat="1" applyBorder="1">
      <alignment vertical="center"/>
    </xf>
    <xf numFmtId="0" fontId="0" fillId="0" borderId="36" xfId="0" applyBorder="1">
      <alignment vertical="center"/>
    </xf>
    <xf numFmtId="176" fontId="0" fillId="0" borderId="37" xfId="0" applyNumberFormat="1" applyBorder="1">
      <alignment vertical="center"/>
    </xf>
    <xf numFmtId="0" fontId="5" fillId="0" borderId="23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38" xfId="0" applyFont="1" applyBorder="1">
      <alignment vertical="center"/>
    </xf>
    <xf numFmtId="0" fontId="6" fillId="0" borderId="39" xfId="0" applyFont="1" applyBorder="1">
      <alignment vertical="center"/>
    </xf>
    <xf numFmtId="0" fontId="6" fillId="0" borderId="40" xfId="0" applyFont="1" applyBorder="1">
      <alignment vertical="center"/>
    </xf>
    <xf numFmtId="0" fontId="6" fillId="0" borderId="12" xfId="0" applyFont="1" applyBorder="1">
      <alignment vertical="center"/>
    </xf>
    <xf numFmtId="184" fontId="6" fillId="0" borderId="17" xfId="0" applyNumberFormat="1" applyFont="1" applyBorder="1">
      <alignment vertical="center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184" fontId="6" fillId="0" borderId="18" xfId="0" applyNumberFormat="1" applyFont="1" applyBorder="1">
      <alignment vertical="center"/>
    </xf>
    <xf numFmtId="0" fontId="6" fillId="0" borderId="1" xfId="0" applyFont="1" applyBorder="1">
      <alignment vertical="center"/>
    </xf>
    <xf numFmtId="0" fontId="6" fillId="0" borderId="23" xfId="0" applyFont="1" applyBorder="1">
      <alignment vertical="center"/>
    </xf>
    <xf numFmtId="0" fontId="6" fillId="0" borderId="41" xfId="0" applyFont="1" applyBorder="1">
      <alignment vertical="center"/>
    </xf>
    <xf numFmtId="0" fontId="6" fillId="0" borderId="25" xfId="0" applyFont="1" applyBorder="1">
      <alignment vertical="center"/>
    </xf>
    <xf numFmtId="184" fontId="6" fillId="0" borderId="0" xfId="0" applyNumberFormat="1" applyFont="1" applyBorder="1">
      <alignment vertical="center"/>
    </xf>
    <xf numFmtId="185" fontId="6" fillId="0" borderId="40" xfId="0" applyNumberFormat="1" applyFont="1" applyBorder="1">
      <alignment vertical="center"/>
    </xf>
    <xf numFmtId="185" fontId="6" fillId="0" borderId="17" xfId="0" applyNumberFormat="1" applyFont="1" applyBorder="1">
      <alignment vertical="center"/>
    </xf>
    <xf numFmtId="185" fontId="6" fillId="0" borderId="13" xfId="0" applyNumberFormat="1" applyFont="1" applyBorder="1">
      <alignment vertical="center"/>
    </xf>
    <xf numFmtId="185" fontId="6" fillId="0" borderId="12" xfId="0" applyNumberFormat="1" applyFont="1" applyBorder="1">
      <alignment vertical="center"/>
    </xf>
    <xf numFmtId="185" fontId="6" fillId="0" borderId="18" xfId="0" applyNumberFormat="1" applyFont="1" applyBorder="1">
      <alignment vertical="center"/>
    </xf>
    <xf numFmtId="185" fontId="6" fillId="0" borderId="15" xfId="0" applyNumberFormat="1" applyFont="1" applyBorder="1">
      <alignment vertical="center"/>
    </xf>
    <xf numFmtId="185" fontId="6" fillId="0" borderId="14" xfId="0" applyNumberFormat="1" applyFont="1" applyBorder="1">
      <alignment vertical="center"/>
    </xf>
    <xf numFmtId="186" fontId="6" fillId="0" borderId="13" xfId="0" applyNumberFormat="1" applyFont="1" applyBorder="1">
      <alignment vertical="center"/>
    </xf>
    <xf numFmtId="187" fontId="6" fillId="0" borderId="13" xfId="0" applyNumberFormat="1" applyFont="1" applyBorder="1">
      <alignment vertical="center"/>
    </xf>
    <xf numFmtId="187" fontId="6" fillId="0" borderId="15" xfId="0" applyNumberFormat="1" applyFont="1" applyBorder="1">
      <alignment vertical="center"/>
    </xf>
    <xf numFmtId="0" fontId="6" fillId="0" borderId="35" xfId="0" applyFont="1" applyBorder="1">
      <alignment vertical="center"/>
    </xf>
    <xf numFmtId="0" fontId="5" fillId="0" borderId="42" xfId="0" applyFont="1" applyBorder="1">
      <alignment vertical="center"/>
    </xf>
    <xf numFmtId="0" fontId="5" fillId="0" borderId="43" xfId="0" applyFont="1" applyBorder="1">
      <alignment vertical="center"/>
    </xf>
    <xf numFmtId="0" fontId="5" fillId="0" borderId="44" xfId="0" applyFont="1" applyBorder="1">
      <alignment vertical="center"/>
    </xf>
    <xf numFmtId="0" fontId="5" fillId="0" borderId="45" xfId="0" applyFont="1" applyBorder="1">
      <alignment vertical="center"/>
    </xf>
    <xf numFmtId="0" fontId="5" fillId="0" borderId="46" xfId="0" applyFont="1" applyBorder="1">
      <alignment vertical="center"/>
    </xf>
    <xf numFmtId="0" fontId="6" fillId="0" borderId="38" xfId="0" applyFont="1" applyBorder="1">
      <alignment vertical="center"/>
    </xf>
    <xf numFmtId="0" fontId="6" fillId="0" borderId="42" xfId="0" applyFont="1" applyBorder="1">
      <alignment vertical="center"/>
    </xf>
    <xf numFmtId="0" fontId="6" fillId="0" borderId="43" xfId="0" applyFont="1" applyBorder="1">
      <alignment vertical="center"/>
    </xf>
    <xf numFmtId="0" fontId="6" fillId="0" borderId="44" xfId="0" applyFont="1" applyBorder="1">
      <alignment vertical="center"/>
    </xf>
    <xf numFmtId="0" fontId="6" fillId="0" borderId="45" xfId="0" applyFont="1" applyBorder="1">
      <alignment vertical="center"/>
    </xf>
    <xf numFmtId="0" fontId="6" fillId="0" borderId="46" xfId="0" applyFont="1" applyBorder="1">
      <alignment vertical="center"/>
    </xf>
    <xf numFmtId="0" fontId="6" fillId="0" borderId="39" xfId="0" applyFont="1" applyBorder="1">
      <alignment vertical="center"/>
    </xf>
    <xf numFmtId="0" fontId="6" fillId="0" borderId="0" xfId="0" applyFont="1" applyBorder="1" applyAlignment="1">
      <alignment vertical="center" shrinkToFit="1"/>
    </xf>
    <xf numFmtId="184" fontId="6" fillId="0" borderId="13" xfId="0" applyNumberFormat="1" applyFont="1" applyBorder="1">
      <alignment vertical="center"/>
    </xf>
    <xf numFmtId="184" fontId="6" fillId="0" borderId="15" xfId="0" applyNumberFormat="1" applyFont="1" applyBorder="1">
      <alignment vertical="center"/>
    </xf>
    <xf numFmtId="0" fontId="6" fillId="2" borderId="47" xfId="0" applyFont="1" applyFill="1" applyBorder="1">
      <alignment vertical="center"/>
    </xf>
    <xf numFmtId="9" fontId="6" fillId="2" borderId="48" xfId="0" applyNumberFormat="1" applyFont="1" applyFill="1" applyBorder="1">
      <alignment vertical="center"/>
    </xf>
    <xf numFmtId="9" fontId="6" fillId="2" borderId="49" xfId="0" applyNumberFormat="1" applyFont="1" applyFill="1" applyBorder="1">
      <alignment vertical="center"/>
    </xf>
    <xf numFmtId="9" fontId="6" fillId="2" borderId="50" xfId="0" applyNumberFormat="1" applyFont="1" applyFill="1" applyBorder="1">
      <alignment vertical="center"/>
    </xf>
    <xf numFmtId="180" fontId="6" fillId="2" borderId="48" xfId="0" applyNumberFormat="1" applyFont="1" applyFill="1" applyBorder="1">
      <alignment vertical="center"/>
    </xf>
    <xf numFmtId="180" fontId="6" fillId="2" borderId="51" xfId="0" applyNumberFormat="1" applyFont="1" applyFill="1" applyBorder="1">
      <alignment vertical="center"/>
    </xf>
    <xf numFmtId="186" fontId="6" fillId="0" borderId="15" xfId="0" applyNumberFormat="1" applyFont="1" applyBorder="1">
      <alignment vertical="center"/>
    </xf>
    <xf numFmtId="185" fontId="6" fillId="0" borderId="0" xfId="0" applyNumberFormat="1" applyFont="1" applyBorder="1">
      <alignment vertical="center"/>
    </xf>
    <xf numFmtId="0" fontId="5" fillId="0" borderId="49" xfId="0" applyFont="1" applyBorder="1">
      <alignment vertical="center"/>
    </xf>
    <xf numFmtId="185" fontId="6" fillId="0" borderId="49" xfId="0" applyNumberFormat="1" applyFont="1" applyBorder="1">
      <alignment vertical="center"/>
    </xf>
    <xf numFmtId="186" fontId="6" fillId="0" borderId="49" xfId="0" applyNumberFormat="1" applyFont="1" applyBorder="1">
      <alignment vertical="center"/>
    </xf>
    <xf numFmtId="187" fontId="6" fillId="0" borderId="49" xfId="0" applyNumberFormat="1" applyFont="1" applyBorder="1">
      <alignment vertical="center"/>
    </xf>
    <xf numFmtId="187" fontId="6" fillId="0" borderId="0" xfId="0" applyNumberFormat="1" applyFont="1" applyBorder="1">
      <alignment vertical="center"/>
    </xf>
    <xf numFmtId="9" fontId="6" fillId="0" borderId="0" xfId="0" applyNumberFormat="1" applyFont="1" applyFill="1" applyBorder="1">
      <alignment vertical="center"/>
    </xf>
    <xf numFmtId="185" fontId="6" fillId="0" borderId="39" xfId="0" applyNumberFormat="1" applyFont="1" applyBorder="1">
      <alignment vertical="center"/>
    </xf>
    <xf numFmtId="0" fontId="5" fillId="0" borderId="52" xfId="0" applyFont="1" applyBorder="1">
      <alignment vertical="center"/>
    </xf>
    <xf numFmtId="187" fontId="6" fillId="0" borderId="0" xfId="0" applyNumberFormat="1" applyFont="1">
      <alignment vertical="center"/>
    </xf>
    <xf numFmtId="0" fontId="0" fillId="2" borderId="53" xfId="0" applyFill="1" applyBorder="1">
      <alignment vertical="center"/>
    </xf>
    <xf numFmtId="0" fontId="0" fillId="2" borderId="54" xfId="0" applyFill="1" applyBorder="1">
      <alignment vertical="center"/>
    </xf>
    <xf numFmtId="179" fontId="0" fillId="2" borderId="35" xfId="0" applyNumberFormat="1" applyFill="1" applyBorder="1">
      <alignment vertical="center"/>
    </xf>
    <xf numFmtId="0" fontId="0" fillId="2" borderId="4" xfId="0" applyFill="1" applyBorder="1">
      <alignment vertical="center"/>
    </xf>
    <xf numFmtId="179" fontId="0" fillId="2" borderId="5" xfId="0" applyNumberFormat="1" applyFill="1" applyBorder="1">
      <alignment vertical="center"/>
    </xf>
    <xf numFmtId="178" fontId="0" fillId="2" borderId="5" xfId="0" applyNumberFormat="1" applyFill="1" applyBorder="1">
      <alignment vertical="center"/>
    </xf>
    <xf numFmtId="0" fontId="0" fillId="2" borderId="55" xfId="0" applyFill="1" applyBorder="1">
      <alignment vertical="center"/>
    </xf>
    <xf numFmtId="178" fontId="0" fillId="2" borderId="25" xfId="0" applyNumberFormat="1" applyFill="1" applyBorder="1">
      <alignment vertical="center"/>
    </xf>
    <xf numFmtId="0" fontId="0" fillId="2" borderId="56" xfId="0" applyFill="1" applyBorder="1">
      <alignment vertical="center"/>
    </xf>
    <xf numFmtId="180" fontId="0" fillId="2" borderId="57" xfId="0" applyNumberFormat="1" applyFill="1" applyBorder="1">
      <alignment vertical="center"/>
    </xf>
    <xf numFmtId="180" fontId="0" fillId="2" borderId="58" xfId="0" applyNumberFormat="1" applyFill="1" applyBorder="1">
      <alignment vertical="center"/>
    </xf>
    <xf numFmtId="180" fontId="0" fillId="2" borderId="59" xfId="0" applyNumberFormat="1" applyFill="1" applyBorder="1">
      <alignment vertical="center"/>
    </xf>
    <xf numFmtId="180" fontId="0" fillId="2" borderId="60" xfId="0" applyNumberFormat="1" applyFill="1" applyBorder="1">
      <alignment vertical="center"/>
    </xf>
    <xf numFmtId="9" fontId="0" fillId="2" borderId="61" xfId="0" applyNumberFormat="1" applyFill="1" applyBorder="1">
      <alignment vertical="center"/>
    </xf>
    <xf numFmtId="9" fontId="0" fillId="2" borderId="5" xfId="0" applyNumberFormat="1" applyFill="1" applyBorder="1">
      <alignment vertical="center"/>
    </xf>
    <xf numFmtId="0" fontId="0" fillId="2" borderId="1" xfId="0" applyFill="1" applyBorder="1">
      <alignment vertical="center"/>
    </xf>
    <xf numFmtId="180" fontId="0" fillId="2" borderId="41" xfId="0" applyNumberFormat="1" applyFill="1" applyBorder="1">
      <alignment vertical="center"/>
    </xf>
    <xf numFmtId="0" fontId="0" fillId="2" borderId="2" xfId="0" applyFill="1" applyBorder="1">
      <alignment vertical="center"/>
    </xf>
    <xf numFmtId="180" fontId="0" fillId="2" borderId="35" xfId="0" applyNumberFormat="1" applyFill="1" applyBorder="1">
      <alignment vertical="center"/>
    </xf>
    <xf numFmtId="0" fontId="0" fillId="2" borderId="0" xfId="0" applyFill="1">
      <alignment vertical="center"/>
    </xf>
    <xf numFmtId="177" fontId="0" fillId="2" borderId="0" xfId="0" applyNumberFormat="1" applyFill="1">
      <alignment vertical="center"/>
    </xf>
    <xf numFmtId="9" fontId="6" fillId="0" borderId="0" xfId="0" applyNumberFormat="1" applyFont="1" applyBorder="1">
      <alignment vertical="center"/>
    </xf>
    <xf numFmtId="185" fontId="6" fillId="0" borderId="13" xfId="0" applyNumberFormat="1" applyFont="1" applyBorder="1" applyAlignment="1">
      <alignment vertical="center" shrinkToFit="1"/>
    </xf>
    <xf numFmtId="185" fontId="6" fillId="0" borderId="15" xfId="0" applyNumberFormat="1" applyFont="1" applyBorder="1" applyAlignment="1">
      <alignment vertical="center" shrinkToFit="1"/>
    </xf>
    <xf numFmtId="187" fontId="6" fillId="0" borderId="0" xfId="0" applyNumberFormat="1" applyFont="1" applyBorder="1" applyAlignment="1">
      <alignment vertical="center" shrinkToFit="1"/>
    </xf>
    <xf numFmtId="186" fontId="6" fillId="0" borderId="0" xfId="0" applyNumberFormat="1" applyFont="1" applyBorder="1" applyAlignment="1">
      <alignment vertical="center" shrinkToFit="1"/>
    </xf>
    <xf numFmtId="0" fontId="0" fillId="2" borderId="36" xfId="0" applyFill="1" applyBorder="1">
      <alignment vertical="center"/>
    </xf>
    <xf numFmtId="182" fontId="0" fillId="2" borderId="0" xfId="0" applyNumberFormat="1" applyFill="1">
      <alignment vertical="center"/>
    </xf>
    <xf numFmtId="177" fontId="5" fillId="2" borderId="62" xfId="0" applyNumberFormat="1" applyFont="1" applyFill="1" applyBorder="1" applyAlignment="1">
      <alignment vertical="center" shrinkToFit="1"/>
    </xf>
    <xf numFmtId="177" fontId="0" fillId="0" borderId="0" xfId="0" applyNumberFormat="1" applyAlignment="1">
      <alignment vertical="center" shrinkToFit="1"/>
    </xf>
    <xf numFmtId="185" fontId="5" fillId="0" borderId="0" xfId="0" applyNumberFormat="1" applyFont="1">
      <alignment vertical="center"/>
    </xf>
    <xf numFmtId="9" fontId="6" fillId="0" borderId="0" xfId="0" applyNumberFormat="1" applyFont="1">
      <alignment vertical="center"/>
    </xf>
    <xf numFmtId="0" fontId="6" fillId="0" borderId="63" xfId="0" applyFont="1" applyBorder="1">
      <alignment vertical="center"/>
    </xf>
    <xf numFmtId="9" fontId="6" fillId="0" borderId="35" xfId="0" applyNumberFormat="1" applyFont="1" applyBorder="1">
      <alignment vertical="center"/>
    </xf>
    <xf numFmtId="0" fontId="6" fillId="0" borderId="64" xfId="0" applyFont="1" applyBorder="1">
      <alignment vertical="center"/>
    </xf>
    <xf numFmtId="0" fontId="6" fillId="0" borderId="65" xfId="0" applyFont="1" applyBorder="1">
      <alignment vertical="center"/>
    </xf>
    <xf numFmtId="0" fontId="6" fillId="0" borderId="66" xfId="0" applyFont="1" applyBorder="1">
      <alignment vertical="center"/>
    </xf>
    <xf numFmtId="186" fontId="5" fillId="0" borderId="0" xfId="0" applyNumberFormat="1" applyFont="1">
      <alignment vertical="center"/>
    </xf>
    <xf numFmtId="9" fontId="0" fillId="2" borderId="54" xfId="0" applyNumberFormat="1" applyFill="1" applyBorder="1" applyAlignment="1">
      <alignment vertical="center" shrinkToFit="1"/>
    </xf>
    <xf numFmtId="9" fontId="0" fillId="2" borderId="4" xfId="0" applyNumberFormat="1" applyFill="1" applyBorder="1" applyAlignment="1">
      <alignment vertical="center" shrinkToFit="1"/>
    </xf>
    <xf numFmtId="9" fontId="0" fillId="2" borderId="55" xfId="0" applyNumberFormat="1" applyFill="1" applyBorder="1" applyAlignment="1">
      <alignment vertical="center" shrinkToFit="1"/>
    </xf>
    <xf numFmtId="184" fontId="0" fillId="2" borderId="35" xfId="0" applyNumberFormat="1" applyFill="1" applyBorder="1" applyAlignment="1">
      <alignment vertical="center" shrinkToFit="1"/>
    </xf>
    <xf numFmtId="184" fontId="0" fillId="2" borderId="5" xfId="0" applyNumberFormat="1" applyFill="1" applyBorder="1" applyAlignment="1">
      <alignment vertical="center" shrinkToFit="1"/>
    </xf>
    <xf numFmtId="184" fontId="0" fillId="2" borderId="25" xfId="0" applyNumberFormat="1" applyFill="1" applyBorder="1" applyAlignment="1">
      <alignment vertical="center" shrinkToFit="1"/>
    </xf>
    <xf numFmtId="0" fontId="7" fillId="0" borderId="0" xfId="0" applyFont="1" applyBorder="1">
      <alignment vertical="center"/>
    </xf>
    <xf numFmtId="0" fontId="6" fillId="2" borderId="6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180" fontId="6" fillId="2" borderId="19" xfId="0" applyNumberFormat="1" applyFont="1" applyFill="1" applyBorder="1">
      <alignment vertical="center"/>
    </xf>
    <xf numFmtId="180" fontId="6" fillId="2" borderId="68" xfId="0" applyNumberFormat="1" applyFont="1" applyFill="1" applyBorder="1">
      <alignment vertical="center"/>
    </xf>
    <xf numFmtId="188" fontId="0" fillId="0" borderId="0" xfId="0" applyNumberFormat="1">
      <alignment vertical="center"/>
    </xf>
    <xf numFmtId="0" fontId="5" fillId="0" borderId="6" xfId="0" applyFont="1" applyBorder="1">
      <alignment vertical="center"/>
    </xf>
    <xf numFmtId="0" fontId="8" fillId="0" borderId="0" xfId="0" applyFont="1" applyBorder="1">
      <alignment vertical="center"/>
    </xf>
    <xf numFmtId="0" fontId="9" fillId="0" borderId="0" xfId="0" applyFont="1" applyBorder="1">
      <alignment vertical="center"/>
    </xf>
    <xf numFmtId="0" fontId="9" fillId="0" borderId="0" xfId="0" applyFont="1" applyBorder="1">
      <alignment vertical="center"/>
    </xf>
    <xf numFmtId="185" fontId="7" fillId="0" borderId="0" xfId="0" applyNumberFormat="1" applyFont="1" applyBorder="1">
      <alignment vertical="center"/>
    </xf>
    <xf numFmtId="185" fontId="7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41" xfId="0" applyFont="1" applyBorder="1">
      <alignment vertical="center"/>
    </xf>
    <xf numFmtId="0" fontId="5" fillId="0" borderId="35" xfId="0" applyFont="1" applyBorder="1">
      <alignment vertical="center"/>
    </xf>
    <xf numFmtId="0" fontId="5" fillId="0" borderId="35" xfId="0" applyFont="1" applyBorder="1">
      <alignment vertical="center"/>
    </xf>
    <xf numFmtId="180" fontId="6" fillId="0" borderId="35" xfId="0" applyNumberFormat="1" applyFont="1" applyFill="1" applyBorder="1">
      <alignment vertical="center"/>
    </xf>
    <xf numFmtId="0" fontId="9" fillId="0" borderId="35" xfId="0" applyFont="1" applyBorder="1">
      <alignment vertical="center"/>
    </xf>
    <xf numFmtId="180" fontId="7" fillId="3" borderId="35" xfId="0" applyNumberFormat="1" applyFont="1" applyFill="1" applyBorder="1">
      <alignment vertical="center"/>
    </xf>
    <xf numFmtId="0" fontId="7" fillId="3" borderId="35" xfId="0" applyFont="1" applyFill="1" applyBorder="1">
      <alignment vertical="center"/>
    </xf>
    <xf numFmtId="0" fontId="4" fillId="0" borderId="23" xfId="0" applyFont="1" applyBorder="1">
      <alignment vertical="center"/>
    </xf>
    <xf numFmtId="0" fontId="5" fillId="0" borderId="0" xfId="0" applyFont="1" applyBorder="1" applyAlignment="1">
      <alignment vertical="center"/>
    </xf>
    <xf numFmtId="185" fontId="6" fillId="0" borderId="69" xfId="0" applyNumberFormat="1" applyFont="1" applyBorder="1" applyAlignment="1">
      <alignment vertical="center"/>
    </xf>
    <xf numFmtId="0" fontId="0" fillId="0" borderId="70" xfId="0" applyBorder="1" applyAlignment="1">
      <alignment vertical="center"/>
    </xf>
    <xf numFmtId="186" fontId="6" fillId="0" borderId="69" xfId="0" applyNumberFormat="1" applyFont="1" applyBorder="1" applyAlignment="1">
      <alignment vertical="center"/>
    </xf>
    <xf numFmtId="186" fontId="0" fillId="0" borderId="70" xfId="0" applyNumberFormat="1" applyBorder="1" applyAlignment="1">
      <alignment vertical="center"/>
    </xf>
    <xf numFmtId="184" fontId="6" fillId="0" borderId="69" xfId="0" applyNumberFormat="1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vertical="center"/>
    </xf>
    <xf numFmtId="188" fontId="6" fillId="0" borderId="69" xfId="0" applyNumberFormat="1" applyFont="1" applyBorder="1" applyAlignment="1">
      <alignment vertical="center"/>
    </xf>
    <xf numFmtId="188" fontId="0" fillId="0" borderId="70" xfId="0" applyNumberFormat="1" applyBorder="1" applyAlignment="1">
      <alignment vertical="center"/>
    </xf>
  </cellXfs>
  <cellStyles count="1">
    <cellStyle name="표준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11</xdr:row>
      <xdr:rowOff>142875</xdr:rowOff>
    </xdr:from>
    <xdr:to>
      <xdr:col>7</xdr:col>
      <xdr:colOff>0</xdr:colOff>
      <xdr:row>11</xdr:row>
      <xdr:rowOff>144463</xdr:rowOff>
    </xdr:to>
    <xdr:cxnSp macro="">
      <xdr:nvCxnSpPr>
        <xdr:cNvPr id="2" name="직선 화살표 연결선 1"/>
        <xdr:cNvCxnSpPr/>
      </xdr:nvCxnSpPr>
      <xdr:spPr>
        <a:xfrm>
          <a:off x="2181225" y="1990725"/>
          <a:ext cx="409575" cy="1588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12</xdr:row>
      <xdr:rowOff>0</xdr:rowOff>
    </xdr:from>
    <xdr:to>
      <xdr:col>4</xdr:col>
      <xdr:colOff>38100</xdr:colOff>
      <xdr:row>12</xdr:row>
      <xdr:rowOff>9525</xdr:rowOff>
    </xdr:to>
    <xdr:cxnSp macro="">
      <xdr:nvCxnSpPr>
        <xdr:cNvPr id="3" name="직선 화살표 연결선 2"/>
        <xdr:cNvCxnSpPr/>
      </xdr:nvCxnSpPr>
      <xdr:spPr>
        <a:xfrm>
          <a:off x="257175" y="2000250"/>
          <a:ext cx="10858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400049</xdr:colOff>
      <xdr:row>13</xdr:row>
      <xdr:rowOff>47624</xdr:rowOff>
    </xdr:from>
    <xdr:to>
      <xdr:col>15</xdr:col>
      <xdr:colOff>0</xdr:colOff>
      <xdr:row>26</xdr:row>
      <xdr:rowOff>38101</xdr:rowOff>
    </xdr:to>
    <xdr:cxnSp macro="">
      <xdr:nvCxnSpPr>
        <xdr:cNvPr id="4" name="직선 화살표 연결선 3"/>
        <xdr:cNvCxnSpPr/>
      </xdr:nvCxnSpPr>
      <xdr:spPr>
        <a:xfrm rot="16200000" flipH="1">
          <a:off x="4729161" y="3186112"/>
          <a:ext cx="1971677" cy="1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6</xdr:col>
      <xdr:colOff>228603</xdr:colOff>
      <xdr:row>13</xdr:row>
      <xdr:rowOff>133350</xdr:rowOff>
    </xdr:from>
    <xdr:to>
      <xdr:col>15</xdr:col>
      <xdr:colOff>1</xdr:colOff>
      <xdr:row>14</xdr:row>
      <xdr:rowOff>0</xdr:rowOff>
    </xdr:to>
    <xdr:cxnSp macro="">
      <xdr:nvCxnSpPr>
        <xdr:cNvPr id="5" name="직선 연결선 4"/>
        <xdr:cNvCxnSpPr/>
      </xdr:nvCxnSpPr>
      <xdr:spPr>
        <a:xfrm rot="10800000">
          <a:off x="2390778" y="2286000"/>
          <a:ext cx="3324223" cy="19050"/>
        </a:xfrm>
        <a:prstGeom prst="line">
          <a:avLst/>
        </a:prstGeom>
        <a:ln>
          <a:prstDash val="dash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199232</xdr:colOff>
      <xdr:row>11</xdr:row>
      <xdr:rowOff>134144</xdr:rowOff>
    </xdr:from>
    <xdr:to>
      <xdr:col>6</xdr:col>
      <xdr:colOff>200820</xdr:colOff>
      <xdr:row>13</xdr:row>
      <xdr:rowOff>96044</xdr:rowOff>
    </xdr:to>
    <xdr:cxnSp macro="">
      <xdr:nvCxnSpPr>
        <xdr:cNvPr id="6" name="직선 화살표 연결선 5"/>
        <xdr:cNvCxnSpPr/>
      </xdr:nvCxnSpPr>
      <xdr:spPr>
        <a:xfrm rot="5400000" flipH="1" flipV="1">
          <a:off x="2228851" y="2114550"/>
          <a:ext cx="266700" cy="1588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27</xdr:row>
      <xdr:rowOff>142874</xdr:rowOff>
    </xdr:from>
    <xdr:to>
      <xdr:col>13</xdr:col>
      <xdr:colOff>361950</xdr:colOff>
      <xdr:row>27</xdr:row>
      <xdr:rowOff>152399</xdr:rowOff>
    </xdr:to>
    <xdr:cxnSp macro="">
      <xdr:nvCxnSpPr>
        <xdr:cNvPr id="7" name="직선 화살표 연결선 6"/>
        <xdr:cNvCxnSpPr/>
      </xdr:nvCxnSpPr>
      <xdr:spPr>
        <a:xfrm rot="10800000" flipV="1">
          <a:off x="4467225" y="4429124"/>
          <a:ext cx="781050" cy="9525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38100</xdr:colOff>
      <xdr:row>27</xdr:row>
      <xdr:rowOff>142875</xdr:rowOff>
    </xdr:from>
    <xdr:to>
      <xdr:col>9</xdr:col>
      <xdr:colOff>123829</xdr:colOff>
      <xdr:row>28</xdr:row>
      <xdr:rowOff>1587</xdr:rowOff>
    </xdr:to>
    <xdr:cxnSp macro="">
      <xdr:nvCxnSpPr>
        <xdr:cNvPr id="8" name="직선 화살표 연결선 7"/>
        <xdr:cNvCxnSpPr/>
      </xdr:nvCxnSpPr>
      <xdr:spPr>
        <a:xfrm rot="10800000">
          <a:off x="3057525" y="4429125"/>
          <a:ext cx="514354" cy="11112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12</xdr:row>
      <xdr:rowOff>0</xdr:rowOff>
    </xdr:from>
    <xdr:to>
      <xdr:col>13</xdr:col>
      <xdr:colOff>9525</xdr:colOff>
      <xdr:row>12</xdr:row>
      <xdr:rowOff>1588</xdr:rowOff>
    </xdr:to>
    <xdr:cxnSp macro="">
      <xdr:nvCxnSpPr>
        <xdr:cNvPr id="9" name="직선 화살표 연결선 8"/>
        <xdr:cNvCxnSpPr/>
      </xdr:nvCxnSpPr>
      <xdr:spPr>
        <a:xfrm>
          <a:off x="4467225" y="2000250"/>
          <a:ext cx="428625" cy="1588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409575</xdr:colOff>
      <xdr:row>11</xdr:row>
      <xdr:rowOff>142875</xdr:rowOff>
    </xdr:from>
    <xdr:to>
      <xdr:col>17</xdr:col>
      <xdr:colOff>9525</xdr:colOff>
      <xdr:row>11</xdr:row>
      <xdr:rowOff>144463</xdr:rowOff>
    </xdr:to>
    <xdr:cxnSp macro="">
      <xdr:nvCxnSpPr>
        <xdr:cNvPr id="10" name="직선 화살표 연결선 9"/>
        <xdr:cNvCxnSpPr/>
      </xdr:nvCxnSpPr>
      <xdr:spPr>
        <a:xfrm>
          <a:off x="6124575" y="1990725"/>
          <a:ext cx="457200" cy="1588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180977</xdr:colOff>
      <xdr:row>24</xdr:row>
      <xdr:rowOff>76199</xdr:rowOff>
    </xdr:from>
    <xdr:to>
      <xdr:col>10</xdr:col>
      <xdr:colOff>419100</xdr:colOff>
      <xdr:row>24</xdr:row>
      <xdr:rowOff>88108</xdr:rowOff>
    </xdr:to>
    <xdr:cxnSp macro="">
      <xdr:nvCxnSpPr>
        <xdr:cNvPr id="11" name="직선 연결선 10"/>
        <xdr:cNvCxnSpPr/>
      </xdr:nvCxnSpPr>
      <xdr:spPr>
        <a:xfrm rot="10800000" flipV="1">
          <a:off x="438152" y="3905249"/>
          <a:ext cx="3581398" cy="11909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180978</xdr:colOff>
      <xdr:row>12</xdr:row>
      <xdr:rowOff>19051</xdr:rowOff>
    </xdr:from>
    <xdr:to>
      <xdr:col>2</xdr:col>
      <xdr:colOff>1</xdr:colOff>
      <xdr:row>24</xdr:row>
      <xdr:rowOff>66675</xdr:rowOff>
    </xdr:to>
    <xdr:cxnSp macro="">
      <xdr:nvCxnSpPr>
        <xdr:cNvPr id="12" name="직선 화살표 연결선 11"/>
        <xdr:cNvCxnSpPr/>
      </xdr:nvCxnSpPr>
      <xdr:spPr>
        <a:xfrm rot="16200000" flipV="1">
          <a:off x="-495297" y="2952751"/>
          <a:ext cx="1876424" cy="9523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419100</xdr:colOff>
      <xdr:row>24</xdr:row>
      <xdr:rowOff>95252</xdr:rowOff>
    </xdr:from>
    <xdr:to>
      <xdr:col>10</xdr:col>
      <xdr:colOff>420688</xdr:colOff>
      <xdr:row>25</xdr:row>
      <xdr:rowOff>142877</xdr:rowOff>
    </xdr:to>
    <xdr:cxnSp macro="">
      <xdr:nvCxnSpPr>
        <xdr:cNvPr id="13" name="직선 연결선 12"/>
        <xdr:cNvCxnSpPr/>
      </xdr:nvCxnSpPr>
      <xdr:spPr>
        <a:xfrm rot="5400000">
          <a:off x="3920331" y="4023521"/>
          <a:ext cx="200025" cy="1588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66676</xdr:colOff>
      <xdr:row>13</xdr:row>
      <xdr:rowOff>19843</xdr:rowOff>
    </xdr:from>
    <xdr:to>
      <xdr:col>5</xdr:col>
      <xdr:colOff>67471</xdr:colOff>
      <xdr:row>15</xdr:row>
      <xdr:rowOff>142878</xdr:rowOff>
    </xdr:to>
    <xdr:cxnSp macro="">
      <xdr:nvCxnSpPr>
        <xdr:cNvPr id="14" name="직선 연결선 13"/>
        <xdr:cNvCxnSpPr/>
      </xdr:nvCxnSpPr>
      <xdr:spPr>
        <a:xfrm rot="5400000">
          <a:off x="1586706" y="2386013"/>
          <a:ext cx="427835" cy="795"/>
        </a:xfrm>
        <a:prstGeom prst="line">
          <a:avLst/>
        </a:prstGeom>
        <a:ln>
          <a:prstDash val="dash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57150</xdr:colOff>
      <xdr:row>15</xdr:row>
      <xdr:rowOff>142875</xdr:rowOff>
    </xdr:from>
    <xdr:to>
      <xdr:col>15</xdr:col>
      <xdr:colOff>0</xdr:colOff>
      <xdr:row>16</xdr:row>
      <xdr:rowOff>9525</xdr:rowOff>
    </xdr:to>
    <xdr:cxnSp macro="">
      <xdr:nvCxnSpPr>
        <xdr:cNvPr id="15" name="직선 연결선 14"/>
        <xdr:cNvCxnSpPr/>
      </xdr:nvCxnSpPr>
      <xdr:spPr>
        <a:xfrm>
          <a:off x="1790700" y="2600325"/>
          <a:ext cx="3924300" cy="19050"/>
        </a:xfrm>
        <a:prstGeom prst="line">
          <a:avLst/>
        </a:prstGeom>
        <a:ln>
          <a:prstDash val="dash"/>
          <a:tailEnd type="arrow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24</xdr:row>
      <xdr:rowOff>85726</xdr:rowOff>
    </xdr:from>
    <xdr:to>
      <xdr:col>7</xdr:col>
      <xdr:colOff>1588</xdr:colOff>
      <xdr:row>25</xdr:row>
      <xdr:rowOff>133351</xdr:rowOff>
    </xdr:to>
    <xdr:cxnSp macro="">
      <xdr:nvCxnSpPr>
        <xdr:cNvPr id="16" name="직선 연결선 15"/>
        <xdr:cNvCxnSpPr/>
      </xdr:nvCxnSpPr>
      <xdr:spPr>
        <a:xfrm rot="5400000">
          <a:off x="2491581" y="4013995"/>
          <a:ext cx="200025" cy="1588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11</xdr:row>
      <xdr:rowOff>142875</xdr:rowOff>
    </xdr:from>
    <xdr:to>
      <xdr:col>7</xdr:col>
      <xdr:colOff>0</xdr:colOff>
      <xdr:row>11</xdr:row>
      <xdr:rowOff>144463</xdr:rowOff>
    </xdr:to>
    <xdr:cxnSp macro="">
      <xdr:nvCxnSpPr>
        <xdr:cNvPr id="2" name="직선 화살표 연결선 1"/>
        <xdr:cNvCxnSpPr/>
      </xdr:nvCxnSpPr>
      <xdr:spPr>
        <a:xfrm>
          <a:off x="2181225" y="1933575"/>
          <a:ext cx="409575" cy="1588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12</xdr:row>
      <xdr:rowOff>0</xdr:rowOff>
    </xdr:from>
    <xdr:to>
      <xdr:col>4</xdr:col>
      <xdr:colOff>38100</xdr:colOff>
      <xdr:row>12</xdr:row>
      <xdr:rowOff>9525</xdr:rowOff>
    </xdr:to>
    <xdr:cxnSp macro="">
      <xdr:nvCxnSpPr>
        <xdr:cNvPr id="3" name="직선 화살표 연결선 2"/>
        <xdr:cNvCxnSpPr/>
      </xdr:nvCxnSpPr>
      <xdr:spPr>
        <a:xfrm>
          <a:off x="257175" y="1943100"/>
          <a:ext cx="10858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400049</xdr:colOff>
      <xdr:row>13</xdr:row>
      <xdr:rowOff>47624</xdr:rowOff>
    </xdr:from>
    <xdr:to>
      <xdr:col>15</xdr:col>
      <xdr:colOff>0</xdr:colOff>
      <xdr:row>26</xdr:row>
      <xdr:rowOff>38101</xdr:rowOff>
    </xdr:to>
    <xdr:cxnSp macro="">
      <xdr:nvCxnSpPr>
        <xdr:cNvPr id="4" name="직선 화살표 연결선 3"/>
        <xdr:cNvCxnSpPr/>
      </xdr:nvCxnSpPr>
      <xdr:spPr>
        <a:xfrm rot="16200000" flipH="1">
          <a:off x="4729161" y="3128962"/>
          <a:ext cx="1971677" cy="1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6</xdr:col>
      <xdr:colOff>228603</xdr:colOff>
      <xdr:row>13</xdr:row>
      <xdr:rowOff>133350</xdr:rowOff>
    </xdr:from>
    <xdr:to>
      <xdr:col>15</xdr:col>
      <xdr:colOff>1</xdr:colOff>
      <xdr:row>14</xdr:row>
      <xdr:rowOff>0</xdr:rowOff>
    </xdr:to>
    <xdr:cxnSp macro="">
      <xdr:nvCxnSpPr>
        <xdr:cNvPr id="5" name="직선 연결선 4"/>
        <xdr:cNvCxnSpPr/>
      </xdr:nvCxnSpPr>
      <xdr:spPr>
        <a:xfrm rot="10800000">
          <a:off x="2390778" y="2228850"/>
          <a:ext cx="3324223" cy="19050"/>
        </a:xfrm>
        <a:prstGeom prst="line">
          <a:avLst/>
        </a:prstGeom>
        <a:ln>
          <a:prstDash val="dash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199232</xdr:colOff>
      <xdr:row>11</xdr:row>
      <xdr:rowOff>134144</xdr:rowOff>
    </xdr:from>
    <xdr:to>
      <xdr:col>6</xdr:col>
      <xdr:colOff>200820</xdr:colOff>
      <xdr:row>13</xdr:row>
      <xdr:rowOff>96044</xdr:rowOff>
    </xdr:to>
    <xdr:cxnSp macro="">
      <xdr:nvCxnSpPr>
        <xdr:cNvPr id="6" name="직선 화살표 연결선 5"/>
        <xdr:cNvCxnSpPr/>
      </xdr:nvCxnSpPr>
      <xdr:spPr>
        <a:xfrm rot="5400000" flipH="1" flipV="1">
          <a:off x="2228851" y="2057400"/>
          <a:ext cx="266700" cy="1588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27</xdr:row>
      <xdr:rowOff>142874</xdr:rowOff>
    </xdr:from>
    <xdr:to>
      <xdr:col>13</xdr:col>
      <xdr:colOff>361950</xdr:colOff>
      <xdr:row>27</xdr:row>
      <xdr:rowOff>152399</xdr:rowOff>
    </xdr:to>
    <xdr:cxnSp macro="">
      <xdr:nvCxnSpPr>
        <xdr:cNvPr id="7" name="직선 화살표 연결선 6"/>
        <xdr:cNvCxnSpPr/>
      </xdr:nvCxnSpPr>
      <xdr:spPr>
        <a:xfrm rot="10800000" flipV="1">
          <a:off x="4467225" y="4371974"/>
          <a:ext cx="781050" cy="9525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38100</xdr:colOff>
      <xdr:row>27</xdr:row>
      <xdr:rowOff>142875</xdr:rowOff>
    </xdr:from>
    <xdr:to>
      <xdr:col>9</xdr:col>
      <xdr:colOff>123829</xdr:colOff>
      <xdr:row>28</xdr:row>
      <xdr:rowOff>1587</xdr:rowOff>
    </xdr:to>
    <xdr:cxnSp macro="">
      <xdr:nvCxnSpPr>
        <xdr:cNvPr id="8" name="직선 화살표 연결선 7"/>
        <xdr:cNvCxnSpPr/>
      </xdr:nvCxnSpPr>
      <xdr:spPr>
        <a:xfrm rot="10800000">
          <a:off x="3057525" y="4371975"/>
          <a:ext cx="514354" cy="11112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12</xdr:row>
      <xdr:rowOff>0</xdr:rowOff>
    </xdr:from>
    <xdr:to>
      <xdr:col>13</xdr:col>
      <xdr:colOff>9525</xdr:colOff>
      <xdr:row>12</xdr:row>
      <xdr:rowOff>1588</xdr:rowOff>
    </xdr:to>
    <xdr:cxnSp macro="">
      <xdr:nvCxnSpPr>
        <xdr:cNvPr id="9" name="직선 화살표 연결선 8"/>
        <xdr:cNvCxnSpPr/>
      </xdr:nvCxnSpPr>
      <xdr:spPr>
        <a:xfrm>
          <a:off x="4467225" y="1943100"/>
          <a:ext cx="428625" cy="1588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409575</xdr:colOff>
      <xdr:row>11</xdr:row>
      <xdr:rowOff>142875</xdr:rowOff>
    </xdr:from>
    <xdr:to>
      <xdr:col>17</xdr:col>
      <xdr:colOff>9525</xdr:colOff>
      <xdr:row>11</xdr:row>
      <xdr:rowOff>144463</xdr:rowOff>
    </xdr:to>
    <xdr:cxnSp macro="">
      <xdr:nvCxnSpPr>
        <xdr:cNvPr id="10" name="직선 화살표 연결선 9"/>
        <xdr:cNvCxnSpPr/>
      </xdr:nvCxnSpPr>
      <xdr:spPr>
        <a:xfrm>
          <a:off x="6124575" y="1933575"/>
          <a:ext cx="457200" cy="1588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180977</xdr:colOff>
      <xdr:row>24</xdr:row>
      <xdr:rowOff>76199</xdr:rowOff>
    </xdr:from>
    <xdr:to>
      <xdr:col>10</xdr:col>
      <xdr:colOff>419100</xdr:colOff>
      <xdr:row>24</xdr:row>
      <xdr:rowOff>88108</xdr:rowOff>
    </xdr:to>
    <xdr:cxnSp macro="">
      <xdr:nvCxnSpPr>
        <xdr:cNvPr id="11" name="직선 연결선 10"/>
        <xdr:cNvCxnSpPr/>
      </xdr:nvCxnSpPr>
      <xdr:spPr>
        <a:xfrm rot="10800000" flipV="1">
          <a:off x="438152" y="3848099"/>
          <a:ext cx="3581398" cy="11909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180978</xdr:colOff>
      <xdr:row>12</xdr:row>
      <xdr:rowOff>19051</xdr:rowOff>
    </xdr:from>
    <xdr:to>
      <xdr:col>2</xdr:col>
      <xdr:colOff>1</xdr:colOff>
      <xdr:row>24</xdr:row>
      <xdr:rowOff>66675</xdr:rowOff>
    </xdr:to>
    <xdr:cxnSp macro="">
      <xdr:nvCxnSpPr>
        <xdr:cNvPr id="12" name="직선 화살표 연결선 11"/>
        <xdr:cNvCxnSpPr/>
      </xdr:nvCxnSpPr>
      <xdr:spPr>
        <a:xfrm rot="16200000" flipV="1">
          <a:off x="-495297" y="2895601"/>
          <a:ext cx="1876424" cy="9523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419100</xdr:colOff>
      <xdr:row>24</xdr:row>
      <xdr:rowOff>95252</xdr:rowOff>
    </xdr:from>
    <xdr:to>
      <xdr:col>10</xdr:col>
      <xdr:colOff>420688</xdr:colOff>
      <xdr:row>25</xdr:row>
      <xdr:rowOff>142877</xdr:rowOff>
    </xdr:to>
    <xdr:cxnSp macro="">
      <xdr:nvCxnSpPr>
        <xdr:cNvPr id="13" name="직선 연결선 12"/>
        <xdr:cNvCxnSpPr/>
      </xdr:nvCxnSpPr>
      <xdr:spPr>
        <a:xfrm rot="5400000">
          <a:off x="3920331" y="3966371"/>
          <a:ext cx="200025" cy="1588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66676</xdr:colOff>
      <xdr:row>13</xdr:row>
      <xdr:rowOff>19843</xdr:rowOff>
    </xdr:from>
    <xdr:to>
      <xdr:col>5</xdr:col>
      <xdr:colOff>67471</xdr:colOff>
      <xdr:row>15</xdr:row>
      <xdr:rowOff>142878</xdr:rowOff>
    </xdr:to>
    <xdr:cxnSp macro="">
      <xdr:nvCxnSpPr>
        <xdr:cNvPr id="14" name="직선 연결선 13"/>
        <xdr:cNvCxnSpPr/>
      </xdr:nvCxnSpPr>
      <xdr:spPr>
        <a:xfrm rot="5400000">
          <a:off x="1586706" y="2328863"/>
          <a:ext cx="427835" cy="795"/>
        </a:xfrm>
        <a:prstGeom prst="line">
          <a:avLst/>
        </a:prstGeom>
        <a:ln>
          <a:prstDash val="dash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57150</xdr:colOff>
      <xdr:row>15</xdr:row>
      <xdr:rowOff>142875</xdr:rowOff>
    </xdr:from>
    <xdr:to>
      <xdr:col>15</xdr:col>
      <xdr:colOff>0</xdr:colOff>
      <xdr:row>16</xdr:row>
      <xdr:rowOff>9525</xdr:rowOff>
    </xdr:to>
    <xdr:cxnSp macro="">
      <xdr:nvCxnSpPr>
        <xdr:cNvPr id="15" name="직선 연결선 14"/>
        <xdr:cNvCxnSpPr/>
      </xdr:nvCxnSpPr>
      <xdr:spPr>
        <a:xfrm>
          <a:off x="1790700" y="2543175"/>
          <a:ext cx="3924300" cy="19050"/>
        </a:xfrm>
        <a:prstGeom prst="line">
          <a:avLst/>
        </a:prstGeom>
        <a:ln>
          <a:prstDash val="dash"/>
          <a:tailEnd type="arrow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24</xdr:row>
      <xdr:rowOff>85726</xdr:rowOff>
    </xdr:from>
    <xdr:to>
      <xdr:col>7</xdr:col>
      <xdr:colOff>1588</xdr:colOff>
      <xdr:row>25</xdr:row>
      <xdr:rowOff>133351</xdr:rowOff>
    </xdr:to>
    <xdr:cxnSp macro="">
      <xdr:nvCxnSpPr>
        <xdr:cNvPr id="16" name="직선 연결선 15"/>
        <xdr:cNvCxnSpPr/>
      </xdr:nvCxnSpPr>
      <xdr:spPr>
        <a:xfrm rot="5400000">
          <a:off x="2491581" y="3956845"/>
          <a:ext cx="200025" cy="1588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11</xdr:row>
      <xdr:rowOff>142875</xdr:rowOff>
    </xdr:from>
    <xdr:to>
      <xdr:col>7</xdr:col>
      <xdr:colOff>0</xdr:colOff>
      <xdr:row>11</xdr:row>
      <xdr:rowOff>144463</xdr:rowOff>
    </xdr:to>
    <xdr:cxnSp macro="">
      <xdr:nvCxnSpPr>
        <xdr:cNvPr id="2" name="직선 화살표 연결선 1"/>
        <xdr:cNvCxnSpPr/>
      </xdr:nvCxnSpPr>
      <xdr:spPr>
        <a:xfrm>
          <a:off x="2181225" y="1933575"/>
          <a:ext cx="409575" cy="1588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12</xdr:row>
      <xdr:rowOff>0</xdr:rowOff>
    </xdr:from>
    <xdr:to>
      <xdr:col>4</xdr:col>
      <xdr:colOff>38100</xdr:colOff>
      <xdr:row>12</xdr:row>
      <xdr:rowOff>9525</xdr:rowOff>
    </xdr:to>
    <xdr:cxnSp macro="">
      <xdr:nvCxnSpPr>
        <xdr:cNvPr id="3" name="직선 화살표 연결선 2"/>
        <xdr:cNvCxnSpPr/>
      </xdr:nvCxnSpPr>
      <xdr:spPr>
        <a:xfrm>
          <a:off x="257175" y="1943100"/>
          <a:ext cx="10858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400049</xdr:colOff>
      <xdr:row>13</xdr:row>
      <xdr:rowOff>47624</xdr:rowOff>
    </xdr:from>
    <xdr:to>
      <xdr:col>15</xdr:col>
      <xdr:colOff>0</xdr:colOff>
      <xdr:row>26</xdr:row>
      <xdr:rowOff>38101</xdr:rowOff>
    </xdr:to>
    <xdr:cxnSp macro="">
      <xdr:nvCxnSpPr>
        <xdr:cNvPr id="4" name="직선 화살표 연결선 3"/>
        <xdr:cNvCxnSpPr/>
      </xdr:nvCxnSpPr>
      <xdr:spPr>
        <a:xfrm rot="16200000" flipH="1">
          <a:off x="4729161" y="3128962"/>
          <a:ext cx="1971677" cy="1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6</xdr:col>
      <xdr:colOff>228603</xdr:colOff>
      <xdr:row>13</xdr:row>
      <xdr:rowOff>133350</xdr:rowOff>
    </xdr:from>
    <xdr:to>
      <xdr:col>15</xdr:col>
      <xdr:colOff>1</xdr:colOff>
      <xdr:row>14</xdr:row>
      <xdr:rowOff>0</xdr:rowOff>
    </xdr:to>
    <xdr:cxnSp macro="">
      <xdr:nvCxnSpPr>
        <xdr:cNvPr id="5" name="직선 연결선 4"/>
        <xdr:cNvCxnSpPr/>
      </xdr:nvCxnSpPr>
      <xdr:spPr>
        <a:xfrm rot="10800000">
          <a:off x="2390778" y="2228850"/>
          <a:ext cx="3324223" cy="19050"/>
        </a:xfrm>
        <a:prstGeom prst="line">
          <a:avLst/>
        </a:prstGeom>
        <a:ln>
          <a:prstDash val="dash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199232</xdr:colOff>
      <xdr:row>11</xdr:row>
      <xdr:rowOff>134144</xdr:rowOff>
    </xdr:from>
    <xdr:to>
      <xdr:col>6</xdr:col>
      <xdr:colOff>200820</xdr:colOff>
      <xdr:row>13</xdr:row>
      <xdr:rowOff>96044</xdr:rowOff>
    </xdr:to>
    <xdr:cxnSp macro="">
      <xdr:nvCxnSpPr>
        <xdr:cNvPr id="6" name="직선 화살표 연결선 5"/>
        <xdr:cNvCxnSpPr/>
      </xdr:nvCxnSpPr>
      <xdr:spPr>
        <a:xfrm rot="5400000" flipH="1" flipV="1">
          <a:off x="2228851" y="2057400"/>
          <a:ext cx="266700" cy="1588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27</xdr:row>
      <xdr:rowOff>142874</xdr:rowOff>
    </xdr:from>
    <xdr:to>
      <xdr:col>13</xdr:col>
      <xdr:colOff>361950</xdr:colOff>
      <xdr:row>27</xdr:row>
      <xdr:rowOff>152399</xdr:rowOff>
    </xdr:to>
    <xdr:cxnSp macro="">
      <xdr:nvCxnSpPr>
        <xdr:cNvPr id="7" name="직선 화살표 연결선 6"/>
        <xdr:cNvCxnSpPr/>
      </xdr:nvCxnSpPr>
      <xdr:spPr>
        <a:xfrm rot="10800000" flipV="1">
          <a:off x="4467225" y="4371974"/>
          <a:ext cx="781050" cy="9525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38100</xdr:colOff>
      <xdr:row>27</xdr:row>
      <xdr:rowOff>142875</xdr:rowOff>
    </xdr:from>
    <xdr:to>
      <xdr:col>9</xdr:col>
      <xdr:colOff>123829</xdr:colOff>
      <xdr:row>28</xdr:row>
      <xdr:rowOff>1587</xdr:rowOff>
    </xdr:to>
    <xdr:cxnSp macro="">
      <xdr:nvCxnSpPr>
        <xdr:cNvPr id="8" name="직선 화살표 연결선 7"/>
        <xdr:cNvCxnSpPr/>
      </xdr:nvCxnSpPr>
      <xdr:spPr>
        <a:xfrm rot="10800000">
          <a:off x="3057525" y="4371975"/>
          <a:ext cx="514354" cy="11112"/>
        </a:xfrm>
        <a:prstGeom prst="straightConnector1">
          <a:avLst/>
        </a:prstGeom>
        <a:ln>
          <a:prstDash val="dash"/>
          <a:tailEnd type="arrow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12</xdr:row>
      <xdr:rowOff>0</xdr:rowOff>
    </xdr:from>
    <xdr:to>
      <xdr:col>13</xdr:col>
      <xdr:colOff>9525</xdr:colOff>
      <xdr:row>12</xdr:row>
      <xdr:rowOff>1588</xdr:rowOff>
    </xdr:to>
    <xdr:cxnSp macro="">
      <xdr:nvCxnSpPr>
        <xdr:cNvPr id="9" name="직선 화살표 연결선 8"/>
        <xdr:cNvCxnSpPr/>
      </xdr:nvCxnSpPr>
      <xdr:spPr>
        <a:xfrm>
          <a:off x="4467225" y="1943100"/>
          <a:ext cx="428625" cy="1588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409575</xdr:colOff>
      <xdr:row>11</xdr:row>
      <xdr:rowOff>142875</xdr:rowOff>
    </xdr:from>
    <xdr:to>
      <xdr:col>17</xdr:col>
      <xdr:colOff>9525</xdr:colOff>
      <xdr:row>11</xdr:row>
      <xdr:rowOff>144463</xdr:rowOff>
    </xdr:to>
    <xdr:cxnSp macro="">
      <xdr:nvCxnSpPr>
        <xdr:cNvPr id="10" name="직선 화살표 연결선 9"/>
        <xdr:cNvCxnSpPr/>
      </xdr:nvCxnSpPr>
      <xdr:spPr>
        <a:xfrm>
          <a:off x="6124575" y="1933575"/>
          <a:ext cx="457200" cy="1588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180977</xdr:colOff>
      <xdr:row>24</xdr:row>
      <xdr:rowOff>76199</xdr:rowOff>
    </xdr:from>
    <xdr:to>
      <xdr:col>10</xdr:col>
      <xdr:colOff>419100</xdr:colOff>
      <xdr:row>24</xdr:row>
      <xdr:rowOff>88108</xdr:rowOff>
    </xdr:to>
    <xdr:cxnSp macro="">
      <xdr:nvCxnSpPr>
        <xdr:cNvPr id="11" name="직선 연결선 10"/>
        <xdr:cNvCxnSpPr/>
      </xdr:nvCxnSpPr>
      <xdr:spPr>
        <a:xfrm rot="10800000" flipV="1">
          <a:off x="438152" y="3848099"/>
          <a:ext cx="3581398" cy="11909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180978</xdr:colOff>
      <xdr:row>12</xdr:row>
      <xdr:rowOff>19051</xdr:rowOff>
    </xdr:from>
    <xdr:to>
      <xdr:col>2</xdr:col>
      <xdr:colOff>1</xdr:colOff>
      <xdr:row>24</xdr:row>
      <xdr:rowOff>66675</xdr:rowOff>
    </xdr:to>
    <xdr:cxnSp macro="">
      <xdr:nvCxnSpPr>
        <xdr:cNvPr id="12" name="직선 화살표 연결선 11"/>
        <xdr:cNvCxnSpPr/>
      </xdr:nvCxnSpPr>
      <xdr:spPr>
        <a:xfrm rot="16200000" flipV="1">
          <a:off x="-495297" y="2895601"/>
          <a:ext cx="1876424" cy="9523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419100</xdr:colOff>
      <xdr:row>24</xdr:row>
      <xdr:rowOff>95252</xdr:rowOff>
    </xdr:from>
    <xdr:to>
      <xdr:col>10</xdr:col>
      <xdr:colOff>420688</xdr:colOff>
      <xdr:row>25</xdr:row>
      <xdr:rowOff>142877</xdr:rowOff>
    </xdr:to>
    <xdr:cxnSp macro="">
      <xdr:nvCxnSpPr>
        <xdr:cNvPr id="13" name="직선 연결선 12"/>
        <xdr:cNvCxnSpPr/>
      </xdr:nvCxnSpPr>
      <xdr:spPr>
        <a:xfrm rot="5400000">
          <a:off x="3920331" y="3966371"/>
          <a:ext cx="200025" cy="1588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66676</xdr:colOff>
      <xdr:row>13</xdr:row>
      <xdr:rowOff>19843</xdr:rowOff>
    </xdr:from>
    <xdr:to>
      <xdr:col>5</xdr:col>
      <xdr:colOff>67471</xdr:colOff>
      <xdr:row>15</xdr:row>
      <xdr:rowOff>142878</xdr:rowOff>
    </xdr:to>
    <xdr:cxnSp macro="">
      <xdr:nvCxnSpPr>
        <xdr:cNvPr id="14" name="직선 연결선 13"/>
        <xdr:cNvCxnSpPr/>
      </xdr:nvCxnSpPr>
      <xdr:spPr>
        <a:xfrm rot="5400000">
          <a:off x="1586706" y="2328863"/>
          <a:ext cx="427835" cy="795"/>
        </a:xfrm>
        <a:prstGeom prst="line">
          <a:avLst/>
        </a:prstGeom>
        <a:ln>
          <a:prstDash val="dash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57150</xdr:colOff>
      <xdr:row>15</xdr:row>
      <xdr:rowOff>142875</xdr:rowOff>
    </xdr:from>
    <xdr:to>
      <xdr:col>15</xdr:col>
      <xdr:colOff>0</xdr:colOff>
      <xdr:row>16</xdr:row>
      <xdr:rowOff>9525</xdr:rowOff>
    </xdr:to>
    <xdr:cxnSp macro="">
      <xdr:nvCxnSpPr>
        <xdr:cNvPr id="15" name="직선 연결선 14"/>
        <xdr:cNvCxnSpPr/>
      </xdr:nvCxnSpPr>
      <xdr:spPr>
        <a:xfrm>
          <a:off x="1790700" y="2543175"/>
          <a:ext cx="3924300" cy="19050"/>
        </a:xfrm>
        <a:prstGeom prst="line">
          <a:avLst/>
        </a:prstGeom>
        <a:ln>
          <a:prstDash val="dash"/>
          <a:tailEnd type="arrow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24</xdr:row>
      <xdr:rowOff>85726</xdr:rowOff>
    </xdr:from>
    <xdr:to>
      <xdr:col>7</xdr:col>
      <xdr:colOff>1588</xdr:colOff>
      <xdr:row>25</xdr:row>
      <xdr:rowOff>133351</xdr:rowOff>
    </xdr:to>
    <xdr:cxnSp macro="">
      <xdr:nvCxnSpPr>
        <xdr:cNvPr id="16" name="직선 연결선 15"/>
        <xdr:cNvCxnSpPr/>
      </xdr:nvCxnSpPr>
      <xdr:spPr>
        <a:xfrm rot="5400000">
          <a:off x="2491581" y="3956845"/>
          <a:ext cx="200025" cy="1588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B2:J79"/>
  <sheetViews>
    <sheetView topLeftCell="A32" workbookViewId="0">
      <selection activeCell="G49" sqref="G49"/>
    </sheetView>
  </sheetViews>
  <sheetFormatPr defaultRowHeight="16.5"/>
  <cols>
    <col min="1" max="1" width="2.625" customWidth="1"/>
    <col min="2" max="2" width="7.25" customWidth="1"/>
    <col min="3" max="3" width="7.75" customWidth="1"/>
    <col min="4" max="5" width="9.75" customWidth="1"/>
    <col min="6" max="6" width="5.75" customWidth="1"/>
    <col min="7" max="7" width="13.375" customWidth="1"/>
    <col min="9" max="9" width="10" customWidth="1"/>
  </cols>
  <sheetData>
    <row r="2" spans="2:8">
      <c r="B2" t="s">
        <v>98</v>
      </c>
    </row>
    <row r="4" spans="2:8" ht="17.25" thickBot="1">
      <c r="B4" t="s">
        <v>0</v>
      </c>
    </row>
    <row r="5" spans="2:8" ht="17.25" thickBot="1">
      <c r="B5" t="s">
        <v>6</v>
      </c>
      <c r="C5" s="133" t="s">
        <v>1</v>
      </c>
      <c r="D5" s="161">
        <v>142900</v>
      </c>
      <c r="E5" s="162">
        <f>143100-I59</f>
        <v>142920</v>
      </c>
    </row>
    <row r="6" spans="2:8" ht="17.25" thickTop="1">
      <c r="C6" s="134" t="s">
        <v>2</v>
      </c>
      <c r="D6" s="135">
        <v>196</v>
      </c>
      <c r="F6" s="183" t="s">
        <v>136</v>
      </c>
      <c r="G6" s="7"/>
      <c r="H6" s="8">
        <v>0.3</v>
      </c>
    </row>
    <row r="7" spans="2:8" ht="18">
      <c r="C7" s="136" t="s">
        <v>43</v>
      </c>
      <c r="D7" s="137">
        <v>159</v>
      </c>
      <c r="F7" s="6" t="s">
        <v>137</v>
      </c>
      <c r="G7" s="7"/>
      <c r="H7" s="8">
        <v>0.87</v>
      </c>
    </row>
    <row r="8" spans="2:8" ht="18">
      <c r="C8" s="136" t="s">
        <v>44</v>
      </c>
      <c r="D8" s="137">
        <f>D7*1.7</f>
        <v>270.3</v>
      </c>
    </row>
    <row r="9" spans="2:8">
      <c r="C9" s="136" t="s">
        <v>3</v>
      </c>
      <c r="D9" s="137">
        <v>188</v>
      </c>
    </row>
    <row r="10" spans="2:8">
      <c r="C10" s="136" t="s">
        <v>4</v>
      </c>
      <c r="D10" s="138">
        <v>41.9</v>
      </c>
      <c r="G10" s="182"/>
    </row>
    <row r="11" spans="2:8" ht="17.25" thickBot="1">
      <c r="C11" s="139" t="s">
        <v>5</v>
      </c>
      <c r="D11" s="140">
        <v>6</v>
      </c>
    </row>
    <row r="13" spans="2:8">
      <c r="B13" t="s">
        <v>7</v>
      </c>
    </row>
    <row r="14" spans="2:8" ht="17.25" thickBot="1">
      <c r="B14" t="s">
        <v>9</v>
      </c>
      <c r="D14" t="s">
        <v>10</v>
      </c>
    </row>
    <row r="15" spans="2:8">
      <c r="B15" s="49" t="s">
        <v>47</v>
      </c>
      <c r="C15" s="141" t="s">
        <v>2</v>
      </c>
      <c r="D15" s="142">
        <v>0.3</v>
      </c>
    </row>
    <row r="16" spans="2:8" ht="18">
      <c r="C16" s="136" t="s">
        <v>43</v>
      </c>
      <c r="D16" s="143">
        <v>0.3</v>
      </c>
    </row>
    <row r="17" spans="2:10">
      <c r="C17" s="136" t="s">
        <v>3</v>
      </c>
      <c r="D17" s="143">
        <v>0.5</v>
      </c>
      <c r="F17" s="10" t="s">
        <v>13</v>
      </c>
      <c r="G17" s="11">
        <v>0.4</v>
      </c>
    </row>
    <row r="18" spans="2:10">
      <c r="C18" s="136" t="s">
        <v>4</v>
      </c>
      <c r="D18" s="143">
        <v>0.15</v>
      </c>
      <c r="F18" s="12" t="s">
        <v>14</v>
      </c>
      <c r="G18" s="13">
        <v>0.4</v>
      </c>
    </row>
    <row r="19" spans="2:10">
      <c r="C19" s="134" t="s">
        <v>5</v>
      </c>
      <c r="D19" s="144">
        <v>0.15</v>
      </c>
      <c r="F19" s="14" t="s">
        <v>15</v>
      </c>
      <c r="G19" s="15">
        <v>0.4</v>
      </c>
      <c r="J19" s="29"/>
    </row>
    <row r="20" spans="2:10" ht="17.25" thickBot="1">
      <c r="C20" s="159" t="s">
        <v>12</v>
      </c>
      <c r="D20" s="145">
        <v>0.03</v>
      </c>
    </row>
    <row r="22" spans="2:10">
      <c r="B22" t="s">
        <v>16</v>
      </c>
    </row>
    <row r="23" spans="2:10" ht="17.25" thickBot="1"/>
    <row r="24" spans="2:10">
      <c r="B24" s="1" t="s">
        <v>17</v>
      </c>
      <c r="C24" s="23"/>
      <c r="D24" s="23"/>
      <c r="E24" s="30">
        <v>0.45</v>
      </c>
      <c r="F24" s="1" t="s">
        <v>33</v>
      </c>
      <c r="G24" s="23"/>
      <c r="H24" s="23"/>
      <c r="I24" s="35">
        <v>10</v>
      </c>
    </row>
    <row r="25" spans="2:10">
      <c r="B25" s="9" t="s">
        <v>18</v>
      </c>
      <c r="C25" s="19"/>
      <c r="D25" s="19"/>
      <c r="E25" s="31">
        <v>1</v>
      </c>
      <c r="F25" s="9" t="s">
        <v>34</v>
      </c>
      <c r="G25" s="19"/>
      <c r="H25" s="19"/>
      <c r="I25" s="36">
        <v>2500</v>
      </c>
    </row>
    <row r="26" spans="2:10">
      <c r="B26" s="9" t="s">
        <v>19</v>
      </c>
      <c r="C26" s="19"/>
      <c r="D26" s="19"/>
      <c r="E26" s="32"/>
      <c r="F26" s="9" t="s">
        <v>35</v>
      </c>
      <c r="G26" s="19"/>
      <c r="H26" s="19"/>
      <c r="I26" s="37">
        <v>0.8</v>
      </c>
    </row>
    <row r="27" spans="2:10">
      <c r="B27" s="9" t="s">
        <v>20</v>
      </c>
      <c r="C27" s="19"/>
      <c r="D27" s="19"/>
      <c r="E27" s="32"/>
      <c r="F27" s="9" t="s">
        <v>36</v>
      </c>
      <c r="G27" s="19"/>
      <c r="H27" s="19"/>
      <c r="I27" s="38">
        <v>393</v>
      </c>
    </row>
    <row r="28" spans="2:10">
      <c r="B28" s="9" t="s">
        <v>21</v>
      </c>
      <c r="C28" s="19"/>
      <c r="D28" s="19"/>
      <c r="E28" s="32"/>
      <c r="F28" s="9" t="s">
        <v>37</v>
      </c>
      <c r="G28" s="19"/>
      <c r="H28" s="19"/>
      <c r="I28" s="38">
        <v>325</v>
      </c>
    </row>
    <row r="29" spans="2:10">
      <c r="B29" s="9" t="s">
        <v>22</v>
      </c>
      <c r="C29" s="19"/>
      <c r="D29" s="19"/>
      <c r="E29" s="32"/>
      <c r="F29" s="9" t="s">
        <v>38</v>
      </c>
      <c r="G29" s="19"/>
      <c r="H29" s="19"/>
      <c r="I29" s="38">
        <v>68</v>
      </c>
    </row>
    <row r="30" spans="2:10">
      <c r="B30" s="9" t="s">
        <v>23</v>
      </c>
      <c r="C30" s="19"/>
      <c r="D30" s="19"/>
      <c r="E30" s="32"/>
      <c r="F30" s="9" t="s">
        <v>39</v>
      </c>
      <c r="G30" s="19"/>
      <c r="H30" s="19"/>
      <c r="I30" s="5">
        <v>1</v>
      </c>
    </row>
    <row r="31" spans="2:10">
      <c r="B31" s="9" t="s">
        <v>24</v>
      </c>
      <c r="C31" s="19"/>
      <c r="D31" s="19"/>
      <c r="E31" s="32"/>
      <c r="F31" s="9" t="s">
        <v>40</v>
      </c>
      <c r="G31" s="19"/>
      <c r="H31" s="19"/>
      <c r="I31" s="38"/>
    </row>
    <row r="32" spans="2:10">
      <c r="B32" s="9" t="s">
        <v>25</v>
      </c>
      <c r="C32" s="19"/>
      <c r="D32" s="19"/>
      <c r="E32" s="33">
        <v>7</v>
      </c>
      <c r="F32" s="9" t="s">
        <v>41</v>
      </c>
      <c r="G32" s="19"/>
      <c r="H32" s="19"/>
      <c r="I32" s="38"/>
    </row>
    <row r="33" spans="2:9">
      <c r="B33" s="9" t="s">
        <v>26</v>
      </c>
      <c r="C33" s="19"/>
      <c r="D33" s="19"/>
      <c r="E33" s="31">
        <v>0.1</v>
      </c>
      <c r="F33" s="9"/>
      <c r="G33" s="19"/>
      <c r="H33" s="19"/>
      <c r="I33" s="28"/>
    </row>
    <row r="34" spans="2:9">
      <c r="B34" s="9" t="s">
        <v>115</v>
      </c>
      <c r="C34" s="19"/>
      <c r="D34" s="19"/>
      <c r="E34" s="31">
        <v>0.06</v>
      </c>
      <c r="F34" s="9"/>
      <c r="G34" s="19"/>
      <c r="H34" s="19"/>
      <c r="I34" s="28"/>
    </row>
    <row r="35" spans="2:9" ht="17.25" thickBot="1">
      <c r="B35" s="3" t="s">
        <v>27</v>
      </c>
      <c r="C35" s="25"/>
      <c r="D35" s="25"/>
      <c r="E35" s="34"/>
      <c r="F35" s="3"/>
      <c r="G35" s="25"/>
      <c r="H35" s="25"/>
      <c r="I35" s="27"/>
    </row>
    <row r="37" spans="2:9">
      <c r="B37" s="10" t="s">
        <v>28</v>
      </c>
      <c r="C37" s="16"/>
      <c r="D37" s="16"/>
      <c r="E37" s="16"/>
      <c r="F37" s="16"/>
      <c r="G37" s="39">
        <v>25.5</v>
      </c>
    </row>
    <row r="38" spans="2:9">
      <c r="B38" s="42" t="s">
        <v>29</v>
      </c>
      <c r="C38" s="43"/>
      <c r="D38" s="44"/>
      <c r="E38" s="44"/>
      <c r="F38" s="44"/>
      <c r="G38" s="48">
        <v>19</v>
      </c>
    </row>
    <row r="39" spans="2:9">
      <c r="B39" s="45" t="s">
        <v>30</v>
      </c>
      <c r="C39" s="46"/>
      <c r="D39" s="46"/>
      <c r="E39" s="46"/>
      <c r="F39" s="46"/>
      <c r="G39" s="47"/>
    </row>
    <row r="40" spans="2:9">
      <c r="B40" s="12" t="s">
        <v>31</v>
      </c>
      <c r="C40" s="17"/>
      <c r="D40" s="17"/>
      <c r="E40" s="17"/>
      <c r="F40" s="17"/>
      <c r="G40" s="41">
        <v>7</v>
      </c>
    </row>
    <row r="41" spans="2:9">
      <c r="B41" s="14" t="s">
        <v>32</v>
      </c>
      <c r="C41" s="18"/>
      <c r="D41" s="20"/>
      <c r="E41" s="22"/>
      <c r="F41" s="21"/>
      <c r="G41" s="40">
        <v>0.9</v>
      </c>
    </row>
    <row r="45" spans="2:9">
      <c r="B45" t="s">
        <v>42</v>
      </c>
      <c r="E45" s="29" t="s">
        <v>67</v>
      </c>
    </row>
    <row r="46" spans="2:9" ht="17.25" thickBot="1">
      <c r="B46" t="s">
        <v>8</v>
      </c>
      <c r="D46" t="s">
        <v>10</v>
      </c>
      <c r="E46" s="29" t="s">
        <v>8</v>
      </c>
      <c r="G46" t="s">
        <v>68</v>
      </c>
    </row>
    <row r="47" spans="2:9">
      <c r="B47" s="49" t="s">
        <v>47</v>
      </c>
      <c r="C47" s="141" t="s">
        <v>2</v>
      </c>
      <c r="D47" s="142">
        <v>0.94299999999999995</v>
      </c>
      <c r="E47" s="29" t="s">
        <v>11</v>
      </c>
      <c r="F47" s="141" t="s">
        <v>3</v>
      </c>
      <c r="G47" s="146">
        <v>0.95</v>
      </c>
    </row>
    <row r="48" spans="2:9" ht="18">
      <c r="C48" s="136" t="s">
        <v>43</v>
      </c>
      <c r="D48" s="143">
        <v>0.9</v>
      </c>
      <c r="F48" s="136" t="s">
        <v>12</v>
      </c>
      <c r="G48" s="147">
        <v>0.22</v>
      </c>
    </row>
    <row r="49" spans="2:9">
      <c r="C49" s="136" t="s">
        <v>3</v>
      </c>
      <c r="D49" s="143">
        <v>0.94</v>
      </c>
      <c r="E49" s="29" t="s">
        <v>48</v>
      </c>
      <c r="F49" s="4" t="s">
        <v>2</v>
      </c>
      <c r="G49" s="36">
        <v>1000</v>
      </c>
    </row>
    <row r="50" spans="2:9" ht="17.25" thickBot="1">
      <c r="C50" s="136" t="s">
        <v>4</v>
      </c>
      <c r="D50" s="143">
        <v>0.85</v>
      </c>
      <c r="F50" s="73" t="s">
        <v>50</v>
      </c>
      <c r="G50" s="74">
        <v>3000</v>
      </c>
    </row>
    <row r="51" spans="2:9">
      <c r="C51" s="134" t="s">
        <v>5</v>
      </c>
      <c r="D51" s="144">
        <v>0.9</v>
      </c>
    </row>
    <row r="52" spans="2:9" ht="17.25" thickBot="1">
      <c r="C52" s="139" t="s">
        <v>12</v>
      </c>
      <c r="D52" s="145">
        <v>8.0000000000000002E-3</v>
      </c>
    </row>
    <row r="54" spans="2:9">
      <c r="B54" t="s">
        <v>45</v>
      </c>
      <c r="E54" t="s">
        <v>69</v>
      </c>
      <c r="I54" s="71">
        <v>0.6</v>
      </c>
    </row>
    <row r="55" spans="2:9" ht="17.25" thickBot="1">
      <c r="B55" t="s">
        <v>8</v>
      </c>
      <c r="D55" t="s">
        <v>46</v>
      </c>
      <c r="E55" s="70"/>
      <c r="F55" t="s">
        <v>70</v>
      </c>
      <c r="I55" s="71">
        <v>0.5</v>
      </c>
    </row>
    <row r="56" spans="2:9">
      <c r="B56" s="49" t="s">
        <v>11</v>
      </c>
      <c r="C56" s="148" t="s">
        <v>3</v>
      </c>
      <c r="D56" s="149">
        <v>0.85</v>
      </c>
    </row>
    <row r="57" spans="2:9">
      <c r="C57" s="150" t="s">
        <v>12</v>
      </c>
      <c r="D57" s="151">
        <v>3.5000000000000003E-2</v>
      </c>
    </row>
    <row r="58" spans="2:9">
      <c r="B58" t="s">
        <v>48</v>
      </c>
      <c r="C58" s="2" t="s">
        <v>49</v>
      </c>
      <c r="D58" s="50">
        <v>500</v>
      </c>
      <c r="E58" s="70" t="s">
        <v>71</v>
      </c>
    </row>
    <row r="59" spans="2:9">
      <c r="C59" s="2" t="s">
        <v>2</v>
      </c>
      <c r="D59" s="50">
        <v>1000</v>
      </c>
      <c r="G59" s="152" t="s">
        <v>72</v>
      </c>
      <c r="H59" s="152"/>
      <c r="I59" s="153">
        <v>180</v>
      </c>
    </row>
    <row r="60" spans="2:9" ht="17.25" thickBot="1">
      <c r="C60" s="3" t="s">
        <v>50</v>
      </c>
      <c r="D60" s="51">
        <v>1400</v>
      </c>
      <c r="G60" s="152" t="s">
        <v>73</v>
      </c>
      <c r="H60" s="152" t="s">
        <v>2</v>
      </c>
      <c r="I60" s="160">
        <v>3763</v>
      </c>
    </row>
    <row r="61" spans="2:9">
      <c r="G61" s="152"/>
      <c r="H61" s="152" t="s">
        <v>50</v>
      </c>
      <c r="I61" s="160">
        <v>3175</v>
      </c>
    </row>
    <row r="62" spans="2:9">
      <c r="B62" t="s">
        <v>58</v>
      </c>
      <c r="G62" s="152"/>
      <c r="H62" s="152" t="s">
        <v>3</v>
      </c>
      <c r="I62" s="160">
        <v>15921</v>
      </c>
    </row>
    <row r="63" spans="2:9" ht="17.25" thickBot="1">
      <c r="B63" t="s">
        <v>8</v>
      </c>
      <c r="C63" t="s">
        <v>57</v>
      </c>
      <c r="G63" s="152"/>
      <c r="H63" s="152" t="s">
        <v>4</v>
      </c>
      <c r="I63" s="160">
        <v>1374</v>
      </c>
    </row>
    <row r="64" spans="2:9">
      <c r="B64" s="54" t="s">
        <v>52</v>
      </c>
      <c r="C64" s="55"/>
      <c r="D64" s="62">
        <v>0.6</v>
      </c>
      <c r="G64" s="152"/>
      <c r="H64" s="152" t="s">
        <v>5</v>
      </c>
      <c r="I64" s="160">
        <v>105</v>
      </c>
    </row>
    <row r="65" spans="2:5">
      <c r="B65" s="64" t="s">
        <v>53</v>
      </c>
      <c r="C65" s="65"/>
      <c r="D65" s="66">
        <v>0.5</v>
      </c>
    </row>
    <row r="66" spans="2:5">
      <c r="B66" s="64" t="s">
        <v>54</v>
      </c>
      <c r="C66" s="65"/>
      <c r="D66" s="66">
        <v>0.97</v>
      </c>
    </row>
    <row r="67" spans="2:5">
      <c r="B67" s="67" t="s">
        <v>55</v>
      </c>
      <c r="C67" s="68"/>
      <c r="D67" s="69">
        <v>0.04</v>
      </c>
    </row>
    <row r="68" spans="2:5" ht="17.25" thickBot="1">
      <c r="B68" s="60" t="s">
        <v>56</v>
      </c>
      <c r="C68" s="61"/>
      <c r="D68" s="63">
        <v>0.05</v>
      </c>
    </row>
    <row r="70" spans="2:5">
      <c r="B70" t="s">
        <v>59</v>
      </c>
    </row>
    <row r="71" spans="2:5" ht="17.25" thickBot="1">
      <c r="B71" t="s">
        <v>60</v>
      </c>
      <c r="C71" t="s">
        <v>61</v>
      </c>
      <c r="D71" t="s">
        <v>62</v>
      </c>
    </row>
    <row r="72" spans="2:5">
      <c r="B72" s="1" t="s">
        <v>11</v>
      </c>
      <c r="C72" s="23" t="s">
        <v>3</v>
      </c>
      <c r="D72" s="23"/>
      <c r="E72" s="72">
        <v>0.95</v>
      </c>
    </row>
    <row r="73" spans="2:5">
      <c r="B73" s="9"/>
      <c r="C73" s="19" t="s">
        <v>51</v>
      </c>
      <c r="D73" s="19"/>
      <c r="E73" s="37">
        <v>0.96</v>
      </c>
    </row>
    <row r="74" spans="2:5">
      <c r="B74" s="9" t="s">
        <v>48</v>
      </c>
      <c r="C74" s="19" t="s">
        <v>2</v>
      </c>
      <c r="D74" s="19"/>
      <c r="E74" s="36">
        <v>1800</v>
      </c>
    </row>
    <row r="75" spans="2:5">
      <c r="B75" s="9"/>
      <c r="C75" s="19" t="s">
        <v>63</v>
      </c>
      <c r="D75" s="19"/>
      <c r="E75" s="37">
        <v>0.6</v>
      </c>
    </row>
    <row r="76" spans="2:5">
      <c r="B76" s="9"/>
      <c r="C76" s="19" t="s">
        <v>50</v>
      </c>
      <c r="D76" s="19"/>
      <c r="E76" s="36">
        <v>4500</v>
      </c>
    </row>
    <row r="77" spans="2:5">
      <c r="B77" s="9" t="s">
        <v>64</v>
      </c>
      <c r="C77" s="19"/>
      <c r="D77" s="19"/>
      <c r="E77" s="37">
        <v>0.05</v>
      </c>
    </row>
    <row r="78" spans="2:5">
      <c r="B78" s="9" t="s">
        <v>65</v>
      </c>
      <c r="C78" s="19"/>
      <c r="D78" s="19"/>
      <c r="E78" s="37">
        <v>0.4</v>
      </c>
    </row>
    <row r="79" spans="2:5" ht="17.25" thickBot="1">
      <c r="B79" s="3" t="s">
        <v>66</v>
      </c>
      <c r="C79" s="25"/>
      <c r="D79" s="25"/>
      <c r="E79" s="26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5"/>
  <dimension ref="A1:AD59"/>
  <sheetViews>
    <sheetView view="pageBreakPreview" zoomScaleSheetLayoutView="100" workbookViewId="0">
      <selection activeCell="D32" sqref="D32"/>
    </sheetView>
  </sheetViews>
  <sheetFormatPr defaultRowHeight="16.5"/>
  <cols>
    <col min="1" max="1" width="3.375" customWidth="1"/>
    <col min="2" max="2" width="2.5" customWidth="1"/>
    <col min="3" max="9" width="5.625" style="49" customWidth="1"/>
    <col min="10" max="10" width="2" style="49" customWidth="1"/>
    <col min="11" max="14" width="5.625" style="49" customWidth="1"/>
    <col min="15" max="15" width="5.25" style="49" customWidth="1"/>
    <col min="16" max="23" width="5.625" style="49" customWidth="1"/>
    <col min="24" max="24" width="2.125" style="49" customWidth="1"/>
    <col min="25" max="29" width="5.625" style="49" customWidth="1"/>
  </cols>
  <sheetData>
    <row r="1" spans="1:30" ht="16.5" customHeight="1">
      <c r="A1" s="1"/>
      <c r="B1" s="23"/>
      <c r="C1" s="197" t="s">
        <v>147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190"/>
      <c r="X1" s="76"/>
    </row>
    <row r="2" spans="1:30" ht="16.5" customHeight="1">
      <c r="A2" s="2"/>
      <c r="B2" s="24"/>
      <c r="C2" s="198" t="s">
        <v>148</v>
      </c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 t="s">
        <v>94</v>
      </c>
      <c r="V2" s="76"/>
      <c r="W2" s="191"/>
      <c r="X2" s="76"/>
    </row>
    <row r="3" spans="1:30" ht="12" customHeight="1">
      <c r="A3" s="2"/>
      <c r="B3" s="24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191"/>
      <c r="X3" s="76"/>
    </row>
    <row r="4" spans="1:30" s="52" customFormat="1" ht="12" customHeight="1" thickBot="1">
      <c r="A4" s="56"/>
      <c r="B4" s="57"/>
      <c r="C4" s="77" t="s">
        <v>99</v>
      </c>
      <c r="D4" s="101"/>
      <c r="E4" s="102"/>
      <c r="F4" s="57"/>
      <c r="G4" s="103" t="s">
        <v>76</v>
      </c>
      <c r="H4" s="104"/>
      <c r="I4" s="105"/>
      <c r="J4" s="124"/>
      <c r="K4" s="109" t="s">
        <v>114</v>
      </c>
      <c r="L4" s="110"/>
      <c r="M4" s="111"/>
      <c r="N4" s="59"/>
      <c r="O4" s="103" t="s">
        <v>141</v>
      </c>
      <c r="P4" s="131"/>
      <c r="Q4" s="102"/>
      <c r="R4" s="57"/>
      <c r="S4" s="57"/>
      <c r="T4" s="103" t="s">
        <v>79</v>
      </c>
      <c r="U4" s="104"/>
      <c r="V4" s="105"/>
      <c r="W4" s="192"/>
      <c r="X4" s="57"/>
      <c r="Z4" s="59"/>
      <c r="AA4" s="113" t="s">
        <v>92</v>
      </c>
      <c r="AB4" s="113" t="s">
        <v>91</v>
      </c>
    </row>
    <row r="5" spans="1:30" s="53" customFormat="1" ht="12" customHeight="1" thickTop="1">
      <c r="A5" s="58"/>
      <c r="B5" s="59"/>
      <c r="C5" s="78" t="s">
        <v>74</v>
      </c>
      <c r="D5" s="199">
        <v>40000</v>
      </c>
      <c r="E5" s="200"/>
      <c r="F5" s="123"/>
      <c r="G5" s="90" t="s">
        <v>74</v>
      </c>
      <c r="H5" s="199">
        <f>D5+D19</f>
        <v>40375.660003780962</v>
      </c>
      <c r="I5" s="200"/>
      <c r="J5" s="125"/>
      <c r="K5" s="79" t="s">
        <v>74</v>
      </c>
      <c r="L5" s="199">
        <f>L8/M8*10^3</f>
        <v>158.81583209408223</v>
      </c>
      <c r="M5" s="200"/>
      <c r="N5" s="116" t="s">
        <v>77</v>
      </c>
      <c r="O5" s="130" t="s">
        <v>74</v>
      </c>
      <c r="P5" s="199">
        <f t="shared" ref="P5:P10" si="0">H5-L5</f>
        <v>40216.844171686877</v>
      </c>
      <c r="Q5" s="200"/>
      <c r="R5" s="116" t="s">
        <v>77</v>
      </c>
      <c r="S5" s="59"/>
      <c r="T5" s="90" t="s">
        <v>74</v>
      </c>
      <c r="U5" s="199">
        <f ca="1">P5-Q19</f>
        <v>39975.422208995049</v>
      </c>
      <c r="V5" s="200"/>
      <c r="W5" s="100"/>
      <c r="X5" s="59"/>
      <c r="Z5" s="113" t="s">
        <v>84</v>
      </c>
      <c r="AA5" s="157">
        <f ca="1">P32-L32</f>
        <v>237.6242786515223</v>
      </c>
      <c r="AB5" s="157">
        <v>237.62356325030223</v>
      </c>
      <c r="AD5" s="132">
        <f ca="1">AA5-AB5</f>
        <v>7.154012200771831E-4</v>
      </c>
    </row>
    <row r="6" spans="1:30" s="53" customFormat="1" ht="12" customHeight="1">
      <c r="A6" s="58"/>
      <c r="B6" s="59"/>
      <c r="C6" s="80" t="s">
        <v>2</v>
      </c>
      <c r="D6" s="91">
        <f>$D$5*E6/10^3</f>
        <v>8720</v>
      </c>
      <c r="E6" s="97">
        <v>218</v>
      </c>
      <c r="F6" s="123"/>
      <c r="G6" s="93" t="s">
        <v>2</v>
      </c>
      <c r="H6" s="91">
        <f>$H$5*I6/10^3</f>
        <v>9491.1895747820072</v>
      </c>
      <c r="I6" s="97">
        <f>($D$5*E6+$D$19*E20)/$H$5</f>
        <v>235.07206009494848</v>
      </c>
      <c r="J6" s="126"/>
      <c r="K6" s="80" t="s">
        <v>2</v>
      </c>
      <c r="L6" s="91">
        <f>H6*N6</f>
        <v>2847.3568724346019</v>
      </c>
      <c r="M6" s="82">
        <f>L6/$L$5*10^3</f>
        <v>17928.671435904653</v>
      </c>
      <c r="N6" s="117">
        <v>0.3</v>
      </c>
      <c r="O6" s="93" t="s">
        <v>2</v>
      </c>
      <c r="P6" s="91">
        <f t="shared" si="0"/>
        <v>6643.8327023474048</v>
      </c>
      <c r="Q6" s="97">
        <f>P6/$P$5*10^3</f>
        <v>165.20024977555897</v>
      </c>
      <c r="R6" s="120">
        <f ca="1">1-U6/P6</f>
        <v>0.95186462513437953</v>
      </c>
      <c r="S6" s="59"/>
      <c r="T6" s="93" t="s">
        <v>2</v>
      </c>
      <c r="U6" s="91">
        <f ca="1">$U$5*V6/10^3</f>
        <v>319.80337767196039</v>
      </c>
      <c r="V6" s="97">
        <v>8</v>
      </c>
      <c r="W6" s="100"/>
      <c r="X6" s="59"/>
      <c r="Z6" s="113" t="s">
        <v>86</v>
      </c>
      <c r="AA6" s="157">
        <f ca="1">L32-H32</f>
        <v>138.03670062771184</v>
      </c>
      <c r="AB6" s="157">
        <v>138.03644053065889</v>
      </c>
      <c r="AD6" s="132">
        <f t="shared" ref="AD6:AD11" ca="1" si="1">AA6-AB6</f>
        <v>2.6009705294427476E-4</v>
      </c>
    </row>
    <row r="7" spans="1:30" s="53" customFormat="1" ht="12" customHeight="1">
      <c r="A7" s="58"/>
      <c r="B7" s="59"/>
      <c r="C7" s="80" t="s">
        <v>50</v>
      </c>
      <c r="D7" s="91">
        <f>$D$5*E7/10^3</f>
        <v>6920</v>
      </c>
      <c r="E7" s="97">
        <v>173</v>
      </c>
      <c r="F7" s="123"/>
      <c r="G7" s="93" t="s">
        <v>50</v>
      </c>
      <c r="H7" s="91">
        <f>$H$5*I7/10^3</f>
        <v>7620.3260377015949</v>
      </c>
      <c r="I7" s="97">
        <f>($D$5*E7+$D$19*E21)/$H$5</f>
        <v>188.73564016013589</v>
      </c>
      <c r="J7" s="126"/>
      <c r="K7" s="80" t="s">
        <v>50</v>
      </c>
      <c r="L7" s="91">
        <f>H7*N7</f>
        <v>2286.0978113104784</v>
      </c>
      <c r="M7" s="82">
        <f>L7/$L$5*10^3</f>
        <v>14394.646813021753</v>
      </c>
      <c r="N7" s="118">
        <v>0.3</v>
      </c>
      <c r="O7" s="93" t="s">
        <v>50</v>
      </c>
      <c r="P7" s="91">
        <f t="shared" si="0"/>
        <v>5334.2282263911166</v>
      </c>
      <c r="Q7" s="97">
        <f>P7/$P$5*10^3</f>
        <v>132.63666844715962</v>
      </c>
      <c r="R7" s="120">
        <f ca="1">1-U7/P7</f>
        <v>0.85761145010385698</v>
      </c>
      <c r="S7" s="59"/>
      <c r="T7" s="93" t="s">
        <v>50</v>
      </c>
      <c r="U7" s="91">
        <f ca="1">$U$5*V7/10^3</f>
        <v>759.53302197090591</v>
      </c>
      <c r="V7" s="97">
        <v>19</v>
      </c>
      <c r="W7" s="100"/>
      <c r="X7" s="59"/>
      <c r="Z7" s="113" t="s">
        <v>93</v>
      </c>
      <c r="AA7" s="158">
        <f ca="1">D20/$D$19*10^3</f>
        <v>2052.893796808276</v>
      </c>
      <c r="AB7" s="158">
        <v>2052.8924213919504</v>
      </c>
      <c r="AD7" s="132">
        <f t="shared" ca="1" si="1"/>
        <v>1.3754163255725871E-3</v>
      </c>
    </row>
    <row r="8" spans="1:30" s="53" customFormat="1" ht="12" customHeight="1">
      <c r="A8" s="58"/>
      <c r="B8" s="59"/>
      <c r="C8" s="80" t="s">
        <v>3</v>
      </c>
      <c r="D8" s="91">
        <f>$D$5*E8/10^3</f>
        <v>8240</v>
      </c>
      <c r="E8" s="97">
        <v>206</v>
      </c>
      <c r="F8" s="123"/>
      <c r="G8" s="93" t="s">
        <v>3</v>
      </c>
      <c r="H8" s="91">
        <f>$H$5*I8/10^3</f>
        <v>9528.9499256449344</v>
      </c>
      <c r="I8" s="97">
        <f>($D$5*E8+$D$19*E22)/$H$5</f>
        <v>236.00728569520845</v>
      </c>
      <c r="J8" s="126"/>
      <c r="K8" s="80" t="s">
        <v>3</v>
      </c>
      <c r="L8" s="91">
        <f>H8*N8</f>
        <v>4764.4749628224672</v>
      </c>
      <c r="M8" s="82">
        <f>참조!D20*10^6</f>
        <v>30000</v>
      </c>
      <c r="N8" s="118">
        <v>0.5</v>
      </c>
      <c r="O8" s="93" t="s">
        <v>3</v>
      </c>
      <c r="P8" s="91">
        <f t="shared" si="0"/>
        <v>4764.4749628224672</v>
      </c>
      <c r="Q8" s="97">
        <f>P8/$P$5*10^3</f>
        <v>118.46963780854571</v>
      </c>
      <c r="R8" s="120">
        <f ca="1">1-U8/P8</f>
        <v>0.95804844970230085</v>
      </c>
      <c r="S8" s="59"/>
      <c r="T8" s="93" t="s">
        <v>3</v>
      </c>
      <c r="U8" s="91">
        <f ca="1">$U$5*V8/10^3</f>
        <v>199.87711104497524</v>
      </c>
      <c r="V8" s="97">
        <v>5</v>
      </c>
      <c r="W8" s="100"/>
      <c r="X8" s="59"/>
      <c r="Z8" s="59"/>
      <c r="AA8" s="158">
        <f ca="1">D21/$D$19*10^3</f>
        <v>1864.2567678495816</v>
      </c>
      <c r="AB8" s="158">
        <v>1864.2549929535189</v>
      </c>
      <c r="AD8" s="132">
        <f t="shared" ca="1" si="1"/>
        <v>1.7748960626704502E-3</v>
      </c>
    </row>
    <row r="9" spans="1:30" s="53" customFormat="1" ht="12" customHeight="1">
      <c r="A9" s="58"/>
      <c r="B9" s="59"/>
      <c r="C9" s="80" t="s">
        <v>4</v>
      </c>
      <c r="D9" s="91">
        <f>$D$5*E9/10^3</f>
        <v>1752</v>
      </c>
      <c r="E9" s="98">
        <v>43.8</v>
      </c>
      <c r="F9" s="123"/>
      <c r="G9" s="93" t="s">
        <v>4</v>
      </c>
      <c r="H9" s="91">
        <f>$H$5*I9/10^3</f>
        <v>1842.3775607832827</v>
      </c>
      <c r="I9" s="97">
        <f>($D$5*E9+$D$19*E23)/$H$5</f>
        <v>45.630896451246961</v>
      </c>
      <c r="J9" s="127"/>
      <c r="K9" s="80" t="s">
        <v>4</v>
      </c>
      <c r="L9" s="91">
        <f>H9*N9</f>
        <v>276.35663411749238</v>
      </c>
      <c r="M9" s="114">
        <f>L9/$L$5*10^3</f>
        <v>1740.1075854564624</v>
      </c>
      <c r="N9" s="118">
        <v>0.15</v>
      </c>
      <c r="O9" s="93" t="s">
        <v>4</v>
      </c>
      <c r="P9" s="91">
        <f t="shared" si="0"/>
        <v>1566.0209266657903</v>
      </c>
      <c r="Q9" s="98">
        <f>P9/$P$5*10^3</f>
        <v>38.93942846386458</v>
      </c>
      <c r="R9" s="120">
        <f ca="1">1-U9/P9</f>
        <v>0.79578601267298987</v>
      </c>
      <c r="S9" s="59"/>
      <c r="T9" s="93" t="s">
        <v>4</v>
      </c>
      <c r="U9" s="91">
        <f ca="1">$U$5*V9/10^3</f>
        <v>319.80337767196039</v>
      </c>
      <c r="V9" s="98">
        <v>8</v>
      </c>
      <c r="W9" s="100"/>
      <c r="X9" s="59"/>
      <c r="Z9" s="59"/>
      <c r="AA9" s="158">
        <f ca="1">D22/$D$19*10^3</f>
        <v>3431.1644569973851</v>
      </c>
      <c r="AB9" s="158">
        <v>3431.1609238988667</v>
      </c>
      <c r="AD9" s="132">
        <f t="shared" ca="1" si="1"/>
        <v>3.5330985183463781E-3</v>
      </c>
    </row>
    <row r="10" spans="1:30" s="53" customFormat="1" ht="12" customHeight="1">
      <c r="A10" s="58"/>
      <c r="B10" s="59"/>
      <c r="C10" s="83" t="s">
        <v>5</v>
      </c>
      <c r="D10" s="94">
        <f>$D$5*E10/10^3</f>
        <v>256</v>
      </c>
      <c r="E10" s="99">
        <v>6.4</v>
      </c>
      <c r="F10" s="123"/>
      <c r="G10" s="96" t="s">
        <v>5</v>
      </c>
      <c r="H10" s="94">
        <f>$H$5*I10/10^3</f>
        <v>310.35697902907418</v>
      </c>
      <c r="I10" s="122">
        <f>($D$5*E10+$D$19*E24)/$H$5</f>
        <v>7.6867345078696161</v>
      </c>
      <c r="J10" s="127"/>
      <c r="K10" s="83" t="s">
        <v>5</v>
      </c>
      <c r="L10" s="94">
        <f>H10*N10</f>
        <v>46.553546854361123</v>
      </c>
      <c r="M10" s="115">
        <f>L10/L5*10^3</f>
        <v>293.12913102254743</v>
      </c>
      <c r="N10" s="119">
        <v>0.15</v>
      </c>
      <c r="O10" s="96" t="s">
        <v>5</v>
      </c>
      <c r="P10" s="94">
        <f t="shared" si="0"/>
        <v>263.80343217471307</v>
      </c>
      <c r="Q10" s="99">
        <f>P10/$P$5*10^3</f>
        <v>6.5595259301930442</v>
      </c>
      <c r="R10" s="121">
        <f ca="1">1-U10/P10</f>
        <v>0.89392558195465799</v>
      </c>
      <c r="S10" s="59"/>
      <c r="T10" s="96" t="s">
        <v>5</v>
      </c>
      <c r="U10" s="94">
        <f ca="1">$U$5*V10/10^3</f>
        <v>27.982795546296533</v>
      </c>
      <c r="V10" s="99">
        <v>0.7</v>
      </c>
      <c r="W10" s="100"/>
      <c r="X10" s="59"/>
      <c r="Z10" s="59"/>
      <c r="AA10" s="158">
        <f ca="1">D23/$D$19*10^3</f>
        <v>240.58359530565224</v>
      </c>
      <c r="AB10" s="158">
        <v>240.58339954652115</v>
      </c>
      <c r="AD10" s="132">
        <f t="shared" ca="1" si="1"/>
        <v>1.9575913108837995E-4</v>
      </c>
    </row>
    <row r="11" spans="1:30" s="53" customFormat="1" ht="12" customHeight="1" thickBot="1">
      <c r="A11" s="58"/>
      <c r="B11" s="59"/>
      <c r="C11" s="59"/>
      <c r="D11" s="123"/>
      <c r="E11" s="128"/>
      <c r="F11" s="123"/>
      <c r="G11" s="123"/>
      <c r="H11" s="123"/>
      <c r="I11" s="128"/>
      <c r="J11" s="128"/>
      <c r="K11" s="59"/>
      <c r="L11" s="123"/>
      <c r="M11" s="89"/>
      <c r="N11" s="129"/>
      <c r="O11" s="129"/>
      <c r="P11" s="123"/>
      <c r="Q11" s="123"/>
      <c r="R11" s="128"/>
      <c r="S11" s="59"/>
      <c r="T11" s="123"/>
      <c r="U11" s="123"/>
      <c r="V11" s="128"/>
      <c r="W11" s="193"/>
      <c r="X11" s="59"/>
      <c r="Z11" s="59"/>
      <c r="AA11" s="158">
        <f ca="1">D24/$D$19*10^3</f>
        <v>144.69741195053888</v>
      </c>
      <c r="AB11" s="158">
        <v>144.69727541388337</v>
      </c>
      <c r="AD11" s="132">
        <f t="shared" ca="1" si="1"/>
        <v>1.3653665550350524E-4</v>
      </c>
    </row>
    <row r="12" spans="1:30" s="53" customFormat="1" ht="12" customHeight="1">
      <c r="A12" s="58"/>
      <c r="B12" s="59"/>
      <c r="C12" s="59"/>
      <c r="D12" s="59"/>
      <c r="E12" s="85" t="s">
        <v>75</v>
      </c>
      <c r="F12" s="87"/>
      <c r="G12" s="58"/>
      <c r="H12" s="85" t="s">
        <v>144</v>
      </c>
      <c r="I12" s="167" t="s">
        <v>145</v>
      </c>
      <c r="J12" s="168"/>
      <c r="K12" s="86" t="s">
        <v>146</v>
      </c>
      <c r="L12" s="87"/>
      <c r="M12" s="59"/>
      <c r="N12" s="85" t="s">
        <v>81</v>
      </c>
      <c r="O12" s="86"/>
      <c r="P12" s="87"/>
      <c r="Q12" s="59"/>
      <c r="R12" s="184"/>
      <c r="S12" s="184"/>
      <c r="T12" s="177"/>
      <c r="U12" s="59"/>
      <c r="V12" s="59"/>
      <c r="W12" s="100"/>
      <c r="X12" s="59"/>
    </row>
    <row r="13" spans="1:30" s="53" customFormat="1" ht="12" customHeight="1" thickBot="1">
      <c r="A13" s="58"/>
      <c r="B13" s="59"/>
      <c r="C13" s="59"/>
      <c r="D13" s="59"/>
      <c r="E13" s="60"/>
      <c r="F13" s="88"/>
      <c r="G13" s="58"/>
      <c r="H13" s="60"/>
      <c r="I13" s="165"/>
      <c r="J13" s="169"/>
      <c r="K13" s="61"/>
      <c r="L13" s="88"/>
      <c r="M13" s="59"/>
      <c r="N13" s="60"/>
      <c r="O13" s="61"/>
      <c r="P13" s="88"/>
      <c r="Q13" s="59"/>
      <c r="R13" s="184"/>
      <c r="S13" s="184"/>
      <c r="T13" s="177"/>
      <c r="U13" s="59"/>
      <c r="V13" s="59"/>
      <c r="W13" s="100"/>
      <c r="X13" s="59"/>
    </row>
    <row r="14" spans="1:30" s="53" customFormat="1" ht="12" customHeight="1">
      <c r="A14" s="58"/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100"/>
      <c r="X14" s="59"/>
    </row>
    <row r="15" spans="1:30" ht="12" customHeight="1">
      <c r="A15" s="2"/>
      <c r="B15" s="24"/>
      <c r="C15" s="24"/>
      <c r="D15" s="24"/>
      <c r="E15" s="24"/>
      <c r="F15" s="76"/>
      <c r="G15" s="24"/>
      <c r="H15" s="24"/>
      <c r="I15" s="24"/>
      <c r="J15" s="24"/>
      <c r="K15" s="24"/>
      <c r="L15" s="24" t="s">
        <v>142</v>
      </c>
      <c r="M15" s="24"/>
      <c r="N15" s="24"/>
      <c r="O15" s="24"/>
      <c r="P15" s="76"/>
      <c r="Q15" s="24"/>
      <c r="R15" s="24"/>
      <c r="S15" s="76"/>
      <c r="T15" s="185" t="s">
        <v>138</v>
      </c>
      <c r="U15" s="186"/>
      <c r="V15" s="186"/>
      <c r="W15" s="194"/>
      <c r="X15" s="24"/>
      <c r="Y15"/>
      <c r="Z15"/>
      <c r="AA15"/>
      <c r="AB15"/>
      <c r="AC15"/>
    </row>
    <row r="16" spans="1:30" ht="12" customHeight="1">
      <c r="A16" s="2"/>
      <c r="B16" s="24"/>
      <c r="C16" s="24"/>
      <c r="D16" s="24"/>
      <c r="E16" s="24"/>
      <c r="F16" s="76"/>
      <c r="G16" s="24"/>
      <c r="H16" s="24"/>
      <c r="I16" s="24"/>
      <c r="J16" s="24"/>
      <c r="K16" s="24"/>
      <c r="L16" s="24"/>
      <c r="M16" s="24"/>
      <c r="N16" s="24"/>
      <c r="O16" s="24"/>
      <c r="P16" s="76"/>
      <c r="Q16" s="24"/>
      <c r="R16" s="24"/>
      <c r="S16" s="76"/>
      <c r="T16" s="177" t="s">
        <v>133</v>
      </c>
      <c r="U16" s="187">
        <f ca="1">U10*W16</f>
        <v>0</v>
      </c>
      <c r="V16" s="177">
        <f ca="1">U16/$U$19*10^3</f>
        <v>0</v>
      </c>
      <c r="W16" s="195">
        <v>0</v>
      </c>
      <c r="X16" s="24"/>
      <c r="Y16"/>
      <c r="Z16"/>
      <c r="AA16"/>
      <c r="AB16"/>
      <c r="AC16"/>
    </row>
    <row r="17" spans="1:29" s="53" customFormat="1" ht="12" customHeight="1">
      <c r="A17" s="58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177"/>
      <c r="U17" s="177"/>
      <c r="V17" s="177"/>
      <c r="W17" s="196"/>
      <c r="X17" s="59"/>
    </row>
    <row r="18" spans="1:29" s="53" customFormat="1" ht="12" customHeight="1" thickBot="1">
      <c r="A18" s="58"/>
      <c r="B18" s="59"/>
      <c r="C18" s="106" t="s">
        <v>78</v>
      </c>
      <c r="D18" s="107"/>
      <c r="E18" s="108"/>
      <c r="F18" s="59"/>
      <c r="G18" s="106" t="s">
        <v>86</v>
      </c>
      <c r="H18" s="107"/>
      <c r="I18" s="108"/>
      <c r="J18" s="59"/>
      <c r="K18" s="106" t="s">
        <v>84</v>
      </c>
      <c r="L18" s="107"/>
      <c r="M18" s="108"/>
      <c r="N18" s="59"/>
      <c r="O18" s="59"/>
      <c r="P18" s="109" t="s">
        <v>127</v>
      </c>
      <c r="Q18" s="110"/>
      <c r="R18" s="111"/>
      <c r="S18" s="59"/>
      <c r="T18" s="186" t="s">
        <v>139</v>
      </c>
      <c r="U18" s="186"/>
      <c r="V18" s="186"/>
      <c r="W18" s="196" t="s">
        <v>140</v>
      </c>
      <c r="X18" s="59"/>
      <c r="Y18" s="178" t="s">
        <v>80</v>
      </c>
    </row>
    <row r="19" spans="1:29" s="53" customFormat="1" ht="12" customHeight="1" thickTop="1">
      <c r="A19" s="58"/>
      <c r="B19" s="59"/>
      <c r="C19" s="112" t="s">
        <v>74</v>
      </c>
      <c r="D19" s="203">
        <f t="shared" ref="D19:D24" si="2">H19+L19</f>
        <v>375.66000378096112</v>
      </c>
      <c r="E19" s="200"/>
      <c r="F19" s="59"/>
      <c r="G19" s="112" t="s">
        <v>74</v>
      </c>
      <c r="H19" s="203">
        <f>AB6</f>
        <v>138.03644053065889</v>
      </c>
      <c r="I19" s="200"/>
      <c r="J19" s="59"/>
      <c r="K19" s="79" t="s">
        <v>74</v>
      </c>
      <c r="L19" s="203">
        <f>AB5</f>
        <v>237.62356325030223</v>
      </c>
      <c r="M19" s="200"/>
      <c r="N19" s="59"/>
      <c r="O19" s="59"/>
      <c r="P19" s="79" t="s">
        <v>74</v>
      </c>
      <c r="Q19" s="199">
        <f ca="1">Q22/R22*10^3</f>
        <v>241.4219626918262</v>
      </c>
      <c r="R19" s="200"/>
      <c r="S19" s="59"/>
      <c r="T19" s="177" t="s">
        <v>128</v>
      </c>
      <c r="U19" s="188">
        <f ca="1">U5-Z35</f>
        <v>38776.159542725196</v>
      </c>
      <c r="V19" s="189"/>
      <c r="W19" s="195">
        <v>0.03</v>
      </c>
      <c r="X19" s="59"/>
      <c r="Y19" s="179" t="s">
        <v>77</v>
      </c>
    </row>
    <row r="20" spans="1:29" s="53" customFormat="1" ht="12" customHeight="1">
      <c r="A20" s="58"/>
      <c r="B20" s="59"/>
      <c r="C20" s="80" t="s">
        <v>2</v>
      </c>
      <c r="D20" s="81">
        <f t="shared" ca="1" si="2"/>
        <v>771.19009147090856</v>
      </c>
      <c r="E20" s="114">
        <f>AB7</f>
        <v>2052.8924213919504</v>
      </c>
      <c r="F20" s="59"/>
      <c r="G20" s="80" t="s">
        <v>2</v>
      </c>
      <c r="H20" s="81">
        <f ca="1">L33-H33</f>
        <v>170.26274746760328</v>
      </c>
      <c r="I20" s="114">
        <f ca="1">H20/$H$19*10^3</f>
        <v>1233.462314828284</v>
      </c>
      <c r="J20" s="59"/>
      <c r="K20" s="80" t="s">
        <v>2</v>
      </c>
      <c r="L20" s="81">
        <f ca="1">P33-L33</f>
        <v>600.92734400330528</v>
      </c>
      <c r="M20" s="92">
        <f ca="1">L20/$L$19*10^3</f>
        <v>2528.9046918731487</v>
      </c>
      <c r="N20" s="59"/>
      <c r="O20" s="59"/>
      <c r="P20" s="80" t="s">
        <v>2</v>
      </c>
      <c r="Q20" s="91">
        <f ca="1">Q22*0.6</f>
        <v>1158.8254209207657</v>
      </c>
      <c r="R20" s="82">
        <f ca="1">Q20/$Q$19*10^3</f>
        <v>4800</v>
      </c>
      <c r="S20" s="59"/>
      <c r="T20" s="177" t="s">
        <v>129</v>
      </c>
      <c r="U20" s="187">
        <f ca="1">U6-Z36</f>
        <v>319.80337767196039</v>
      </c>
      <c r="V20" s="177">
        <f ca="1">U20/$U$19*10^3</f>
        <v>8.247422680412372</v>
      </c>
      <c r="W20" s="195">
        <v>0</v>
      </c>
      <c r="X20" s="59"/>
      <c r="Y20" s="180">
        <f ca="1">1-(U20/D6)</f>
        <v>0.96332530072569256</v>
      </c>
    </row>
    <row r="21" spans="1:29" s="53" customFormat="1" ht="12" customHeight="1">
      <c r="A21" s="58"/>
      <c r="B21" s="59"/>
      <c r="C21" s="80" t="s">
        <v>50</v>
      </c>
      <c r="D21" s="81">
        <f t="shared" ca="1" si="2"/>
        <v>700.32670445905615</v>
      </c>
      <c r="E21" s="114">
        <f>AB8</f>
        <v>1864.2549929535189</v>
      </c>
      <c r="F21" s="59"/>
      <c r="G21" s="80" t="s">
        <v>50</v>
      </c>
      <c r="H21" s="81">
        <f ca="1">L34-H34</f>
        <v>154.61758410135008</v>
      </c>
      <c r="I21" s="114">
        <f ca="1">H21/$H$19*10^3</f>
        <v>1120.1214947802741</v>
      </c>
      <c r="J21" s="59"/>
      <c r="K21" s="80" t="s">
        <v>50</v>
      </c>
      <c r="L21" s="81">
        <f ca="1">P34-L34</f>
        <v>545.70912035770607</v>
      </c>
      <c r="M21" s="92">
        <f ca="1">L21/$L$19*10^3</f>
        <v>2296.5278059688048</v>
      </c>
      <c r="N21" s="59"/>
      <c r="O21" s="59"/>
      <c r="P21" s="80" t="s">
        <v>50</v>
      </c>
      <c r="Q21" s="91">
        <f ca="1">Q22*0.7</f>
        <v>1351.9629910742267</v>
      </c>
      <c r="R21" s="82">
        <f ca="1">Q21/$Q$19*10^3</f>
        <v>5600</v>
      </c>
      <c r="S21" s="59"/>
      <c r="T21" s="177" t="s">
        <v>130</v>
      </c>
      <c r="U21" s="187">
        <f ca="1">U7-Z37</f>
        <v>759.53302197090591</v>
      </c>
      <c r="V21" s="177">
        <f ca="1">U21/$U$19*10^3</f>
        <v>19.587628865979383</v>
      </c>
      <c r="W21" s="195">
        <v>0</v>
      </c>
      <c r="X21" s="59"/>
      <c r="Y21" s="180">
        <f ca="1">1-(U21/D7)</f>
        <v>0.89024089277877083</v>
      </c>
    </row>
    <row r="22" spans="1:29" s="53" customFormat="1" ht="12" customHeight="1">
      <c r="A22" s="58"/>
      <c r="B22" s="59"/>
      <c r="C22" s="80" t="s">
        <v>3</v>
      </c>
      <c r="D22" s="81">
        <f t="shared" ca="1" si="2"/>
        <v>1288.9512528887371</v>
      </c>
      <c r="E22" s="114">
        <f>AB9</f>
        <v>3431.1609238988667</v>
      </c>
      <c r="F22" s="59"/>
      <c r="G22" s="80" t="s">
        <v>3</v>
      </c>
      <c r="H22" s="81">
        <f ca="1">L35-H35</f>
        <v>284.5736532351757</v>
      </c>
      <c r="I22" s="114">
        <f ca="1">H22/$H$19*10^3</f>
        <v>2061.583536500782</v>
      </c>
      <c r="J22" s="59"/>
      <c r="K22" s="80" t="s">
        <v>3</v>
      </c>
      <c r="L22" s="81">
        <f ca="1">P35-L35</f>
        <v>1004.3775996535614</v>
      </c>
      <c r="M22" s="92">
        <f ca="1">L22/$L$19*10^3</f>
        <v>4226.7592738502717</v>
      </c>
      <c r="N22" s="59"/>
      <c r="O22" s="59"/>
      <c r="P22" s="80" t="s">
        <v>3</v>
      </c>
      <c r="Q22" s="91">
        <f ca="1">I42</f>
        <v>1931.3757015346096</v>
      </c>
      <c r="R22" s="82">
        <f>참조!D52*10^6</f>
        <v>8000</v>
      </c>
      <c r="S22" s="59"/>
      <c r="T22" s="177" t="s">
        <v>131</v>
      </c>
      <c r="U22" s="187">
        <f ca="1">U8-Z38</f>
        <v>199.87711104497524</v>
      </c>
      <c r="V22" s="177">
        <f ca="1">U22/$U$19*10^3</f>
        <v>5.1546391752577323</v>
      </c>
      <c r="W22" s="195">
        <v>0</v>
      </c>
      <c r="X22" s="59"/>
      <c r="Y22" s="180">
        <f ca="1">1-(U22/D8)</f>
        <v>0.97574306904793995</v>
      </c>
    </row>
    <row r="23" spans="1:29" s="53" customFormat="1" ht="12" customHeight="1">
      <c r="A23" s="58"/>
      <c r="B23" s="59"/>
      <c r="C23" s="80" t="s">
        <v>4</v>
      </c>
      <c r="D23" s="81">
        <f t="shared" ca="1" si="2"/>
        <v>90.377634322158542</v>
      </c>
      <c r="E23" s="114">
        <f>AB10</f>
        <v>240.58339954652115</v>
      </c>
      <c r="F23" s="59"/>
      <c r="G23" s="80" t="s">
        <v>4</v>
      </c>
      <c r="H23" s="81">
        <f ca="1">L36-H36</f>
        <v>19.953503681515542</v>
      </c>
      <c r="I23" s="114">
        <f ca="1">H23/$H$19*10^3</f>
        <v>144.5524356090863</v>
      </c>
      <c r="J23" s="59"/>
      <c r="K23" s="80" t="s">
        <v>4</v>
      </c>
      <c r="L23" s="81">
        <f ca="1">P36-L36</f>
        <v>70.424130640643</v>
      </c>
      <c r="M23" s="92">
        <f ca="1">L23/$L$19*10^3</f>
        <v>296.36846479934871</v>
      </c>
      <c r="N23" s="59"/>
      <c r="O23" s="59"/>
      <c r="P23" s="80" t="s">
        <v>4</v>
      </c>
      <c r="Q23" s="91">
        <f ca="1">Q22*AC31</f>
        <v>193.13757015346096</v>
      </c>
      <c r="R23" s="114">
        <f ca="1">Q23/$Q$19*10^3</f>
        <v>800</v>
      </c>
      <c r="S23" s="59"/>
      <c r="T23" s="177" t="s">
        <v>132</v>
      </c>
      <c r="U23" s="187">
        <f ca="1">U9*(1-W23)</f>
        <v>319.80337767196039</v>
      </c>
      <c r="V23" s="177">
        <f ca="1">U23/$U$19*10^3</f>
        <v>8.247422680412372</v>
      </c>
      <c r="W23" s="195">
        <v>0</v>
      </c>
      <c r="X23" s="59"/>
      <c r="Y23" s="180">
        <f ca="1">1-(U23/D9)</f>
        <v>0.81746382552970298</v>
      </c>
    </row>
    <row r="24" spans="1:29" s="53" customFormat="1" ht="12" customHeight="1">
      <c r="A24" s="58"/>
      <c r="B24" s="59"/>
      <c r="C24" s="83" t="s">
        <v>5</v>
      </c>
      <c r="D24" s="84">
        <f t="shared" ca="1" si="2"/>
        <v>54.357030320434717</v>
      </c>
      <c r="E24" s="115">
        <f>AB11</f>
        <v>144.69727541388337</v>
      </c>
      <c r="F24" s="59"/>
      <c r="G24" s="83" t="s">
        <v>5</v>
      </c>
      <c r="H24" s="84">
        <f ca="1">L37-H37</f>
        <v>12.000902798018075</v>
      </c>
      <c r="I24" s="115">
        <f ca="1">H24/$H$19*10^3</f>
        <v>86.940106191397973</v>
      </c>
      <c r="J24" s="59"/>
      <c r="K24" s="83" t="s">
        <v>5</v>
      </c>
      <c r="L24" s="84">
        <f ca="1">P37-L37</f>
        <v>42.356127522416642</v>
      </c>
      <c r="M24" s="95">
        <f ca="1">L24/$L$19*10^3</f>
        <v>178.24885269395847</v>
      </c>
      <c r="N24" s="59"/>
      <c r="O24" s="59"/>
      <c r="P24" s="83" t="s">
        <v>5</v>
      </c>
      <c r="Q24" s="94">
        <f ca="1">P10-U10</f>
        <v>235.82063662841654</v>
      </c>
      <c r="R24" s="115">
        <f ca="1">Q24/Q19*10^3</f>
        <v>976.79860605491092</v>
      </c>
      <c r="S24" s="59"/>
      <c r="T24" s="177" t="s">
        <v>133</v>
      </c>
      <c r="U24" s="187">
        <f ca="1">U10-U16</f>
        <v>27.982795546296533</v>
      </c>
      <c r="V24" s="177">
        <f ca="1">U24/$U$19*10^3</f>
        <v>0.72164948453608246</v>
      </c>
      <c r="W24" s="195">
        <f>W16</f>
        <v>0</v>
      </c>
      <c r="X24" s="59"/>
      <c r="Y24" s="181">
        <f ca="1">1-(U24/D10)</f>
        <v>0.89069220489727918</v>
      </c>
    </row>
    <row r="25" spans="1:29" s="53" customFormat="1" ht="12" customHeight="1">
      <c r="A25" s="58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100"/>
      <c r="X25" s="59"/>
      <c r="AA25" s="53" t="s">
        <v>97</v>
      </c>
    </row>
    <row r="26" spans="1:29" s="53" customFormat="1" ht="12" customHeight="1" thickBot="1">
      <c r="A26" s="58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100"/>
      <c r="X26" s="59"/>
      <c r="AA26" s="53">
        <f ca="1">P32/D5*100</f>
        <v>1.0005944869647712</v>
      </c>
    </row>
    <row r="27" spans="1:29" s="53" customFormat="1" ht="12" customHeight="1">
      <c r="A27" s="58"/>
      <c r="B27" s="59"/>
      <c r="C27" s="59"/>
      <c r="D27" s="59"/>
      <c r="E27" s="59"/>
      <c r="F27" s="59"/>
      <c r="G27" s="85" t="s">
        <v>83</v>
      </c>
      <c r="H27" s="86"/>
      <c r="I27" s="58"/>
      <c r="J27" s="59"/>
      <c r="K27" s="85" t="s">
        <v>143</v>
      </c>
      <c r="L27" s="87"/>
      <c r="M27" s="59"/>
      <c r="N27" s="59"/>
      <c r="O27" s="85" t="s">
        <v>89</v>
      </c>
      <c r="P27" s="86"/>
      <c r="Q27" s="87"/>
      <c r="R27" s="59"/>
      <c r="S27" s="59"/>
      <c r="T27" s="59"/>
      <c r="U27" s="59"/>
      <c r="V27" s="59"/>
      <c r="W27" s="100"/>
      <c r="X27" s="59"/>
    </row>
    <row r="28" spans="1:29" s="53" customFormat="1" ht="12" customHeight="1">
      <c r="A28" s="58"/>
      <c r="B28" s="59"/>
      <c r="C28" s="59"/>
      <c r="D28" s="59"/>
      <c r="E28" s="59"/>
      <c r="F28" s="59"/>
      <c r="G28" s="58" t="s">
        <v>90</v>
      </c>
      <c r="H28" s="154">
        <f>참조!G47</f>
        <v>0.95</v>
      </c>
      <c r="I28" s="58"/>
      <c r="J28" s="59"/>
      <c r="K28" s="58" t="s">
        <v>90</v>
      </c>
      <c r="L28" s="166">
        <f>참조!D56</f>
        <v>0.85</v>
      </c>
      <c r="M28" s="59"/>
      <c r="N28" s="59"/>
      <c r="O28" s="58"/>
      <c r="P28" s="59"/>
      <c r="Q28" s="100"/>
      <c r="R28" s="59"/>
      <c r="S28" s="59"/>
      <c r="T28" s="59"/>
      <c r="U28" s="59"/>
      <c r="V28" s="59"/>
      <c r="W28" s="100"/>
      <c r="X28" s="59"/>
    </row>
    <row r="29" spans="1:29" s="53" customFormat="1" ht="12" customHeight="1" thickBot="1">
      <c r="A29" s="58"/>
      <c r="B29" s="59"/>
      <c r="C29" s="59"/>
      <c r="D29" s="59"/>
      <c r="E29" s="59"/>
      <c r="F29" s="59"/>
      <c r="G29" s="60"/>
      <c r="H29" s="61"/>
      <c r="I29" s="58"/>
      <c r="J29" s="59"/>
      <c r="K29" s="60"/>
      <c r="L29" s="88"/>
      <c r="M29" s="59"/>
      <c r="N29" s="59"/>
      <c r="O29" s="60" t="s">
        <v>82</v>
      </c>
      <c r="P29" s="61"/>
      <c r="Q29" s="88"/>
      <c r="R29" s="59"/>
      <c r="S29" s="59"/>
      <c r="T29" s="59"/>
      <c r="U29" s="59"/>
      <c r="V29" s="59"/>
      <c r="W29" s="100"/>
      <c r="X29" s="59"/>
    </row>
    <row r="30" spans="1:29" s="53" customFormat="1" ht="12" customHeight="1">
      <c r="A30" s="58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100"/>
      <c r="X30" s="59"/>
      <c r="AA30" s="53" t="s">
        <v>95</v>
      </c>
      <c r="AC30" s="53" t="s">
        <v>113</v>
      </c>
    </row>
    <row r="31" spans="1:29" s="53" customFormat="1" ht="12" customHeight="1" thickBot="1">
      <c r="A31" s="58"/>
      <c r="B31" s="59"/>
      <c r="C31" s="59"/>
      <c r="D31" s="59"/>
      <c r="E31" s="59"/>
      <c r="F31" s="59"/>
      <c r="G31" s="204" t="s">
        <v>87</v>
      </c>
      <c r="H31" s="205"/>
      <c r="I31" s="206"/>
      <c r="J31" s="59"/>
      <c r="K31" s="204" t="s">
        <v>85</v>
      </c>
      <c r="L31" s="205"/>
      <c r="M31" s="206"/>
      <c r="N31" s="59"/>
      <c r="O31" s="204" t="s">
        <v>88</v>
      </c>
      <c r="P31" s="205"/>
      <c r="Q31" s="206"/>
      <c r="R31" s="59"/>
      <c r="S31" s="59"/>
      <c r="T31" s="59"/>
      <c r="U31" s="59"/>
      <c r="V31" s="59"/>
      <c r="W31" s="100"/>
      <c r="X31" s="59"/>
      <c r="Z31" s="53" t="s">
        <v>12</v>
      </c>
      <c r="AA31" s="53">
        <f ca="1">P37/P35*100</f>
        <v>4.2171517502009692</v>
      </c>
      <c r="AC31" s="164">
        <v>0.1</v>
      </c>
    </row>
    <row r="32" spans="1:29" s="53" customFormat="1" ht="12" customHeight="1" thickTop="1">
      <c r="A32" s="58"/>
      <c r="B32" s="59"/>
      <c r="C32" s="59"/>
      <c r="D32" s="59"/>
      <c r="E32" s="59"/>
      <c r="F32" s="59"/>
      <c r="G32" s="112" t="s">
        <v>74</v>
      </c>
      <c r="H32" s="201">
        <f ca="1">H35/I35*10^3</f>
        <v>24.576815506674269</v>
      </c>
      <c r="I32" s="202"/>
      <c r="J32" s="59"/>
      <c r="K32" s="112" t="s">
        <v>74</v>
      </c>
      <c r="L32" s="203">
        <f ca="1">L35/M35*10^3</f>
        <v>162.61351613438612</v>
      </c>
      <c r="M32" s="200"/>
      <c r="N32" s="59"/>
      <c r="O32" s="79" t="s">
        <v>74</v>
      </c>
      <c r="P32" s="203">
        <f t="shared" ref="P32:P37" ca="1" si="3">Q19+L5</f>
        <v>400.23779478590842</v>
      </c>
      <c r="Q32" s="200"/>
      <c r="R32" s="59"/>
      <c r="S32" s="59"/>
      <c r="T32" s="59"/>
      <c r="U32" s="59"/>
      <c r="V32" s="59"/>
      <c r="W32" s="100"/>
      <c r="X32" s="59"/>
      <c r="Z32" s="53" t="s">
        <v>96</v>
      </c>
      <c r="AA32" s="53">
        <f ca="1">P37/P35/0.8*100</f>
        <v>5.2714396877512106</v>
      </c>
    </row>
    <row r="33" spans="1:27" s="53" customFormat="1" ht="12" customHeight="1">
      <c r="A33" s="58"/>
      <c r="B33" s="59"/>
      <c r="C33" s="59"/>
      <c r="D33" s="59"/>
      <c r="E33" s="59"/>
      <c r="F33" s="59"/>
      <c r="G33" s="80" t="s">
        <v>2</v>
      </c>
      <c r="H33" s="81">
        <f ca="1">L33*$H$28</f>
        <v>3234.9922018844591</v>
      </c>
      <c r="I33" s="155">
        <f ca="1">H33/$H$32*10^3</f>
        <v>131627.80186090176</v>
      </c>
      <c r="J33" s="59"/>
      <c r="K33" s="80" t="s">
        <v>2</v>
      </c>
      <c r="L33" s="81">
        <f ca="1">P33*$L$28</f>
        <v>3405.2549493520623</v>
      </c>
      <c r="M33" s="92">
        <f ca="1">L33/L32*10^3</f>
        <v>20940.786659688925</v>
      </c>
      <c r="N33" s="59"/>
      <c r="O33" s="80" t="s">
        <v>2</v>
      </c>
      <c r="P33" s="81">
        <f t="shared" ca="1" si="3"/>
        <v>4006.1822933553676</v>
      </c>
      <c r="Q33" s="92">
        <f ca="1">P33/$P$32*10^3</f>
        <v>10009.505213015473</v>
      </c>
      <c r="R33" s="59"/>
      <c r="S33" s="59"/>
      <c r="T33" s="59"/>
      <c r="U33" s="59"/>
      <c r="V33" s="59"/>
      <c r="W33" s="100"/>
      <c r="X33" s="59"/>
    </row>
    <row r="34" spans="1:27" s="53" customFormat="1" ht="12" customHeight="1" thickBot="1">
      <c r="A34" s="58"/>
      <c r="B34" s="59"/>
      <c r="C34" s="59"/>
      <c r="D34" s="59"/>
      <c r="E34" s="59"/>
      <c r="F34" s="59"/>
      <c r="G34" s="80" t="s">
        <v>50</v>
      </c>
      <c r="H34" s="81">
        <f ca="1">L34*$H$28</f>
        <v>2937.7340979256492</v>
      </c>
      <c r="I34" s="155">
        <f ca="1">H34/$H$32*10^3</f>
        <v>119532.73999749299</v>
      </c>
      <c r="J34" s="59"/>
      <c r="K34" s="80" t="s">
        <v>50</v>
      </c>
      <c r="L34" s="81">
        <f ca="1">P34*$L$28</f>
        <v>3092.3516820269992</v>
      </c>
      <c r="M34" s="92">
        <f ca="1">L34/$L$32*10^3</f>
        <v>19016.572272328431</v>
      </c>
      <c r="N34" s="59"/>
      <c r="O34" s="80" t="s">
        <v>50</v>
      </c>
      <c r="P34" s="81">
        <f t="shared" ca="1" si="3"/>
        <v>3638.0608023847053</v>
      </c>
      <c r="Q34" s="92">
        <f ca="1">P34/$P$32*10^3</f>
        <v>9089.7482691027308</v>
      </c>
      <c r="R34" s="59"/>
      <c r="S34" s="59"/>
      <c r="T34" s="59"/>
      <c r="U34" s="59"/>
      <c r="V34" s="59"/>
      <c r="W34" s="100"/>
      <c r="X34" s="59"/>
      <c r="Y34" s="204" t="s">
        <v>134</v>
      </c>
      <c r="Z34" s="205"/>
      <c r="AA34" s="206"/>
    </row>
    <row r="35" spans="1:27" s="53" customFormat="1" ht="12" customHeight="1" thickTop="1">
      <c r="A35" s="58"/>
      <c r="B35" s="59"/>
      <c r="C35" s="59"/>
      <c r="D35" s="59"/>
      <c r="E35" s="59"/>
      <c r="F35" s="59"/>
      <c r="G35" s="80" t="s">
        <v>3</v>
      </c>
      <c r="H35" s="81">
        <f ca="1">L35*$H$28</f>
        <v>5406.8994114683392</v>
      </c>
      <c r="I35" s="155">
        <f>참조!G48*10^6</f>
        <v>220000</v>
      </c>
      <c r="J35" s="59"/>
      <c r="K35" s="80" t="s">
        <v>3</v>
      </c>
      <c r="L35" s="81">
        <f ca="1">P35*$L$28</f>
        <v>5691.4730647035149</v>
      </c>
      <c r="M35" s="92">
        <f>참조!D57*10^6</f>
        <v>35000</v>
      </c>
      <c r="N35" s="59"/>
      <c r="O35" s="80" t="s">
        <v>3</v>
      </c>
      <c r="P35" s="81">
        <f t="shared" ca="1" si="3"/>
        <v>6695.8506643570763</v>
      </c>
      <c r="Q35" s="92">
        <f ca="1">P35/$P$32*10^3</f>
        <v>16729.681083563737</v>
      </c>
      <c r="R35" s="59"/>
      <c r="S35" s="59"/>
      <c r="T35" s="59"/>
      <c r="U35" s="59"/>
      <c r="V35" s="59"/>
      <c r="W35" s="100"/>
      <c r="X35" s="59"/>
      <c r="Y35" s="112" t="s">
        <v>74</v>
      </c>
      <c r="Z35" s="199">
        <f t="shared" ref="Z35:Z40" ca="1" si="4">U5*W19</f>
        <v>1199.2626662698515</v>
      </c>
      <c r="AA35" s="200"/>
    </row>
    <row r="36" spans="1:27" s="53" customFormat="1" ht="12" customHeight="1">
      <c r="A36" s="58"/>
      <c r="B36" s="59"/>
      <c r="C36" s="59"/>
      <c r="D36" s="59"/>
      <c r="E36" s="59"/>
      <c r="F36" s="59"/>
      <c r="G36" s="80" t="s">
        <v>4</v>
      </c>
      <c r="H36" s="81">
        <f ca="1">L36*$H$28</f>
        <v>379.11656994879479</v>
      </c>
      <c r="I36" s="155">
        <f ca="1">H36/$H$32*10^3</f>
        <v>15425.78084804514</v>
      </c>
      <c r="J36" s="59"/>
      <c r="K36" s="80" t="s">
        <v>4</v>
      </c>
      <c r="L36" s="81">
        <f ca="1">P36*$L$28</f>
        <v>399.07007363031033</v>
      </c>
      <c r="M36" s="92">
        <f ca="1">L36/$L$32*10^3</f>
        <v>2454.1014985526367</v>
      </c>
      <c r="N36" s="59"/>
      <c r="O36" s="80" t="s">
        <v>4</v>
      </c>
      <c r="P36" s="81">
        <f t="shared" ca="1" si="3"/>
        <v>469.49420427095333</v>
      </c>
      <c r="Q36" s="92">
        <f ca="1">P36/$P$32*10^3</f>
        <v>1173.0381547851844</v>
      </c>
      <c r="R36" s="59"/>
      <c r="S36" s="59"/>
      <c r="T36" s="59"/>
      <c r="U36" s="59"/>
      <c r="V36" s="59"/>
      <c r="W36" s="100"/>
      <c r="X36" s="59"/>
      <c r="Y36" s="80" t="s">
        <v>2</v>
      </c>
      <c r="Z36" s="91">
        <f t="shared" ca="1" si="4"/>
        <v>0</v>
      </c>
      <c r="AA36" s="114">
        <f ca="1">Z36/$Z$35*10^3</f>
        <v>0</v>
      </c>
    </row>
    <row r="37" spans="1:27" s="53" customFormat="1" ht="12" customHeight="1">
      <c r="A37" s="58"/>
      <c r="B37" s="59"/>
      <c r="C37" s="59"/>
      <c r="D37" s="59"/>
      <c r="E37" s="59"/>
      <c r="F37" s="59"/>
      <c r="G37" s="83" t="s">
        <v>5</v>
      </c>
      <c r="H37" s="84">
        <f ca="1">L37*$H$28</f>
        <v>228.01715316234294</v>
      </c>
      <c r="I37" s="156">
        <f ca="1">H37/$H$32*10^3</f>
        <v>9277.7338504421314</v>
      </c>
      <c r="J37" s="59"/>
      <c r="K37" s="83" t="s">
        <v>5</v>
      </c>
      <c r="L37" s="84">
        <f ca="1">P37*$L$28</f>
        <v>240.01805596036101</v>
      </c>
      <c r="M37" s="95">
        <f ca="1">L37/$L$32*10^3</f>
        <v>1476.0031125703395</v>
      </c>
      <c r="N37" s="59"/>
      <c r="O37" s="83" t="s">
        <v>5</v>
      </c>
      <c r="P37" s="84">
        <f t="shared" ca="1" si="3"/>
        <v>282.37418348277765</v>
      </c>
      <c r="Q37" s="95">
        <f ca="1">P37/$P$32*10^3</f>
        <v>705.51603861854846</v>
      </c>
      <c r="R37" s="59"/>
      <c r="S37" s="59"/>
      <c r="T37" s="59"/>
      <c r="U37" s="59"/>
      <c r="V37" s="59"/>
      <c r="W37" s="100"/>
      <c r="X37" s="59"/>
      <c r="Y37" s="80" t="s">
        <v>50</v>
      </c>
      <c r="Z37" s="91">
        <f t="shared" ca="1" si="4"/>
        <v>0</v>
      </c>
      <c r="AA37" s="114">
        <f ca="1">Z37/$Z$35*10^3</f>
        <v>0</v>
      </c>
    </row>
    <row r="38" spans="1:27" s="53" customFormat="1" ht="12" customHeight="1">
      <c r="A38" s="58"/>
      <c r="B38" s="59"/>
      <c r="C38" s="59"/>
      <c r="D38" s="158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100"/>
      <c r="X38" s="59"/>
      <c r="Y38" s="80" t="s">
        <v>3</v>
      </c>
      <c r="Z38" s="91">
        <f t="shared" ca="1" si="4"/>
        <v>0</v>
      </c>
      <c r="AA38" s="114">
        <f ca="1">Z38/$Z$35*10^3</f>
        <v>0</v>
      </c>
    </row>
    <row r="39" spans="1:27" s="53" customFormat="1" ht="12" customHeight="1" thickBot="1">
      <c r="A39" s="60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88"/>
      <c r="X39" s="59"/>
      <c r="Y39" s="80" t="s">
        <v>4</v>
      </c>
      <c r="Z39" s="91">
        <f t="shared" ca="1" si="4"/>
        <v>0</v>
      </c>
      <c r="AA39" s="114">
        <f ca="1">Z39/$Z$35*10^3</f>
        <v>0</v>
      </c>
    </row>
    <row r="40" spans="1:27" s="53" customFormat="1" ht="12" customHeight="1">
      <c r="Y40" s="83" t="s">
        <v>5</v>
      </c>
      <c r="Z40" s="94">
        <f t="shared" ca="1" si="4"/>
        <v>0</v>
      </c>
      <c r="AA40" s="115">
        <f ca="1">Z40/$Z$35*10^3</f>
        <v>0</v>
      </c>
    </row>
    <row r="41" spans="1:27" s="53" customFormat="1" ht="12" customHeight="1">
      <c r="T41" s="53" t="s">
        <v>125</v>
      </c>
      <c r="U41" s="53" t="s">
        <v>126</v>
      </c>
    </row>
    <row r="42" spans="1:27" ht="12" customHeight="1" thickBot="1">
      <c r="D42" s="49" t="s">
        <v>112</v>
      </c>
      <c r="I42" s="49">
        <f ca="1">(F44*F45)-(F46*G47)+(F48*F49)</f>
        <v>1931.3757015346096</v>
      </c>
      <c r="N42" s="49" t="s">
        <v>116</v>
      </c>
      <c r="R42" s="49" t="s">
        <v>124</v>
      </c>
      <c r="T42" s="49">
        <f>(P44/(1+(P45*P46))*P43*P47)</f>
        <v>4.5096467272034273</v>
      </c>
      <c r="U42" s="49">
        <f>P5*T42/10^3</f>
        <v>181.36375969729798</v>
      </c>
    </row>
    <row r="43" spans="1:27" ht="12" customHeight="1" thickBot="1">
      <c r="K43" s="133" t="s">
        <v>1</v>
      </c>
      <c r="L43" s="161"/>
      <c r="N43" s="49" t="s">
        <v>117</v>
      </c>
      <c r="P43" s="49">
        <f>L49*참조!H6</f>
        <v>67.644700908051405</v>
      </c>
      <c r="T43" s="49">
        <f>L49*참조!H7*(P44/(1+P45*P46))*P48</f>
        <v>0.87186503392599601</v>
      </c>
      <c r="U43" s="49">
        <f>P5*T43/10^3</f>
        <v>35.063660208144277</v>
      </c>
    </row>
    <row r="44" spans="1:27" ht="20.100000000000001" customHeight="1" thickTop="1">
      <c r="C44" s="49" t="s">
        <v>105</v>
      </c>
      <c r="D44" s="49" t="s">
        <v>103</v>
      </c>
      <c r="F44" s="49">
        <v>0.4</v>
      </c>
      <c r="K44" s="171" t="s">
        <v>2</v>
      </c>
      <c r="L44" s="174">
        <f>Q6</f>
        <v>165.20024977555897</v>
      </c>
      <c r="N44" s="49" t="s">
        <v>118</v>
      </c>
      <c r="P44" s="49">
        <f>0.4</f>
        <v>0.4</v>
      </c>
      <c r="U44" s="49">
        <f>SUM(U42:U43)</f>
        <v>216.42741990544226</v>
      </c>
    </row>
    <row r="45" spans="1:27" ht="20.100000000000001" customHeight="1">
      <c r="C45" s="49" t="s">
        <v>106</v>
      </c>
      <c r="D45" s="49" t="s">
        <v>100</v>
      </c>
      <c r="F45" s="163">
        <f ca="1">P6-U6</f>
        <v>6324.0293246754445</v>
      </c>
      <c r="K45" s="172" t="s">
        <v>43</v>
      </c>
      <c r="L45" s="175">
        <f>Q7</f>
        <v>132.63666844715962</v>
      </c>
      <c r="N45" s="49" t="s">
        <v>119</v>
      </c>
      <c r="P45" s="49">
        <f>0.08</f>
        <v>0.08</v>
      </c>
    </row>
    <row r="46" spans="1:27" ht="20.100000000000001" customHeight="1">
      <c r="C46" s="49" t="s">
        <v>107</v>
      </c>
      <c r="D46" s="49" t="s">
        <v>101</v>
      </c>
      <c r="F46" s="49">
        <v>0.05</v>
      </c>
      <c r="K46" s="172" t="s">
        <v>3</v>
      </c>
      <c r="L46" s="175">
        <f>Q8</f>
        <v>118.46963780854571</v>
      </c>
      <c r="N46" s="49" t="s">
        <v>120</v>
      </c>
      <c r="P46" s="49">
        <f>참조!I24</f>
        <v>10</v>
      </c>
    </row>
    <row r="47" spans="1:27" ht="20.100000000000001" customHeight="1">
      <c r="C47" s="49" t="s">
        <v>108</v>
      </c>
      <c r="D47" s="49" t="s">
        <v>102</v>
      </c>
      <c r="F47" s="49">
        <f>참조!$I$25*참조!$I$26</f>
        <v>2000</v>
      </c>
      <c r="G47" s="49">
        <f>F47*P5/10^3</f>
        <v>80433.688343373738</v>
      </c>
      <c r="K47" s="172" t="s">
        <v>4</v>
      </c>
      <c r="L47" s="175">
        <f>Q9</f>
        <v>38.93942846386458</v>
      </c>
      <c r="N47" s="49" t="s">
        <v>121</v>
      </c>
      <c r="P47" s="49">
        <f>0.3</f>
        <v>0.3</v>
      </c>
    </row>
    <row r="48" spans="1:27" ht="20.100000000000001" customHeight="1" thickBot="1">
      <c r="C48" s="49" t="s">
        <v>109</v>
      </c>
      <c r="D48" s="49" t="s">
        <v>104</v>
      </c>
      <c r="F48" s="49">
        <v>0.75</v>
      </c>
      <c r="K48" s="173" t="s">
        <v>5</v>
      </c>
      <c r="L48" s="176">
        <f>Q10</f>
        <v>6.5595259301930442</v>
      </c>
      <c r="N48" s="49" t="s">
        <v>122</v>
      </c>
      <c r="P48" s="49">
        <v>0.02</v>
      </c>
    </row>
    <row r="49" spans="3:16" ht="20.100000000000001" customHeight="1">
      <c r="C49" s="49" t="s">
        <v>110</v>
      </c>
      <c r="D49" s="49" t="s">
        <v>111</v>
      </c>
      <c r="F49" s="163">
        <f ca="1">P8-U8</f>
        <v>4564.597851777492</v>
      </c>
      <c r="K49" s="172" t="s">
        <v>44</v>
      </c>
      <c r="L49" s="175">
        <f>L45*1.7</f>
        <v>225.48233636017136</v>
      </c>
      <c r="N49" s="49" t="s">
        <v>123</v>
      </c>
      <c r="P49" s="170">
        <f>V8</f>
        <v>5</v>
      </c>
    </row>
    <row r="53" spans="3:16" ht="17.25" thickBot="1">
      <c r="C53" s="204" t="s">
        <v>135</v>
      </c>
      <c r="D53" s="205"/>
      <c r="E53" s="206"/>
    </row>
    <row r="54" spans="3:16" ht="17.25" thickTop="1">
      <c r="C54" s="112" t="s">
        <v>74</v>
      </c>
      <c r="D54" s="199">
        <v>120</v>
      </c>
      <c r="E54" s="200"/>
    </row>
    <row r="55" spans="3:16">
      <c r="C55" s="80" t="s">
        <v>2</v>
      </c>
      <c r="D55" s="91">
        <v>27</v>
      </c>
      <c r="E55" s="114">
        <f>D55/$D$54*10^3</f>
        <v>225</v>
      </c>
    </row>
    <row r="56" spans="3:16">
      <c r="C56" s="80" t="s">
        <v>50</v>
      </c>
      <c r="D56" s="91">
        <v>44</v>
      </c>
      <c r="E56" s="114">
        <f>D56/$D$54*10^3</f>
        <v>366.66666666666663</v>
      </c>
    </row>
    <row r="57" spans="3:16">
      <c r="C57" s="80" t="s">
        <v>3</v>
      </c>
      <c r="D57" s="91">
        <v>2</v>
      </c>
      <c r="E57" s="114">
        <f>D57/$D$54*10^3</f>
        <v>16.666666666666668</v>
      </c>
    </row>
    <row r="58" spans="3:16">
      <c r="C58" s="80" t="s">
        <v>4</v>
      </c>
      <c r="D58" s="91">
        <v>31</v>
      </c>
      <c r="E58" s="114">
        <f>D58/$D$54*10^3</f>
        <v>258.33333333333337</v>
      </c>
    </row>
    <row r="59" spans="3:16">
      <c r="C59" s="83" t="s">
        <v>5</v>
      </c>
      <c r="D59" s="94">
        <v>7</v>
      </c>
      <c r="E59" s="115">
        <f>D59/$D$54*10^3</f>
        <v>58.333333333333336</v>
      </c>
    </row>
  </sheetData>
  <mergeCells count="19">
    <mergeCell ref="U5:V5"/>
    <mergeCell ref="D5:E5"/>
    <mergeCell ref="D19:E19"/>
    <mergeCell ref="H19:I19"/>
    <mergeCell ref="L19:M19"/>
    <mergeCell ref="Q19:R19"/>
    <mergeCell ref="Y34:AA34"/>
    <mergeCell ref="Z35:AA35"/>
    <mergeCell ref="C53:E53"/>
    <mergeCell ref="G31:I31"/>
    <mergeCell ref="K31:M31"/>
    <mergeCell ref="O31:Q31"/>
    <mergeCell ref="D54:E54"/>
    <mergeCell ref="H32:I32"/>
    <mergeCell ref="L32:M32"/>
    <mergeCell ref="P32:Q32"/>
    <mergeCell ref="H5:I5"/>
    <mergeCell ref="L5:M5"/>
    <mergeCell ref="P5:Q5"/>
  </mergeCells>
  <phoneticPr fontId="1" type="noConversion"/>
  <conditionalFormatting sqref="AB5">
    <cfRule type="cellIs" dxfId="2" priority="1" operator="equal">
      <formula>"824.37 =$D$32"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AD59"/>
  <sheetViews>
    <sheetView view="pageBreakPreview" zoomScaleSheetLayoutView="100" workbookViewId="0">
      <selection activeCell="S17" sqref="S17"/>
    </sheetView>
  </sheetViews>
  <sheetFormatPr defaultRowHeight="16.5"/>
  <cols>
    <col min="1" max="1" width="3.375" customWidth="1"/>
    <col min="2" max="2" width="2.5" customWidth="1"/>
    <col min="3" max="9" width="5.625" style="49" customWidth="1"/>
    <col min="10" max="10" width="2" style="49" customWidth="1"/>
    <col min="11" max="14" width="5.625" style="49" customWidth="1"/>
    <col min="15" max="15" width="5.25" style="49" customWidth="1"/>
    <col min="16" max="23" width="5.625" style="49" customWidth="1"/>
    <col min="24" max="24" width="2.125" style="49" customWidth="1"/>
    <col min="25" max="29" width="5.625" style="49" customWidth="1"/>
  </cols>
  <sheetData>
    <row r="1" spans="1:30" ht="16.5" customHeight="1">
      <c r="A1" s="1"/>
      <c r="B1" s="23"/>
      <c r="C1" s="197" t="s">
        <v>150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190"/>
      <c r="X1" s="76"/>
    </row>
    <row r="2" spans="1:30" ht="16.5" customHeight="1">
      <c r="A2" s="2"/>
      <c r="B2" s="24"/>
      <c r="C2" s="198" t="s">
        <v>148</v>
      </c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 t="s">
        <v>94</v>
      </c>
      <c r="V2" s="76"/>
      <c r="W2" s="191"/>
      <c r="X2" s="76"/>
    </row>
    <row r="3" spans="1:30" ht="12" customHeight="1">
      <c r="A3" s="2"/>
      <c r="B3" s="24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191"/>
      <c r="X3" s="76"/>
    </row>
    <row r="4" spans="1:30" s="52" customFormat="1" ht="12" customHeight="1" thickBot="1">
      <c r="A4" s="56"/>
      <c r="B4" s="57"/>
      <c r="C4" s="77" t="s">
        <v>99</v>
      </c>
      <c r="D4" s="101"/>
      <c r="E4" s="102"/>
      <c r="F4" s="57"/>
      <c r="G4" s="103" t="s">
        <v>76</v>
      </c>
      <c r="H4" s="104"/>
      <c r="I4" s="105"/>
      <c r="J4" s="124"/>
      <c r="K4" s="109" t="s">
        <v>114</v>
      </c>
      <c r="L4" s="110"/>
      <c r="M4" s="111"/>
      <c r="N4" s="59"/>
      <c r="O4" s="103" t="s">
        <v>141</v>
      </c>
      <c r="P4" s="131"/>
      <c r="Q4" s="102"/>
      <c r="R4" s="57"/>
      <c r="S4" s="57"/>
      <c r="T4" s="103" t="s">
        <v>79</v>
      </c>
      <c r="U4" s="104"/>
      <c r="V4" s="105"/>
      <c r="W4" s="192"/>
      <c r="X4" s="57"/>
      <c r="Z4" s="59"/>
      <c r="AA4" s="113" t="s">
        <v>92</v>
      </c>
      <c r="AB4" s="113" t="s">
        <v>91</v>
      </c>
    </row>
    <row r="5" spans="1:30" s="53" customFormat="1" ht="12" customHeight="1" thickTop="1">
      <c r="A5" s="58"/>
      <c r="B5" s="59"/>
      <c r="C5" s="78" t="s">
        <v>74</v>
      </c>
      <c r="D5" s="199">
        <v>40000</v>
      </c>
      <c r="E5" s="200"/>
      <c r="F5" s="123"/>
      <c r="G5" s="90" t="s">
        <v>74</v>
      </c>
      <c r="H5" s="199">
        <f>D5+D19</f>
        <v>40387.535445244728</v>
      </c>
      <c r="I5" s="200"/>
      <c r="J5" s="125"/>
      <c r="K5" s="79" t="s">
        <v>74</v>
      </c>
      <c r="L5" s="199">
        <f>L8/M8*10^3</f>
        <v>159.10221333980795</v>
      </c>
      <c r="M5" s="200"/>
      <c r="N5" s="116" t="s">
        <v>77</v>
      </c>
      <c r="O5" s="130" t="s">
        <v>74</v>
      </c>
      <c r="P5" s="199">
        <f t="shared" ref="P5:P10" si="0">H5-L5</f>
        <v>40228.433231904921</v>
      </c>
      <c r="Q5" s="200"/>
      <c r="R5" s="116" t="s">
        <v>77</v>
      </c>
      <c r="S5" s="59"/>
      <c r="T5" s="90" t="s">
        <v>74</v>
      </c>
      <c r="U5" s="199">
        <f ca="1">P5-Q19</f>
        <v>39975.096269523528</v>
      </c>
      <c r="V5" s="200"/>
      <c r="W5" s="100"/>
      <c r="X5" s="59"/>
      <c r="Z5" s="113" t="s">
        <v>84</v>
      </c>
      <c r="AA5" s="157">
        <f ca="1">P32-L32</f>
        <v>247.65828664428778</v>
      </c>
      <c r="AB5" s="157">
        <v>247.65876740002437</v>
      </c>
      <c r="AD5" s="132">
        <f ca="1">AA5-AB5</f>
        <v>-4.8075573658934445E-4</v>
      </c>
    </row>
    <row r="6" spans="1:30" s="53" customFormat="1" ht="12" customHeight="1">
      <c r="A6" s="58"/>
      <c r="B6" s="59"/>
      <c r="C6" s="80" t="s">
        <v>2</v>
      </c>
      <c r="D6" s="91">
        <f>$D$5*E6/10^3</f>
        <v>9080</v>
      </c>
      <c r="E6" s="97">
        <v>227</v>
      </c>
      <c r="F6" s="123"/>
      <c r="G6" s="93" t="s">
        <v>2</v>
      </c>
      <c r="H6" s="91">
        <f>$H$5*I6/10^3</f>
        <v>9885.5933613183261</v>
      </c>
      <c r="I6" s="97">
        <f>($D$5*E6+$D$19*E20)/$H$5</f>
        <v>244.76842303786245</v>
      </c>
      <c r="J6" s="126"/>
      <c r="K6" s="80" t="s">
        <v>2</v>
      </c>
      <c r="L6" s="91">
        <f>H6*N6</f>
        <v>2965.6780083954977</v>
      </c>
      <c r="M6" s="82">
        <f>L6/$L$5*10^3</f>
        <v>18640.080148108627</v>
      </c>
      <c r="N6" s="117">
        <v>0.3</v>
      </c>
      <c r="O6" s="93" t="s">
        <v>2</v>
      </c>
      <c r="P6" s="91">
        <f t="shared" si="0"/>
        <v>6919.9153529228279</v>
      </c>
      <c r="Q6" s="97">
        <f>P6/$P$5*10^3</f>
        <v>172.01553222397649</v>
      </c>
      <c r="R6" s="120">
        <f ca="1">1-U6/P6</f>
        <v>0.95378545056608088</v>
      </c>
      <c r="S6" s="59"/>
      <c r="T6" s="93" t="s">
        <v>2</v>
      </c>
      <c r="U6" s="91">
        <f ca="1">$U$5*V6/10^3</f>
        <v>319.80077015618821</v>
      </c>
      <c r="V6" s="97">
        <v>8</v>
      </c>
      <c r="W6" s="100"/>
      <c r="X6" s="59"/>
      <c r="Z6" s="113" t="s">
        <v>86</v>
      </c>
      <c r="AA6" s="157">
        <f ca="1">L32-H32</f>
        <v>139.87650470506</v>
      </c>
      <c r="AB6" s="157">
        <v>139.8766778447017</v>
      </c>
      <c r="AD6" s="132">
        <f t="shared" ref="AD6:AD11" ca="1" si="1">AA6-AB6</f>
        <v>-1.7313964170284635E-4</v>
      </c>
    </row>
    <row r="7" spans="1:30" s="53" customFormat="1" ht="12" customHeight="1">
      <c r="A7" s="58"/>
      <c r="B7" s="59"/>
      <c r="C7" s="80" t="s">
        <v>50</v>
      </c>
      <c r="D7" s="91">
        <f>$D$5*E7/10^3</f>
        <v>7000</v>
      </c>
      <c r="E7" s="97">
        <v>175</v>
      </c>
      <c r="F7" s="123"/>
      <c r="G7" s="93" t="s">
        <v>50</v>
      </c>
      <c r="H7" s="91">
        <f>$H$5*I7/10^3</f>
        <v>7719.6252950019134</v>
      </c>
      <c r="I7" s="97">
        <f>($D$5*E7+$D$19*E21)/$H$5</f>
        <v>191.13880581962647</v>
      </c>
      <c r="J7" s="126"/>
      <c r="K7" s="80" t="s">
        <v>50</v>
      </c>
      <c r="L7" s="91">
        <f>H7*N7</f>
        <v>2315.8875885005741</v>
      </c>
      <c r="M7" s="82">
        <f>L7/$L$5*10^3</f>
        <v>14555.97342039698</v>
      </c>
      <c r="N7" s="118">
        <v>0.3</v>
      </c>
      <c r="O7" s="93" t="s">
        <v>50</v>
      </c>
      <c r="P7" s="91">
        <f t="shared" si="0"/>
        <v>5403.7377065013388</v>
      </c>
      <c r="Q7" s="97">
        <f>P7/$P$5*10^3</f>
        <v>134.32632773318321</v>
      </c>
      <c r="R7" s="120">
        <f ca="1">1-U7/P7</f>
        <v>0.8594441717244814</v>
      </c>
      <c r="S7" s="59"/>
      <c r="T7" s="93" t="s">
        <v>50</v>
      </c>
      <c r="U7" s="91">
        <f ca="1">$U$5*V7/10^3</f>
        <v>759.52682912094701</v>
      </c>
      <c r="V7" s="97">
        <v>19</v>
      </c>
      <c r="W7" s="100"/>
      <c r="X7" s="59"/>
      <c r="Z7" s="113" t="s">
        <v>93</v>
      </c>
      <c r="AA7" s="158">
        <f ca="1">D20/$D$19*10^3</f>
        <v>2078.7579039326665</v>
      </c>
      <c r="AB7" s="158">
        <v>2078.7604623097109</v>
      </c>
      <c r="AD7" s="132">
        <f t="shared" ca="1" si="1"/>
        <v>-2.5583770443518006E-3</v>
      </c>
    </row>
    <row r="8" spans="1:30" s="53" customFormat="1" ht="12" customHeight="1">
      <c r="A8" s="58"/>
      <c r="B8" s="59"/>
      <c r="C8" s="80" t="s">
        <v>3</v>
      </c>
      <c r="D8" s="91">
        <f>$D$5*E8/10^3</f>
        <v>8240</v>
      </c>
      <c r="E8" s="97">
        <v>206</v>
      </c>
      <c r="F8" s="123"/>
      <c r="G8" s="93" t="s">
        <v>3</v>
      </c>
      <c r="H8" s="91">
        <f>$H$5*I8/10^3</f>
        <v>9546.1328003884773</v>
      </c>
      <c r="I8" s="97">
        <f>($D$5*E8+$D$19*E22)/$H$5</f>
        <v>236.3633406977907</v>
      </c>
      <c r="J8" s="126"/>
      <c r="K8" s="80" t="s">
        <v>3</v>
      </c>
      <c r="L8" s="91">
        <f>H8*N8</f>
        <v>4773.0664001942387</v>
      </c>
      <c r="M8" s="82">
        <f>참조!D20*10^6</f>
        <v>30000</v>
      </c>
      <c r="N8" s="118">
        <v>0.5</v>
      </c>
      <c r="O8" s="93" t="s">
        <v>3</v>
      </c>
      <c r="P8" s="91">
        <f t="shared" si="0"/>
        <v>4773.0664001942387</v>
      </c>
      <c r="Q8" s="97">
        <f>P8/$P$5*10^3</f>
        <v>118.64907521202564</v>
      </c>
      <c r="R8" s="120">
        <f ca="1">1-U8/P8</f>
        <v>0.95794809823413163</v>
      </c>
      <c r="S8" s="59"/>
      <c r="T8" s="93" t="s">
        <v>3</v>
      </c>
      <c r="U8" s="91">
        <f ca="1">$U$5*V8/10^3</f>
        <v>199.87548134761764</v>
      </c>
      <c r="V8" s="97">
        <v>5</v>
      </c>
      <c r="W8" s="100"/>
      <c r="X8" s="59"/>
      <c r="Z8" s="59"/>
      <c r="AA8" s="158">
        <f ca="1">D21/$D$19*10^3</f>
        <v>1856.9250419035322</v>
      </c>
      <c r="AB8" s="158">
        <v>1856.9276793442059</v>
      </c>
      <c r="AD8" s="132">
        <f t="shared" ca="1" si="1"/>
        <v>-2.637440673652236E-3</v>
      </c>
    </row>
    <row r="9" spans="1:30" s="53" customFormat="1" ht="12" customHeight="1">
      <c r="A9" s="58"/>
      <c r="B9" s="59"/>
      <c r="C9" s="80" t="s">
        <v>4</v>
      </c>
      <c r="D9" s="91">
        <f>$D$5*E9/10^3</f>
        <v>1792</v>
      </c>
      <c r="E9" s="98">
        <v>44.8</v>
      </c>
      <c r="F9" s="123"/>
      <c r="G9" s="93" t="s">
        <v>4</v>
      </c>
      <c r="H9" s="91">
        <f>$H$5*I9/10^3</f>
        <v>1885.4433599914746</v>
      </c>
      <c r="I9" s="97">
        <f>($D$5*E9+$D$19*E23)/$H$5</f>
        <v>46.683793383422923</v>
      </c>
      <c r="J9" s="127"/>
      <c r="K9" s="80" t="s">
        <v>4</v>
      </c>
      <c r="L9" s="91">
        <f>H9*N9</f>
        <v>282.8165039987212</v>
      </c>
      <c r="M9" s="114">
        <f>L9/$L$5*10^3</f>
        <v>1777.5774331604443</v>
      </c>
      <c r="N9" s="118">
        <v>0.15</v>
      </c>
      <c r="O9" s="93" t="s">
        <v>4</v>
      </c>
      <c r="P9" s="91">
        <f t="shared" si="0"/>
        <v>1602.6268559927535</v>
      </c>
      <c r="Q9" s="98">
        <f>P9/$P$5*10^3</f>
        <v>39.838162395092233</v>
      </c>
      <c r="R9" s="120">
        <f ca="1">1-U9/P9</f>
        <v>0.80002788912792155</v>
      </c>
      <c r="S9" s="59"/>
      <c r="T9" s="93" t="s">
        <v>4</v>
      </c>
      <c r="U9" s="91">
        <f ca="1">$U$5*V9/10^3</f>
        <v>319.80077015618821</v>
      </c>
      <c r="V9" s="98">
        <v>8</v>
      </c>
      <c r="W9" s="100"/>
      <c r="X9" s="59"/>
      <c r="Z9" s="59"/>
      <c r="AA9" s="158">
        <f ca="1">D22/$D$19*10^3</f>
        <v>3370.3520201786641</v>
      </c>
      <c r="AB9" s="158">
        <v>3370.3569993801812</v>
      </c>
      <c r="AD9" s="132">
        <f t="shared" ca="1" si="1"/>
        <v>-4.9792015170169179E-3</v>
      </c>
    </row>
    <row r="10" spans="1:30" s="53" customFormat="1" ht="12" customHeight="1">
      <c r="A10" s="58"/>
      <c r="B10" s="59"/>
      <c r="C10" s="83" t="s">
        <v>5</v>
      </c>
      <c r="D10" s="94">
        <f>$D$5*E10/10^3</f>
        <v>260</v>
      </c>
      <c r="E10" s="99">
        <v>6.5</v>
      </c>
      <c r="F10" s="123"/>
      <c r="G10" s="96" t="s">
        <v>5</v>
      </c>
      <c r="H10" s="94">
        <f>$H$5*I10/10^3</f>
        <v>315.31075392213614</v>
      </c>
      <c r="I10" s="122">
        <f>($D$5*E10+$D$19*E24)/$H$5</f>
        <v>7.8071303546020454</v>
      </c>
      <c r="J10" s="127"/>
      <c r="K10" s="83" t="s">
        <v>5</v>
      </c>
      <c r="L10" s="94">
        <f>H10*N10</f>
        <v>47.29661308832042</v>
      </c>
      <c r="M10" s="115">
        <f>L10/L5*10^3</f>
        <v>297.27187381928542</v>
      </c>
      <c r="N10" s="119">
        <v>0.15</v>
      </c>
      <c r="O10" s="96" t="s">
        <v>5</v>
      </c>
      <c r="P10" s="94">
        <f t="shared" si="0"/>
        <v>268.0141408338157</v>
      </c>
      <c r="Q10" s="99">
        <f>P10/$P$5*10^3</f>
        <v>6.6623062173163472</v>
      </c>
      <c r="R10" s="121">
        <f ca="1">1-U10/P10</f>
        <v>0.89559294408268819</v>
      </c>
      <c r="S10" s="59"/>
      <c r="T10" s="96" t="s">
        <v>5</v>
      </c>
      <c r="U10" s="94">
        <f ca="1">$U$5*V10/10^3</f>
        <v>27.982567388666471</v>
      </c>
      <c r="V10" s="99">
        <v>0.7</v>
      </c>
      <c r="W10" s="100"/>
      <c r="X10" s="59"/>
      <c r="Z10" s="59"/>
      <c r="AA10" s="158">
        <f ca="1">D23/$D$19*10^3</f>
        <v>241.12177876825177</v>
      </c>
      <c r="AB10" s="158">
        <v>241.12209899268862</v>
      </c>
      <c r="AD10" s="132">
        <f t="shared" ca="1" si="1"/>
        <v>-3.2022443684809332E-4</v>
      </c>
    </row>
    <row r="11" spans="1:30" s="53" customFormat="1" ht="12" customHeight="1" thickBot="1">
      <c r="A11" s="58"/>
      <c r="B11" s="59"/>
      <c r="C11" s="59"/>
      <c r="D11" s="123"/>
      <c r="E11" s="128"/>
      <c r="F11" s="123"/>
      <c r="G11" s="123"/>
      <c r="H11" s="123"/>
      <c r="I11" s="128"/>
      <c r="J11" s="128"/>
      <c r="K11" s="59"/>
      <c r="L11" s="123"/>
      <c r="M11" s="89"/>
      <c r="N11" s="129"/>
      <c r="O11" s="129"/>
      <c r="P11" s="123"/>
      <c r="Q11" s="123"/>
      <c r="R11" s="128"/>
      <c r="S11" s="59"/>
      <c r="T11" s="123"/>
      <c r="U11" s="123"/>
      <c r="V11" s="128"/>
      <c r="W11" s="193"/>
      <c r="X11" s="59"/>
      <c r="Z11" s="59"/>
      <c r="AA11" s="158">
        <f ca="1">D24/$D$19*10^3</f>
        <v>142.72417294052835</v>
      </c>
      <c r="AB11" s="158">
        <v>142.72437424970963</v>
      </c>
      <c r="AD11" s="132">
        <f t="shared" ca="1" si="1"/>
        <v>-2.0130918127847508E-4</v>
      </c>
    </row>
    <row r="12" spans="1:30" s="53" customFormat="1" ht="12" customHeight="1">
      <c r="A12" s="58"/>
      <c r="B12" s="59"/>
      <c r="C12" s="59"/>
      <c r="D12" s="59"/>
      <c r="E12" s="85" t="s">
        <v>75</v>
      </c>
      <c r="F12" s="87"/>
      <c r="G12" s="58"/>
      <c r="H12" s="85" t="s">
        <v>144</v>
      </c>
      <c r="I12" s="167" t="s">
        <v>145</v>
      </c>
      <c r="J12" s="168"/>
      <c r="K12" s="86" t="s">
        <v>146</v>
      </c>
      <c r="L12" s="87"/>
      <c r="M12" s="59"/>
      <c r="N12" s="85" t="s">
        <v>81</v>
      </c>
      <c r="O12" s="86"/>
      <c r="P12" s="87"/>
      <c r="Q12" s="59"/>
      <c r="R12" s="184"/>
      <c r="S12" s="184"/>
      <c r="T12" s="177"/>
      <c r="U12" s="59"/>
      <c r="V12" s="59"/>
      <c r="W12" s="100"/>
      <c r="X12" s="59"/>
    </row>
    <row r="13" spans="1:30" s="53" customFormat="1" ht="12" customHeight="1" thickBot="1">
      <c r="A13" s="58"/>
      <c r="B13" s="59"/>
      <c r="C13" s="59"/>
      <c r="D13" s="59"/>
      <c r="E13" s="60"/>
      <c r="F13" s="88"/>
      <c r="G13" s="58"/>
      <c r="H13" s="60"/>
      <c r="I13" s="165"/>
      <c r="J13" s="169"/>
      <c r="K13" s="61"/>
      <c r="L13" s="88"/>
      <c r="M13" s="59"/>
      <c r="N13" s="60"/>
      <c r="O13" s="61"/>
      <c r="P13" s="88"/>
      <c r="Q13" s="59"/>
      <c r="R13" s="184"/>
      <c r="S13" s="184"/>
      <c r="T13" s="177"/>
      <c r="U13" s="59"/>
      <c r="V13" s="59"/>
      <c r="W13" s="100"/>
      <c r="X13" s="59"/>
    </row>
    <row r="14" spans="1:30" s="53" customFormat="1" ht="12" customHeight="1">
      <c r="A14" s="58"/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100"/>
      <c r="X14" s="59"/>
    </row>
    <row r="15" spans="1:30" ht="12" customHeight="1">
      <c r="A15" s="2"/>
      <c r="B15" s="24"/>
      <c r="C15" s="24"/>
      <c r="D15" s="24"/>
      <c r="E15" s="24"/>
      <c r="F15" s="76"/>
      <c r="G15" s="24"/>
      <c r="H15" s="24"/>
      <c r="I15" s="24"/>
      <c r="J15" s="24"/>
      <c r="K15" s="24"/>
      <c r="L15" s="24" t="s">
        <v>142</v>
      </c>
      <c r="M15" s="24"/>
      <c r="N15" s="24"/>
      <c r="O15" s="24"/>
      <c r="P15" s="76"/>
      <c r="Q15" s="24"/>
      <c r="R15" s="24"/>
      <c r="S15" s="76"/>
      <c r="T15" s="185" t="s">
        <v>138</v>
      </c>
      <c r="U15" s="186"/>
      <c r="V15" s="186"/>
      <c r="W15" s="194"/>
      <c r="X15" s="24"/>
      <c r="Y15"/>
      <c r="Z15"/>
      <c r="AA15"/>
      <c r="AB15"/>
      <c r="AC15"/>
    </row>
    <row r="16" spans="1:30" ht="12" customHeight="1">
      <c r="A16" s="2"/>
      <c r="B16" s="24"/>
      <c r="C16" s="24"/>
      <c r="D16" s="24"/>
      <c r="E16" s="24"/>
      <c r="F16" s="76"/>
      <c r="G16" s="24"/>
      <c r="H16" s="24"/>
      <c r="I16" s="24"/>
      <c r="J16" s="24"/>
      <c r="K16" s="24"/>
      <c r="L16" s="24"/>
      <c r="M16" s="24"/>
      <c r="N16" s="24"/>
      <c r="O16" s="24"/>
      <c r="P16" s="76"/>
      <c r="Q16" s="24"/>
      <c r="R16" s="24"/>
      <c r="S16" s="76"/>
      <c r="T16" s="177" t="s">
        <v>133</v>
      </c>
      <c r="U16" s="187">
        <f ca="1">U10*W16</f>
        <v>0</v>
      </c>
      <c r="V16" s="177">
        <f ca="1">U16/$U$19*10^3</f>
        <v>0</v>
      </c>
      <c r="W16" s="195">
        <v>0</v>
      </c>
      <c r="X16" s="24"/>
      <c r="Y16"/>
      <c r="Z16"/>
      <c r="AA16"/>
      <c r="AB16"/>
      <c r="AC16"/>
    </row>
    <row r="17" spans="1:29" s="53" customFormat="1" ht="12" customHeight="1">
      <c r="A17" s="58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177"/>
      <c r="U17" s="177"/>
      <c r="V17" s="177"/>
      <c r="W17" s="196"/>
      <c r="X17" s="59"/>
    </row>
    <row r="18" spans="1:29" s="53" customFormat="1" ht="12" customHeight="1" thickBot="1">
      <c r="A18" s="58"/>
      <c r="B18" s="59"/>
      <c r="C18" s="106" t="s">
        <v>78</v>
      </c>
      <c r="D18" s="107"/>
      <c r="E18" s="108"/>
      <c r="F18" s="59"/>
      <c r="G18" s="106" t="s">
        <v>86</v>
      </c>
      <c r="H18" s="107"/>
      <c r="I18" s="108"/>
      <c r="J18" s="59"/>
      <c r="K18" s="106" t="s">
        <v>84</v>
      </c>
      <c r="L18" s="107"/>
      <c r="M18" s="108"/>
      <c r="N18" s="59"/>
      <c r="O18" s="59"/>
      <c r="P18" s="109" t="s">
        <v>127</v>
      </c>
      <c r="Q18" s="110"/>
      <c r="R18" s="111"/>
      <c r="S18" s="59"/>
      <c r="T18" s="186" t="s">
        <v>139</v>
      </c>
      <c r="U18" s="186"/>
      <c r="V18" s="186"/>
      <c r="W18" s="196" t="s">
        <v>77</v>
      </c>
      <c r="X18" s="59"/>
      <c r="Y18" s="178" t="s">
        <v>80</v>
      </c>
    </row>
    <row r="19" spans="1:29" s="53" customFormat="1" ht="12" customHeight="1" thickTop="1">
      <c r="A19" s="58"/>
      <c r="B19" s="59"/>
      <c r="C19" s="112" t="s">
        <v>74</v>
      </c>
      <c r="D19" s="203">
        <f t="shared" ref="D19:D24" si="2">H19+L19</f>
        <v>387.53544524472608</v>
      </c>
      <c r="E19" s="200"/>
      <c r="F19" s="59"/>
      <c r="G19" s="112" t="s">
        <v>74</v>
      </c>
      <c r="H19" s="203">
        <f>AB6</f>
        <v>139.8766778447017</v>
      </c>
      <c r="I19" s="200"/>
      <c r="J19" s="59"/>
      <c r="K19" s="79" t="s">
        <v>74</v>
      </c>
      <c r="L19" s="203">
        <f>AB5</f>
        <v>247.65876740002437</v>
      </c>
      <c r="M19" s="200"/>
      <c r="N19" s="59"/>
      <c r="O19" s="59"/>
      <c r="P19" s="79" t="s">
        <v>74</v>
      </c>
      <c r="Q19" s="199">
        <f ca="1">Q22/R22*10^3</f>
        <v>254.00362904805789</v>
      </c>
      <c r="R19" s="200"/>
      <c r="S19" s="59"/>
      <c r="T19" s="177" t="s">
        <v>128</v>
      </c>
      <c r="U19" s="188">
        <f ca="1">U5-Z35</f>
        <v>38775.843381437822</v>
      </c>
      <c r="V19" s="189"/>
      <c r="W19" s="195">
        <v>0.03</v>
      </c>
      <c r="X19" s="59"/>
      <c r="Y19" s="179" t="s">
        <v>77</v>
      </c>
    </row>
    <row r="20" spans="1:29" s="53" customFormat="1" ht="12" customHeight="1">
      <c r="A20" s="58"/>
      <c r="B20" s="59"/>
      <c r="C20" s="80" t="s">
        <v>2</v>
      </c>
      <c r="D20" s="81">
        <f t="shared" ca="1" si="2"/>
        <v>805.59236985653934</v>
      </c>
      <c r="E20" s="114">
        <f>AB7</f>
        <v>2078.7604623097109</v>
      </c>
      <c r="F20" s="59"/>
      <c r="G20" s="80" t="s">
        <v>2</v>
      </c>
      <c r="H20" s="81">
        <f ca="1">L33-H33</f>
        <v>177.85805568261276</v>
      </c>
      <c r="I20" s="114">
        <f ca="1">H20/$H$19*10^3</f>
        <v>1271.5347434836845</v>
      </c>
      <c r="J20" s="59"/>
      <c r="K20" s="80" t="s">
        <v>2</v>
      </c>
      <c r="L20" s="81">
        <f ca="1">P33-L33</f>
        <v>627.73431417392658</v>
      </c>
      <c r="M20" s="92">
        <f ca="1">L20/$L$19*10^3</f>
        <v>2534.6743051498561</v>
      </c>
      <c r="N20" s="59"/>
      <c r="O20" s="59"/>
      <c r="P20" s="80" t="s">
        <v>2</v>
      </c>
      <c r="Q20" s="91">
        <f ca="1">Q22*0.6</f>
        <v>1219.2174194306779</v>
      </c>
      <c r="R20" s="82">
        <f ca="1">Q20/$Q$19*10^3</f>
        <v>4800</v>
      </c>
      <c r="S20" s="59"/>
      <c r="T20" s="177" t="s">
        <v>129</v>
      </c>
      <c r="U20" s="187">
        <f ca="1">U6-Z36</f>
        <v>319.80077015618821</v>
      </c>
      <c r="V20" s="177">
        <f ca="1">U20/$U$19*10^3</f>
        <v>8.247422680412372</v>
      </c>
      <c r="W20" s="195">
        <v>0</v>
      </c>
      <c r="X20" s="59"/>
      <c r="Y20" s="180">
        <f ca="1">1-(U20/D6)</f>
        <v>0.96477965086385598</v>
      </c>
    </row>
    <row r="21" spans="1:29" s="53" customFormat="1" ht="12" customHeight="1">
      <c r="A21" s="58"/>
      <c r="B21" s="59"/>
      <c r="C21" s="80" t="s">
        <v>50</v>
      </c>
      <c r="D21" s="81">
        <f t="shared" ca="1" si="2"/>
        <v>719.62427290016694</v>
      </c>
      <c r="E21" s="114">
        <f>AB8</f>
        <v>1856.9276793442059</v>
      </c>
      <c r="F21" s="59"/>
      <c r="G21" s="80" t="s">
        <v>50</v>
      </c>
      <c r="H21" s="81">
        <f ca="1">L34-H34</f>
        <v>158.87808622471221</v>
      </c>
      <c r="I21" s="114">
        <f ca="1">H21/$H$19*10^3</f>
        <v>1135.8440068265479</v>
      </c>
      <c r="J21" s="59"/>
      <c r="K21" s="80" t="s">
        <v>50</v>
      </c>
      <c r="L21" s="81">
        <f ca="1">P34-L34</f>
        <v>560.74618667545474</v>
      </c>
      <c r="M21" s="92">
        <f ca="1">L21/$L$19*10^3</f>
        <v>2264.188716443557</v>
      </c>
      <c r="N21" s="59"/>
      <c r="O21" s="59"/>
      <c r="P21" s="80" t="s">
        <v>50</v>
      </c>
      <c r="Q21" s="91">
        <f ca="1">Q22*0.7</f>
        <v>1422.4203226691243</v>
      </c>
      <c r="R21" s="82">
        <f ca="1">Q21/$Q$19*10^3</f>
        <v>5600.0000000000009</v>
      </c>
      <c r="S21" s="59"/>
      <c r="T21" s="177" t="s">
        <v>130</v>
      </c>
      <c r="U21" s="187">
        <f ca="1">U7-Z37</f>
        <v>759.52682912094701</v>
      </c>
      <c r="V21" s="177">
        <f ca="1">U21/$U$19*10^3</f>
        <v>19.587628865979383</v>
      </c>
      <c r="W21" s="195">
        <v>0</v>
      </c>
      <c r="X21" s="59"/>
      <c r="Y21" s="180">
        <f ca="1">1-(U21/D7)</f>
        <v>0.89149616726843617</v>
      </c>
    </row>
    <row r="22" spans="1:29" s="53" customFormat="1" ht="12" customHeight="1">
      <c r="A22" s="58"/>
      <c r="B22" s="59"/>
      <c r="C22" s="80" t="s">
        <v>3</v>
      </c>
      <c r="D22" s="81">
        <f t="shared" ca="1" si="2"/>
        <v>1306.1308707714006</v>
      </c>
      <c r="E22" s="114">
        <f>AB9</f>
        <v>3370.3569993801812</v>
      </c>
      <c r="F22" s="59"/>
      <c r="G22" s="80" t="s">
        <v>3</v>
      </c>
      <c r="H22" s="81">
        <f ca="1">L35-H35</f>
        <v>288.36655588459507</v>
      </c>
      <c r="I22" s="114">
        <f ca="1">H22/$H$19*10^3</f>
        <v>2061.5771001135336</v>
      </c>
      <c r="J22" s="59"/>
      <c r="K22" s="80" t="s">
        <v>3</v>
      </c>
      <c r="L22" s="81">
        <f ca="1">P35-L35</f>
        <v>1017.7643148868056</v>
      </c>
      <c r="M22" s="92">
        <f ca="1">L22/$L$19*10^3</f>
        <v>4109.5428422402192</v>
      </c>
      <c r="N22" s="59"/>
      <c r="O22" s="59"/>
      <c r="P22" s="80" t="s">
        <v>3</v>
      </c>
      <c r="Q22" s="91">
        <f ca="1">I42</f>
        <v>2032.0290323844633</v>
      </c>
      <c r="R22" s="82">
        <f>참조!D52*10^6</f>
        <v>8000</v>
      </c>
      <c r="S22" s="59"/>
      <c r="T22" s="177" t="s">
        <v>131</v>
      </c>
      <c r="U22" s="187">
        <f ca="1">U8-Z38</f>
        <v>199.87548134761764</v>
      </c>
      <c r="V22" s="177">
        <f ca="1">U22/$U$19*10^3</f>
        <v>5.1546391752577323</v>
      </c>
      <c r="W22" s="195">
        <v>0</v>
      </c>
      <c r="X22" s="59"/>
      <c r="Y22" s="180">
        <f ca="1">1-(U22/D8)</f>
        <v>0.97562494129907107</v>
      </c>
    </row>
    <row r="23" spans="1:29" s="53" customFormat="1" ht="12" customHeight="1">
      <c r="A23" s="58"/>
      <c r="B23" s="59"/>
      <c r="C23" s="80" t="s">
        <v>4</v>
      </c>
      <c r="D23" s="81">
        <f t="shared" ca="1" si="2"/>
        <v>93.443235893154792</v>
      </c>
      <c r="E23" s="114">
        <f>AB10</f>
        <v>241.12209899268862</v>
      </c>
      <c r="F23" s="59"/>
      <c r="G23" s="80" t="s">
        <v>4</v>
      </c>
      <c r="H23" s="81">
        <f ca="1">L36-H36</f>
        <v>20.630324807579655</v>
      </c>
      <c r="I23" s="114">
        <f ca="1">H23/$H$19*10^3</f>
        <v>147.48938225773782</v>
      </c>
      <c r="J23" s="59"/>
      <c r="K23" s="80" t="s">
        <v>4</v>
      </c>
      <c r="L23" s="81">
        <f ca="1">P36-L36</f>
        <v>72.812911085575138</v>
      </c>
      <c r="M23" s="92">
        <f ca="1">L23/$L$19*10^3</f>
        <v>294.00498052211481</v>
      </c>
      <c r="N23" s="59"/>
      <c r="O23" s="59"/>
      <c r="P23" s="80" t="s">
        <v>4</v>
      </c>
      <c r="Q23" s="91">
        <f ca="1">Q22*AC31</f>
        <v>203.20290323844634</v>
      </c>
      <c r="R23" s="114">
        <f ca="1">Q23/$Q$19*10^3</f>
        <v>800.00000000000011</v>
      </c>
      <c r="S23" s="59"/>
      <c r="T23" s="177" t="s">
        <v>132</v>
      </c>
      <c r="U23" s="187">
        <f ca="1">U9*(1-W23)</f>
        <v>319.80077015618821</v>
      </c>
      <c r="V23" s="177">
        <f ca="1">U23/$U$19*10^3</f>
        <v>8.247422680412372</v>
      </c>
      <c r="W23" s="195">
        <v>0</v>
      </c>
      <c r="X23" s="59"/>
      <c r="Y23" s="180">
        <f ca="1">1-(U23/D9)</f>
        <v>0.82114050886119228</v>
      </c>
    </row>
    <row r="24" spans="1:29" s="53" customFormat="1" ht="12" customHeight="1">
      <c r="A24" s="58"/>
      <c r="B24" s="59"/>
      <c r="C24" s="83" t="s">
        <v>5</v>
      </c>
      <c r="D24" s="84">
        <f t="shared" ca="1" si="2"/>
        <v>55.310675907692939</v>
      </c>
      <c r="E24" s="115">
        <f>AB11</f>
        <v>142.72437424970963</v>
      </c>
      <c r="F24" s="59"/>
      <c r="G24" s="83" t="s">
        <v>5</v>
      </c>
      <c r="H24" s="84">
        <f ca="1">L37-H37</f>
        <v>12.211447927672481</v>
      </c>
      <c r="I24" s="115">
        <f ca="1">H24/$H$19*10^3</f>
        <v>87.301529574717662</v>
      </c>
      <c r="J24" s="59"/>
      <c r="K24" s="83" t="s">
        <v>5</v>
      </c>
      <c r="L24" s="84">
        <f ca="1">P37-L37</f>
        <v>43.099227980020459</v>
      </c>
      <c r="M24" s="95">
        <f ca="1">L24/$L$19*10^3</f>
        <v>174.02665947378131</v>
      </c>
      <c r="N24" s="59"/>
      <c r="O24" s="59"/>
      <c r="P24" s="83" t="s">
        <v>5</v>
      </c>
      <c r="Q24" s="94">
        <f ca="1">P10-U10</f>
        <v>240.03157344514923</v>
      </c>
      <c r="R24" s="115">
        <f ca="1">Q24/Q19*10^3</f>
        <v>944.99269299705509</v>
      </c>
      <c r="S24" s="59"/>
      <c r="T24" s="177" t="s">
        <v>133</v>
      </c>
      <c r="U24" s="187">
        <f ca="1">U10-U16</f>
        <v>27.982567388666471</v>
      </c>
      <c r="V24" s="177">
        <f ca="1">U24/$U$19*10^3</f>
        <v>0.72164948453608246</v>
      </c>
      <c r="W24" s="195">
        <f>W16</f>
        <v>0</v>
      </c>
      <c r="X24" s="59"/>
      <c r="Y24" s="181">
        <f ca="1">1-(U24/D10)</f>
        <v>0.89237474081282131</v>
      </c>
    </row>
    <row r="25" spans="1:29" s="53" customFormat="1" ht="12" customHeight="1">
      <c r="A25" s="58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100"/>
      <c r="X25" s="59"/>
      <c r="AA25" s="53" t="s">
        <v>97</v>
      </c>
    </row>
    <row r="26" spans="1:29" s="53" customFormat="1" ht="12" customHeight="1" thickBot="1">
      <c r="A26" s="58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100"/>
      <c r="X26" s="59"/>
      <c r="AA26" s="53">
        <f ca="1">P32/D5*100</f>
        <v>1.0310979393029978</v>
      </c>
    </row>
    <row r="27" spans="1:29" s="53" customFormat="1" ht="12" customHeight="1">
      <c r="A27" s="58"/>
      <c r="B27" s="59"/>
      <c r="C27" s="59"/>
      <c r="D27" s="59"/>
      <c r="E27" s="59"/>
      <c r="F27" s="59"/>
      <c r="G27" s="85" t="s">
        <v>83</v>
      </c>
      <c r="H27" s="86"/>
      <c r="I27" s="58"/>
      <c r="J27" s="59"/>
      <c r="K27" s="85" t="s">
        <v>143</v>
      </c>
      <c r="L27" s="87"/>
      <c r="M27" s="59"/>
      <c r="N27" s="59"/>
      <c r="O27" s="85" t="s">
        <v>89</v>
      </c>
      <c r="P27" s="86"/>
      <c r="Q27" s="87"/>
      <c r="R27" s="59"/>
      <c r="S27" s="59"/>
      <c r="T27" s="59"/>
      <c r="U27" s="59"/>
      <c r="V27" s="59"/>
      <c r="W27" s="100"/>
      <c r="X27" s="59"/>
    </row>
    <row r="28" spans="1:29" s="53" customFormat="1" ht="12" customHeight="1">
      <c r="A28" s="58"/>
      <c r="B28" s="59"/>
      <c r="C28" s="59"/>
      <c r="D28" s="59"/>
      <c r="E28" s="59"/>
      <c r="F28" s="59"/>
      <c r="G28" s="58" t="s">
        <v>90</v>
      </c>
      <c r="H28" s="154">
        <f>참조!G47</f>
        <v>0.95</v>
      </c>
      <c r="I28" s="58"/>
      <c r="J28" s="59"/>
      <c r="K28" s="58" t="s">
        <v>90</v>
      </c>
      <c r="L28" s="166">
        <f>참조!D56</f>
        <v>0.85</v>
      </c>
      <c r="M28" s="59"/>
      <c r="N28" s="59"/>
      <c r="O28" s="58"/>
      <c r="P28" s="59"/>
      <c r="Q28" s="100"/>
      <c r="R28" s="59"/>
      <c r="S28" s="59"/>
      <c r="T28" s="59"/>
      <c r="U28" s="59"/>
      <c r="V28" s="59"/>
      <c r="W28" s="100"/>
      <c r="X28" s="59"/>
    </row>
    <row r="29" spans="1:29" s="53" customFormat="1" ht="12" customHeight="1" thickBot="1">
      <c r="A29" s="58"/>
      <c r="B29" s="59"/>
      <c r="C29" s="59"/>
      <c r="D29" s="59"/>
      <c r="E29" s="59"/>
      <c r="F29" s="59"/>
      <c r="G29" s="60"/>
      <c r="H29" s="61"/>
      <c r="I29" s="58"/>
      <c r="J29" s="59"/>
      <c r="K29" s="60"/>
      <c r="L29" s="88"/>
      <c r="M29" s="59"/>
      <c r="N29" s="59"/>
      <c r="O29" s="60" t="s">
        <v>82</v>
      </c>
      <c r="P29" s="61"/>
      <c r="Q29" s="88"/>
      <c r="R29" s="59"/>
      <c r="S29" s="59"/>
      <c r="T29" s="59"/>
      <c r="U29" s="59"/>
      <c r="V29" s="59"/>
      <c r="W29" s="100"/>
      <c r="X29" s="59"/>
    </row>
    <row r="30" spans="1:29" s="53" customFormat="1" ht="12" customHeight="1">
      <c r="A30" s="58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100"/>
      <c r="X30" s="59"/>
      <c r="AA30" s="53" t="s">
        <v>95</v>
      </c>
      <c r="AC30" s="53" t="s">
        <v>113</v>
      </c>
    </row>
    <row r="31" spans="1:29" s="53" customFormat="1" ht="12" customHeight="1" thickBot="1">
      <c r="A31" s="58"/>
      <c r="B31" s="59"/>
      <c r="C31" s="59"/>
      <c r="D31" s="59"/>
      <c r="E31" s="59"/>
      <c r="F31" s="59"/>
      <c r="G31" s="204" t="s">
        <v>87</v>
      </c>
      <c r="H31" s="205"/>
      <c r="I31" s="206"/>
      <c r="J31" s="59"/>
      <c r="K31" s="204" t="s">
        <v>85</v>
      </c>
      <c r="L31" s="205"/>
      <c r="M31" s="206"/>
      <c r="N31" s="59"/>
      <c r="O31" s="204" t="s">
        <v>88</v>
      </c>
      <c r="P31" s="205"/>
      <c r="Q31" s="206"/>
      <c r="R31" s="59"/>
      <c r="S31" s="59"/>
      <c r="T31" s="59"/>
      <c r="U31" s="59"/>
      <c r="V31" s="59"/>
      <c r="W31" s="100"/>
      <c r="X31" s="59"/>
      <c r="Z31" s="53" t="s">
        <v>12</v>
      </c>
      <c r="AA31" s="53">
        <f ca="1">P37/P35*100</f>
        <v>4.234696319138866</v>
      </c>
      <c r="AC31" s="164">
        <v>0.1</v>
      </c>
    </row>
    <row r="32" spans="1:29" s="53" customFormat="1" ht="12" customHeight="1" thickTop="1">
      <c r="A32" s="58"/>
      <c r="B32" s="59"/>
      <c r="C32" s="59"/>
      <c r="D32" s="59"/>
      <c r="E32" s="59"/>
      <c r="F32" s="59"/>
      <c r="G32" s="112" t="s">
        <v>74</v>
      </c>
      <c r="H32" s="207">
        <f ca="1">H35/I35*10^3</f>
        <v>24.904384371851371</v>
      </c>
      <c r="I32" s="208"/>
      <c r="J32" s="59"/>
      <c r="K32" s="112" t="s">
        <v>74</v>
      </c>
      <c r="L32" s="203">
        <f ca="1">L35/M35*10^3</f>
        <v>164.78088907691136</v>
      </c>
      <c r="M32" s="200"/>
      <c r="N32" s="59"/>
      <c r="O32" s="79" t="s">
        <v>74</v>
      </c>
      <c r="P32" s="203">
        <f t="shared" ref="P32:P37" ca="1" si="3">Q19+L5</f>
        <v>412.43917572119915</v>
      </c>
      <c r="Q32" s="200"/>
      <c r="R32" s="59"/>
      <c r="S32" s="59"/>
      <c r="T32" s="59"/>
      <c r="U32" s="59"/>
      <c r="V32" s="59"/>
      <c r="W32" s="100"/>
      <c r="X32" s="59"/>
      <c r="Z32" s="53" t="s">
        <v>96</v>
      </c>
      <c r="AA32" s="53">
        <f ca="1">P37/P35/0.8*100</f>
        <v>5.2933703989235825</v>
      </c>
    </row>
    <row r="33" spans="1:27" s="53" customFormat="1" ht="12" customHeight="1">
      <c r="A33" s="58"/>
      <c r="B33" s="59"/>
      <c r="C33" s="59"/>
      <c r="D33" s="59"/>
      <c r="E33" s="59"/>
      <c r="F33" s="59"/>
      <c r="G33" s="80" t="s">
        <v>2</v>
      </c>
      <c r="H33" s="81">
        <f ca="1">L33*$H$28</f>
        <v>3379.303057969636</v>
      </c>
      <c r="I33" s="155">
        <f ca="1">H33/$H$32*10^3</f>
        <v>135691.08987047093</v>
      </c>
      <c r="J33" s="59"/>
      <c r="K33" s="80" t="s">
        <v>2</v>
      </c>
      <c r="L33" s="81">
        <f ca="1">P33*$L$28</f>
        <v>3557.1611136522488</v>
      </c>
      <c r="M33" s="92">
        <f ca="1">L33/L32*10^3</f>
        <v>21587.218843029463</v>
      </c>
      <c r="N33" s="59"/>
      <c r="O33" s="80" t="s">
        <v>2</v>
      </c>
      <c r="P33" s="81">
        <f t="shared" ca="1" si="3"/>
        <v>4184.8954278261754</v>
      </c>
      <c r="Q33" s="92">
        <f ca="1">P33/$P$32*10^3</f>
        <v>10146.697196037176</v>
      </c>
      <c r="R33" s="59"/>
      <c r="S33" s="59"/>
      <c r="T33" s="59"/>
      <c r="U33" s="59"/>
      <c r="V33" s="59"/>
      <c r="W33" s="100"/>
      <c r="X33" s="59"/>
    </row>
    <row r="34" spans="1:27" s="53" customFormat="1" ht="12" customHeight="1" thickBot="1">
      <c r="A34" s="58"/>
      <c r="B34" s="59"/>
      <c r="C34" s="59"/>
      <c r="D34" s="59"/>
      <c r="E34" s="59"/>
      <c r="F34" s="59"/>
      <c r="G34" s="80" t="s">
        <v>50</v>
      </c>
      <c r="H34" s="81">
        <f ca="1">L34*$H$28</f>
        <v>3018.6836382695315</v>
      </c>
      <c r="I34" s="155">
        <f ca="1">H34/$H$32*10^3</f>
        <v>121210.93190649005</v>
      </c>
      <c r="J34" s="59"/>
      <c r="K34" s="80" t="s">
        <v>50</v>
      </c>
      <c r="L34" s="81">
        <f ca="1">P34*$L$28</f>
        <v>3177.5617244942437</v>
      </c>
      <c r="M34" s="92">
        <f ca="1">L34/$L$32*10^3</f>
        <v>19283.557348759776</v>
      </c>
      <c r="N34" s="59"/>
      <c r="O34" s="80" t="s">
        <v>50</v>
      </c>
      <c r="P34" s="81">
        <f t="shared" ca="1" si="3"/>
        <v>3738.3079111696984</v>
      </c>
      <c r="Q34" s="92">
        <f ca="1">P34/$P$32*10^3</f>
        <v>9063.9011307129604</v>
      </c>
      <c r="R34" s="59"/>
      <c r="S34" s="59"/>
      <c r="T34" s="59"/>
      <c r="U34" s="59"/>
      <c r="V34" s="59"/>
      <c r="W34" s="100"/>
      <c r="X34" s="59"/>
      <c r="Y34" s="204" t="s">
        <v>134</v>
      </c>
      <c r="Z34" s="205"/>
      <c r="AA34" s="206"/>
    </row>
    <row r="35" spans="1:27" s="53" customFormat="1" ht="12" customHeight="1" thickTop="1">
      <c r="A35" s="58"/>
      <c r="B35" s="59"/>
      <c r="C35" s="59"/>
      <c r="D35" s="59"/>
      <c r="E35" s="59"/>
      <c r="F35" s="59"/>
      <c r="G35" s="80" t="s">
        <v>3</v>
      </c>
      <c r="H35" s="81">
        <f ca="1">L35*$H$28</f>
        <v>5478.9645618073018</v>
      </c>
      <c r="I35" s="155">
        <f>참조!G48*10^6</f>
        <v>220000</v>
      </c>
      <c r="J35" s="59"/>
      <c r="K35" s="80" t="s">
        <v>3</v>
      </c>
      <c r="L35" s="81">
        <f ca="1">P35*$L$28</f>
        <v>5767.3311176918969</v>
      </c>
      <c r="M35" s="92">
        <f>참조!D57*10^6</f>
        <v>35000</v>
      </c>
      <c r="N35" s="59"/>
      <c r="O35" s="80" t="s">
        <v>3</v>
      </c>
      <c r="P35" s="81">
        <f t="shared" ca="1" si="3"/>
        <v>6785.0954325787025</v>
      </c>
      <c r="Q35" s="92">
        <f ca="1">P35/$P$32*10^3</f>
        <v>16451.141967089214</v>
      </c>
      <c r="R35" s="59"/>
      <c r="S35" s="59"/>
      <c r="T35" s="59"/>
      <c r="U35" s="59"/>
      <c r="V35" s="59"/>
      <c r="W35" s="100"/>
      <c r="X35" s="59"/>
      <c r="Y35" s="112" t="s">
        <v>74</v>
      </c>
      <c r="Z35" s="199">
        <f t="shared" ref="Z35:Z40" ca="1" si="4">U5*W19</f>
        <v>1199.2528880857058</v>
      </c>
      <c r="AA35" s="200"/>
    </row>
    <row r="36" spans="1:27" s="53" customFormat="1" ht="12" customHeight="1">
      <c r="A36" s="58"/>
      <c r="B36" s="59"/>
      <c r="C36" s="59"/>
      <c r="D36" s="59"/>
      <c r="E36" s="59"/>
      <c r="F36" s="59"/>
      <c r="G36" s="80" t="s">
        <v>4</v>
      </c>
      <c r="H36" s="81">
        <f ca="1">L36*$H$28</f>
        <v>391.97617134401276</v>
      </c>
      <c r="I36" s="155">
        <f ca="1">H36/$H$32*10^3</f>
        <v>15739.243560144008</v>
      </c>
      <c r="J36" s="59"/>
      <c r="K36" s="80" t="s">
        <v>4</v>
      </c>
      <c r="L36" s="81">
        <f ca="1">P36*$L$28</f>
        <v>412.60649615159241</v>
      </c>
      <c r="M36" s="92">
        <f ca="1">L36/$L$32*10^3</f>
        <v>2503.9705663865466</v>
      </c>
      <c r="N36" s="59"/>
      <c r="O36" s="80" t="s">
        <v>4</v>
      </c>
      <c r="P36" s="81">
        <f t="shared" ca="1" si="3"/>
        <v>485.41940723716755</v>
      </c>
      <c r="Q36" s="92">
        <f ca="1">P36/$P$32*10^3</f>
        <v>1176.9478648296533</v>
      </c>
      <c r="R36" s="59"/>
      <c r="S36" s="59"/>
      <c r="T36" s="59"/>
      <c r="U36" s="59"/>
      <c r="V36" s="59"/>
      <c r="W36" s="100"/>
      <c r="X36" s="59"/>
      <c r="Y36" s="80" t="s">
        <v>2</v>
      </c>
      <c r="Z36" s="91">
        <f t="shared" ca="1" si="4"/>
        <v>0</v>
      </c>
      <c r="AA36" s="114">
        <f ca="1">Z36/$Z$35*10^3</f>
        <v>0</v>
      </c>
    </row>
    <row r="37" spans="1:27" s="53" customFormat="1" ht="12" customHeight="1">
      <c r="A37" s="58"/>
      <c r="B37" s="59"/>
      <c r="C37" s="59"/>
      <c r="D37" s="59"/>
      <c r="E37" s="59"/>
      <c r="F37" s="59"/>
      <c r="G37" s="83" t="s">
        <v>5</v>
      </c>
      <c r="H37" s="84">
        <f ca="1">L37*$H$28</f>
        <v>232.01751062577671</v>
      </c>
      <c r="I37" s="156">
        <f ca="1">H37/$H$32*10^3</f>
        <v>9316.3319021055049</v>
      </c>
      <c r="J37" s="59"/>
      <c r="K37" s="83" t="s">
        <v>5</v>
      </c>
      <c r="L37" s="84">
        <f ca="1">P37*$L$28</f>
        <v>244.22895855344919</v>
      </c>
      <c r="M37" s="95">
        <f ca="1">L37/$L$32*10^3</f>
        <v>1482.1437116986028</v>
      </c>
      <c r="N37" s="59"/>
      <c r="O37" s="83" t="s">
        <v>5</v>
      </c>
      <c r="P37" s="84">
        <f t="shared" ca="1" si="3"/>
        <v>287.32818653346965</v>
      </c>
      <c r="Q37" s="95">
        <f ca="1">P37/$P$32*10^3</f>
        <v>696.65590333663624</v>
      </c>
      <c r="R37" s="59"/>
      <c r="S37" s="59"/>
      <c r="T37" s="59"/>
      <c r="U37" s="59"/>
      <c r="V37" s="59"/>
      <c r="W37" s="100"/>
      <c r="X37" s="59"/>
      <c r="Y37" s="80" t="s">
        <v>50</v>
      </c>
      <c r="Z37" s="91">
        <f t="shared" ca="1" si="4"/>
        <v>0</v>
      </c>
      <c r="AA37" s="114">
        <f ca="1">Z37/$Z$35*10^3</f>
        <v>0</v>
      </c>
    </row>
    <row r="38" spans="1:27" s="53" customFormat="1" ht="12" customHeight="1">
      <c r="A38" s="58"/>
      <c r="B38" s="59"/>
      <c r="C38" s="59"/>
      <c r="D38" s="158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100"/>
      <c r="X38" s="59"/>
      <c r="Y38" s="80" t="s">
        <v>3</v>
      </c>
      <c r="Z38" s="91">
        <f t="shared" ca="1" si="4"/>
        <v>0</v>
      </c>
      <c r="AA38" s="114">
        <f ca="1">Z38/$Z$35*10^3</f>
        <v>0</v>
      </c>
    </row>
    <row r="39" spans="1:27" s="53" customFormat="1" ht="12" customHeight="1" thickBot="1">
      <c r="A39" s="60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88"/>
      <c r="X39" s="59"/>
      <c r="Y39" s="80" t="s">
        <v>4</v>
      </c>
      <c r="Z39" s="91">
        <f t="shared" ca="1" si="4"/>
        <v>0</v>
      </c>
      <c r="AA39" s="114">
        <f ca="1">Z39/$Z$35*10^3</f>
        <v>0</v>
      </c>
    </row>
    <row r="40" spans="1:27" s="53" customFormat="1" ht="12" customHeight="1">
      <c r="Y40" s="83" t="s">
        <v>5</v>
      </c>
      <c r="Z40" s="94">
        <f t="shared" ca="1" si="4"/>
        <v>0</v>
      </c>
      <c r="AA40" s="115">
        <f ca="1">Z40/$Z$35*10^3</f>
        <v>0</v>
      </c>
    </row>
    <row r="41" spans="1:27" s="53" customFormat="1" ht="12" customHeight="1">
      <c r="T41" s="53" t="s">
        <v>125</v>
      </c>
      <c r="U41" s="53" t="s">
        <v>126</v>
      </c>
    </row>
    <row r="42" spans="1:27" ht="12" customHeight="1" thickBot="1">
      <c r="D42" s="49" t="s">
        <v>112</v>
      </c>
      <c r="I42" s="49">
        <f ca="1">(F44*F45)-(F46*G47)+(F48*F49)</f>
        <v>2032.0290323844633</v>
      </c>
      <c r="N42" s="49" t="s">
        <v>116</v>
      </c>
      <c r="R42" s="49" t="s">
        <v>124</v>
      </c>
      <c r="T42" s="49">
        <f>(P44/(1+(P45*P46))*P43*P47)</f>
        <v>4.5670951429282285</v>
      </c>
      <c r="U42" s="49">
        <f>P5*T42/10^3</f>
        <v>183.7270820210455</v>
      </c>
    </row>
    <row r="43" spans="1:27" ht="12" customHeight="1" thickBot="1">
      <c r="K43" s="133" t="s">
        <v>1</v>
      </c>
      <c r="L43" s="161"/>
      <c r="N43" s="49" t="s">
        <v>117</v>
      </c>
      <c r="P43" s="49">
        <f>L49*참조!H6</f>
        <v>68.506427143923432</v>
      </c>
      <c r="T43" s="49">
        <f>L49*참조!H7*(P44/(1+P45*P46))*P48</f>
        <v>0.88297172763279097</v>
      </c>
      <c r="U43" s="49">
        <f>P5*T43/10^3</f>
        <v>35.520569190735472</v>
      </c>
    </row>
    <row r="44" spans="1:27" ht="20.100000000000001" customHeight="1" thickTop="1">
      <c r="C44" s="49" t="s">
        <v>105</v>
      </c>
      <c r="D44" s="49" t="s">
        <v>103</v>
      </c>
      <c r="F44" s="49">
        <v>0.4</v>
      </c>
      <c r="K44" s="171" t="s">
        <v>2</v>
      </c>
      <c r="L44" s="174">
        <f>Q6</f>
        <v>172.01553222397649</v>
      </c>
      <c r="N44" s="49" t="s">
        <v>118</v>
      </c>
      <c r="P44" s="49">
        <f>0.4</f>
        <v>0.4</v>
      </c>
      <c r="U44" s="49">
        <f>SUM(U42:U43)</f>
        <v>219.24765121178098</v>
      </c>
    </row>
    <row r="45" spans="1:27" ht="20.100000000000001" customHeight="1">
      <c r="C45" s="49" t="s">
        <v>106</v>
      </c>
      <c r="D45" s="49" t="s">
        <v>100</v>
      </c>
      <c r="F45" s="163">
        <f ca="1">P6-U6</f>
        <v>6600.1145827666396</v>
      </c>
      <c r="K45" s="172" t="s">
        <v>43</v>
      </c>
      <c r="L45" s="175">
        <f>Q7</f>
        <v>134.32632773318321</v>
      </c>
      <c r="N45" s="49" t="s">
        <v>119</v>
      </c>
      <c r="P45" s="49">
        <f>0.08</f>
        <v>0.08</v>
      </c>
    </row>
    <row r="46" spans="1:27" ht="20.100000000000001" customHeight="1">
      <c r="C46" s="49" t="s">
        <v>107</v>
      </c>
      <c r="D46" s="49" t="s">
        <v>101</v>
      </c>
      <c r="F46" s="49">
        <v>0.05</v>
      </c>
      <c r="K46" s="172" t="s">
        <v>3</v>
      </c>
      <c r="L46" s="175">
        <f>Q8</f>
        <v>118.64907521202564</v>
      </c>
      <c r="N46" s="49" t="s">
        <v>120</v>
      </c>
      <c r="P46" s="49">
        <f>참조!I24</f>
        <v>10</v>
      </c>
    </row>
    <row r="47" spans="1:27" ht="20.100000000000001" customHeight="1">
      <c r="C47" s="49" t="s">
        <v>108</v>
      </c>
      <c r="D47" s="49" t="s">
        <v>102</v>
      </c>
      <c r="F47" s="49">
        <f>참조!$I$25*참조!$I$26</f>
        <v>2000</v>
      </c>
      <c r="G47" s="49">
        <f>F47*P5/10^3</f>
        <v>80456.866463809842</v>
      </c>
      <c r="K47" s="172" t="s">
        <v>4</v>
      </c>
      <c r="L47" s="175">
        <f>Q9</f>
        <v>39.838162395092233</v>
      </c>
      <c r="N47" s="49" t="s">
        <v>121</v>
      </c>
      <c r="P47" s="49">
        <f>0.3</f>
        <v>0.3</v>
      </c>
    </row>
    <row r="48" spans="1:27" ht="20.100000000000001" customHeight="1" thickBot="1">
      <c r="C48" s="49" t="s">
        <v>109</v>
      </c>
      <c r="D48" s="49" t="s">
        <v>104</v>
      </c>
      <c r="F48" s="49">
        <v>0.75</v>
      </c>
      <c r="K48" s="173" t="s">
        <v>5</v>
      </c>
      <c r="L48" s="176">
        <f>Q10</f>
        <v>6.6623062173163472</v>
      </c>
      <c r="N48" s="49" t="s">
        <v>122</v>
      </c>
      <c r="P48" s="49">
        <v>0.02</v>
      </c>
    </row>
    <row r="49" spans="3:16" ht="20.100000000000001" customHeight="1">
      <c r="C49" s="49" t="s">
        <v>110</v>
      </c>
      <c r="D49" s="49" t="s">
        <v>111</v>
      </c>
      <c r="F49" s="163">
        <f ca="1">P8-U8</f>
        <v>4553.1909188466207</v>
      </c>
      <c r="K49" s="172" t="s">
        <v>44</v>
      </c>
      <c r="L49" s="175">
        <f>L45*1.7</f>
        <v>228.35475714641143</v>
      </c>
      <c r="N49" s="49" t="s">
        <v>123</v>
      </c>
      <c r="P49" s="170">
        <f>V8</f>
        <v>5</v>
      </c>
    </row>
    <row r="53" spans="3:16" ht="17.25" thickBot="1">
      <c r="C53" s="204" t="s">
        <v>135</v>
      </c>
      <c r="D53" s="205"/>
      <c r="E53" s="206"/>
    </row>
    <row r="54" spans="3:16" ht="17.25" thickTop="1">
      <c r="C54" s="112" t="s">
        <v>74</v>
      </c>
      <c r="D54" s="199">
        <v>120</v>
      </c>
      <c r="E54" s="200"/>
    </row>
    <row r="55" spans="3:16">
      <c r="C55" s="80" t="s">
        <v>2</v>
      </c>
      <c r="D55" s="91">
        <v>27</v>
      </c>
      <c r="E55" s="114">
        <f>D55/$D$54*10^3</f>
        <v>225</v>
      </c>
    </row>
    <row r="56" spans="3:16">
      <c r="C56" s="80" t="s">
        <v>50</v>
      </c>
      <c r="D56" s="91">
        <v>44</v>
      </c>
      <c r="E56" s="114">
        <f>D56/$D$54*10^3</f>
        <v>366.66666666666663</v>
      </c>
    </row>
    <row r="57" spans="3:16">
      <c r="C57" s="80" t="s">
        <v>3</v>
      </c>
      <c r="D57" s="91">
        <v>2</v>
      </c>
      <c r="E57" s="114">
        <f>D57/$D$54*10^3</f>
        <v>16.666666666666668</v>
      </c>
    </row>
    <row r="58" spans="3:16">
      <c r="C58" s="80" t="s">
        <v>4</v>
      </c>
      <c r="D58" s="91">
        <v>31</v>
      </c>
      <c r="E58" s="114">
        <f>D58/$D$54*10^3</f>
        <v>258.33333333333337</v>
      </c>
    </row>
    <row r="59" spans="3:16">
      <c r="C59" s="83" t="s">
        <v>5</v>
      </c>
      <c r="D59" s="94">
        <v>7</v>
      </c>
      <c r="E59" s="115">
        <f>D59/$D$54*10^3</f>
        <v>58.333333333333336</v>
      </c>
    </row>
  </sheetData>
  <mergeCells count="19">
    <mergeCell ref="H5:I5"/>
    <mergeCell ref="L5:M5"/>
    <mergeCell ref="P5:Q5"/>
    <mergeCell ref="U5:V5"/>
    <mergeCell ref="Y34:AA34"/>
    <mergeCell ref="Z35:AA35"/>
    <mergeCell ref="C53:E53"/>
    <mergeCell ref="D54:E54"/>
    <mergeCell ref="G31:I31"/>
    <mergeCell ref="K31:M31"/>
    <mergeCell ref="O31:Q31"/>
    <mergeCell ref="H32:I32"/>
    <mergeCell ref="L32:M32"/>
    <mergeCell ref="P32:Q32"/>
    <mergeCell ref="D19:E19"/>
    <mergeCell ref="H19:I19"/>
    <mergeCell ref="L19:M19"/>
    <mergeCell ref="Q19:R19"/>
    <mergeCell ref="D5:E5"/>
  </mergeCells>
  <phoneticPr fontId="1" type="noConversion"/>
  <conditionalFormatting sqref="AB5">
    <cfRule type="cellIs" dxfId="1" priority="1" operator="equal">
      <formula>"824.37 =$D$32"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1:AD59"/>
  <sheetViews>
    <sheetView tabSelected="1" view="pageBreakPreview" zoomScaleSheetLayoutView="100" workbookViewId="0">
      <selection activeCell="T15" sqref="T15"/>
    </sheetView>
  </sheetViews>
  <sheetFormatPr defaultRowHeight="16.5"/>
  <cols>
    <col min="1" max="1" width="3.375" customWidth="1"/>
    <col min="2" max="2" width="2.5" customWidth="1"/>
    <col min="3" max="9" width="5.625" style="49" customWidth="1"/>
    <col min="10" max="10" width="2" style="49" customWidth="1"/>
    <col min="11" max="14" width="5.625" style="49" customWidth="1"/>
    <col min="15" max="15" width="5.25" style="49" customWidth="1"/>
    <col min="16" max="23" width="5.625" style="49" customWidth="1"/>
    <col min="24" max="24" width="2.125" style="49" customWidth="1"/>
    <col min="25" max="29" width="5.625" style="49" customWidth="1"/>
  </cols>
  <sheetData>
    <row r="1" spans="1:30" ht="16.5" customHeight="1">
      <c r="A1" s="1"/>
      <c r="B1" s="23"/>
      <c r="C1" s="197" t="s">
        <v>149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190"/>
      <c r="X1" s="76"/>
    </row>
    <row r="2" spans="1:30" ht="16.5" customHeight="1">
      <c r="A2" s="2"/>
      <c r="B2" s="24"/>
      <c r="C2" s="198" t="s">
        <v>148</v>
      </c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 t="s">
        <v>94</v>
      </c>
      <c r="V2" s="76"/>
      <c r="W2" s="191"/>
      <c r="X2" s="76"/>
    </row>
    <row r="3" spans="1:30" ht="12" customHeight="1">
      <c r="A3" s="2"/>
      <c r="B3" s="24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191"/>
      <c r="X3" s="76"/>
    </row>
    <row r="4" spans="1:30" s="52" customFormat="1" ht="12" customHeight="1" thickBot="1">
      <c r="A4" s="56"/>
      <c r="B4" s="57"/>
      <c r="C4" s="77" t="s">
        <v>99</v>
      </c>
      <c r="D4" s="101"/>
      <c r="E4" s="102"/>
      <c r="F4" s="57"/>
      <c r="G4" s="103" t="s">
        <v>76</v>
      </c>
      <c r="H4" s="104"/>
      <c r="I4" s="105"/>
      <c r="J4" s="124"/>
      <c r="K4" s="109" t="s">
        <v>114</v>
      </c>
      <c r="L4" s="110"/>
      <c r="M4" s="111"/>
      <c r="N4" s="59"/>
      <c r="O4" s="103" t="s">
        <v>141</v>
      </c>
      <c r="P4" s="131"/>
      <c r="Q4" s="102"/>
      <c r="R4" s="57"/>
      <c r="S4" s="57"/>
      <c r="T4" s="103" t="s">
        <v>79</v>
      </c>
      <c r="U4" s="104"/>
      <c r="V4" s="105"/>
      <c r="W4" s="192"/>
      <c r="X4" s="57"/>
      <c r="Z4" s="59"/>
      <c r="AA4" s="113" t="s">
        <v>92</v>
      </c>
      <c r="AB4" s="113" t="s">
        <v>91</v>
      </c>
    </row>
    <row r="5" spans="1:30" s="53" customFormat="1" ht="12" customHeight="1" thickTop="1">
      <c r="A5" s="58"/>
      <c r="B5" s="59"/>
      <c r="C5" s="78" t="s">
        <v>74</v>
      </c>
      <c r="D5" s="199">
        <v>40000</v>
      </c>
      <c r="E5" s="200"/>
      <c r="F5" s="123"/>
      <c r="G5" s="90" t="s">
        <v>74</v>
      </c>
      <c r="H5" s="199">
        <f>D5+D19</f>
        <v>40409.933032180794</v>
      </c>
      <c r="I5" s="200"/>
      <c r="J5" s="125"/>
      <c r="K5" s="79" t="s">
        <v>74</v>
      </c>
      <c r="L5" s="199">
        <f>L8/M8*10^3</f>
        <v>161.17875525852099</v>
      </c>
      <c r="M5" s="200"/>
      <c r="N5" s="116" t="s">
        <v>77</v>
      </c>
      <c r="O5" s="130" t="s">
        <v>74</v>
      </c>
      <c r="P5" s="199">
        <f t="shared" ref="P5:P10" si="0">H5-L5</f>
        <v>40248.754276922271</v>
      </c>
      <c r="Q5" s="200"/>
      <c r="R5" s="116" t="s">
        <v>77</v>
      </c>
      <c r="S5" s="59"/>
      <c r="T5" s="90" t="s">
        <v>74</v>
      </c>
      <c r="U5" s="199">
        <f ca="1">P5-Q19</f>
        <v>39974.245693690129</v>
      </c>
      <c r="V5" s="200"/>
      <c r="W5" s="100"/>
      <c r="X5" s="59"/>
      <c r="Z5" s="113" t="s">
        <v>84</v>
      </c>
      <c r="AA5" s="157">
        <f ca="1">P32-L32</f>
        <v>265.28019682197385</v>
      </c>
      <c r="AB5" s="157">
        <v>265.28049635189672</v>
      </c>
      <c r="AD5" s="132">
        <f ca="1">AA5-AB5</f>
        <v>-2.9952992287007874E-4</v>
      </c>
    </row>
    <row r="6" spans="1:30" s="53" customFormat="1" ht="12" customHeight="1">
      <c r="A6" s="58"/>
      <c r="B6" s="59"/>
      <c r="C6" s="80" t="s">
        <v>2</v>
      </c>
      <c r="D6" s="91">
        <f>$D$5*E6/10^3</f>
        <v>9480</v>
      </c>
      <c r="E6" s="97">
        <v>237</v>
      </c>
      <c r="F6" s="123"/>
      <c r="G6" s="93" t="s">
        <v>2</v>
      </c>
      <c r="H6" s="91">
        <f>$H$5*I6/10^3</f>
        <v>10330.868242156452</v>
      </c>
      <c r="I6" s="97">
        <f>($D$5*E6+$D$19*E20)/$H$5</f>
        <v>255.65170409783596</v>
      </c>
      <c r="J6" s="126"/>
      <c r="K6" s="80" t="s">
        <v>2</v>
      </c>
      <c r="L6" s="91">
        <f>H6*N6</f>
        <v>3099.2604726469353</v>
      </c>
      <c r="M6" s="82">
        <f>L6/$L$5*10^3</f>
        <v>19228.715767632704</v>
      </c>
      <c r="N6" s="117">
        <v>0.3</v>
      </c>
      <c r="O6" s="93" t="s">
        <v>2</v>
      </c>
      <c r="P6" s="91">
        <f t="shared" si="0"/>
        <v>7231.6077695095164</v>
      </c>
      <c r="Q6" s="97">
        <f>P6/$P$5*10^3</f>
        <v>179.6728345864845</v>
      </c>
      <c r="R6" s="120">
        <f ca="1">1-U6/P6</f>
        <v>0.95577830328438695</v>
      </c>
      <c r="S6" s="59"/>
      <c r="T6" s="93" t="s">
        <v>2</v>
      </c>
      <c r="U6" s="91">
        <f ca="1">$U$5*V6/10^3</f>
        <v>319.79396554952103</v>
      </c>
      <c r="V6" s="97">
        <v>8</v>
      </c>
      <c r="W6" s="100"/>
      <c r="X6" s="59"/>
      <c r="Z6" s="113" t="s">
        <v>86</v>
      </c>
      <c r="AA6" s="157">
        <f ca="1">L32-H32</f>
        <v>144.65242593921874</v>
      </c>
      <c r="AB6" s="157">
        <v>144.65253582889878</v>
      </c>
      <c r="AD6" s="132">
        <f t="shared" ref="AD6:AD11" ca="1" si="1">AA6-AB6</f>
        <v>-1.0988968003289301E-4</v>
      </c>
    </row>
    <row r="7" spans="1:30" s="53" customFormat="1" ht="12" customHeight="1">
      <c r="A7" s="58"/>
      <c r="B7" s="59"/>
      <c r="C7" s="80" t="s">
        <v>50</v>
      </c>
      <c r="D7" s="91">
        <f>$D$5*E7/10^3</f>
        <v>7080</v>
      </c>
      <c r="E7" s="97">
        <v>177</v>
      </c>
      <c r="F7" s="123"/>
      <c r="G7" s="93" t="s">
        <v>50</v>
      </c>
      <c r="H7" s="91">
        <f>$H$5*I7/10^3</f>
        <v>7828.7480544840355</v>
      </c>
      <c r="I7" s="97">
        <f>($D$5*E7+$D$19*E21)/$H$5</f>
        <v>193.73325979653433</v>
      </c>
      <c r="J7" s="126"/>
      <c r="K7" s="80" t="s">
        <v>50</v>
      </c>
      <c r="L7" s="91">
        <f>H7*N7</f>
        <v>2348.6244163452106</v>
      </c>
      <c r="M7" s="82">
        <f>L7/$L$5*10^3</f>
        <v>14571.550776516166</v>
      </c>
      <c r="N7" s="118">
        <v>0.3</v>
      </c>
      <c r="O7" s="93" t="s">
        <v>50</v>
      </c>
      <c r="P7" s="91">
        <f t="shared" si="0"/>
        <v>5480.1236381388244</v>
      </c>
      <c r="Q7" s="97">
        <f>P7/$P$5*10^3</f>
        <v>136.15635406835446</v>
      </c>
      <c r="R7" s="120">
        <f ca="1">1-U7/P7</f>
        <v>0.86140628965114741</v>
      </c>
      <c r="S7" s="59"/>
      <c r="T7" s="93" t="s">
        <v>50</v>
      </c>
      <c r="U7" s="91">
        <f ca="1">$U$5*V7/10^3</f>
        <v>759.51066818011248</v>
      </c>
      <c r="V7" s="97">
        <v>19</v>
      </c>
      <c r="W7" s="100"/>
      <c r="X7" s="59"/>
      <c r="Z7" s="113" t="s">
        <v>93</v>
      </c>
      <c r="AA7" s="158">
        <f ca="1">D20/$D$19*10^3</f>
        <v>2075.6306642685286</v>
      </c>
      <c r="AB7" s="158">
        <v>2075.6274204836172</v>
      </c>
      <c r="AD7" s="132">
        <f t="shared" ca="1" si="1"/>
        <v>3.2437849113193806E-3</v>
      </c>
    </row>
    <row r="8" spans="1:30" s="53" customFormat="1" ht="12" customHeight="1">
      <c r="A8" s="58"/>
      <c r="B8" s="59"/>
      <c r="C8" s="80" t="s">
        <v>3</v>
      </c>
      <c r="D8" s="91">
        <f>$D$5*E8/10^3</f>
        <v>8320</v>
      </c>
      <c r="E8" s="97">
        <v>208</v>
      </c>
      <c r="F8" s="123"/>
      <c r="G8" s="93" t="s">
        <v>3</v>
      </c>
      <c r="H8" s="91">
        <f>$H$5*I8/10^3</f>
        <v>9670.7253155112594</v>
      </c>
      <c r="I8" s="97">
        <f>($D$5*E8+$D$19*E22)/$H$5</f>
        <v>239.31554916980178</v>
      </c>
      <c r="J8" s="126"/>
      <c r="K8" s="80" t="s">
        <v>3</v>
      </c>
      <c r="L8" s="91">
        <f>H8*N8</f>
        <v>4835.3626577556297</v>
      </c>
      <c r="M8" s="82">
        <f>참조!D20*10^6</f>
        <v>30000</v>
      </c>
      <c r="N8" s="118">
        <v>0.5</v>
      </c>
      <c r="O8" s="93" t="s">
        <v>3</v>
      </c>
      <c r="P8" s="91">
        <f t="shared" si="0"/>
        <v>4835.3626577556297</v>
      </c>
      <c r="Q8" s="97">
        <f>P8/$P$5*10^3</f>
        <v>120.13695192867416</v>
      </c>
      <c r="R8" s="120">
        <f ca="1">1-U8/P8</f>
        <v>0.95849300609860866</v>
      </c>
      <c r="S8" s="59"/>
      <c r="T8" s="93" t="s">
        <v>3</v>
      </c>
      <c r="U8" s="91">
        <f ca="1">$U$5*V8/10^3</f>
        <v>199.87122846845065</v>
      </c>
      <c r="V8" s="97">
        <v>5</v>
      </c>
      <c r="W8" s="100"/>
      <c r="X8" s="59"/>
      <c r="Z8" s="59"/>
      <c r="AA8" s="158">
        <f ca="1">D21/$D$19*10^3</f>
        <v>1826.5157007575458</v>
      </c>
      <c r="AB8" s="158">
        <v>1826.5131026421179</v>
      </c>
      <c r="AD8" s="132">
        <f t="shared" ca="1" si="1"/>
        <v>2.5981154278724716E-3</v>
      </c>
    </row>
    <row r="9" spans="1:30" s="53" customFormat="1" ht="12" customHeight="1">
      <c r="A9" s="58"/>
      <c r="B9" s="59"/>
      <c r="C9" s="80" t="s">
        <v>4</v>
      </c>
      <c r="D9" s="91">
        <f>$D$5*E9/10^3</f>
        <v>1828</v>
      </c>
      <c r="E9" s="98">
        <v>45.7</v>
      </c>
      <c r="F9" s="123"/>
      <c r="G9" s="93" t="s">
        <v>4</v>
      </c>
      <c r="H9" s="91">
        <f>$H$5*I9/10^3</f>
        <v>1925.8708618637099</v>
      </c>
      <c r="I9" s="97">
        <f>($D$5*E9+$D$19*E23)/$H$5</f>
        <v>47.658353215533083</v>
      </c>
      <c r="J9" s="127"/>
      <c r="K9" s="80" t="s">
        <v>4</v>
      </c>
      <c r="L9" s="91">
        <f>H9*N9</f>
        <v>288.8806292795565</v>
      </c>
      <c r="M9" s="114">
        <f>L9/$L$5*10^3</f>
        <v>1792.2996663934364</v>
      </c>
      <c r="N9" s="118">
        <v>0.15</v>
      </c>
      <c r="O9" s="93" t="s">
        <v>4</v>
      </c>
      <c r="P9" s="91">
        <f t="shared" si="0"/>
        <v>1636.9902325841535</v>
      </c>
      <c r="Q9" s="98">
        <f>P9/$P$5*10^3</f>
        <v>40.671823563065324</v>
      </c>
      <c r="R9" s="120">
        <f ca="1">1-U9/P9</f>
        <v>0.80423856658126347</v>
      </c>
      <c r="S9" s="59"/>
      <c r="T9" s="93" t="s">
        <v>4</v>
      </c>
      <c r="U9" s="91">
        <f ca="1">$U$5*V9/10^3</f>
        <v>319.79396554952103</v>
      </c>
      <c r="V9" s="98">
        <v>8</v>
      </c>
      <c r="W9" s="100"/>
      <c r="X9" s="59"/>
      <c r="Z9" s="59"/>
      <c r="AA9" s="158">
        <f ca="1">D22/$D$19*10^3</f>
        <v>3294.9947684782019</v>
      </c>
      <c r="AB9" s="158">
        <v>3294.9901800437042</v>
      </c>
      <c r="AD9" s="132">
        <f t="shared" ca="1" si="1"/>
        <v>4.5884344976911962E-3</v>
      </c>
    </row>
    <row r="10" spans="1:30" s="53" customFormat="1" ht="12" customHeight="1">
      <c r="A10" s="58"/>
      <c r="B10" s="59"/>
      <c r="C10" s="83" t="s">
        <v>5</v>
      </c>
      <c r="D10" s="94">
        <f>$D$5*E10/10^3</f>
        <v>264</v>
      </c>
      <c r="E10" s="99">
        <v>6.6</v>
      </c>
      <c r="F10" s="123"/>
      <c r="G10" s="96" t="s">
        <v>5</v>
      </c>
      <c r="H10" s="94">
        <f>$H$5*I10/10^3</f>
        <v>320.2642600587244</v>
      </c>
      <c r="I10" s="122">
        <f>($D$5*E10+$D$19*E24)/$H$5</f>
        <v>7.9253845781847554</v>
      </c>
      <c r="J10" s="127"/>
      <c r="K10" s="83" t="s">
        <v>5</v>
      </c>
      <c r="L10" s="94">
        <f>H10*N10</f>
        <v>48.039639008808656</v>
      </c>
      <c r="M10" s="115">
        <f>L10/L5*10^3</f>
        <v>298.05192955955005</v>
      </c>
      <c r="N10" s="119">
        <v>0.15</v>
      </c>
      <c r="O10" s="96" t="s">
        <v>5</v>
      </c>
      <c r="P10" s="94">
        <f t="shared" si="0"/>
        <v>272.22462104991575</v>
      </c>
      <c r="Q10" s="99">
        <f>P10/$P$5*10^3</f>
        <v>6.7635539519294694</v>
      </c>
      <c r="R10" s="121">
        <f ca="1">1-U10/P10</f>
        <v>0.89720998828958876</v>
      </c>
      <c r="S10" s="59"/>
      <c r="T10" s="96" t="s">
        <v>5</v>
      </c>
      <c r="U10" s="94">
        <f ca="1">$U$5*V10/10^3</f>
        <v>27.981971985583087</v>
      </c>
      <c r="V10" s="99">
        <v>0.7</v>
      </c>
      <c r="W10" s="100"/>
      <c r="X10" s="59"/>
      <c r="Z10" s="59"/>
      <c r="AA10" s="158">
        <f ca="1">D23/$D$19*10^3</f>
        <v>238.74877586729059</v>
      </c>
      <c r="AB10" s="158">
        <v>238.74841542543871</v>
      </c>
      <c r="AD10" s="132">
        <f t="shared" ca="1" si="1"/>
        <v>3.6044185188188749E-4</v>
      </c>
    </row>
    <row r="11" spans="1:30" s="53" customFormat="1" ht="12" customHeight="1" thickBot="1">
      <c r="A11" s="58"/>
      <c r="B11" s="59"/>
      <c r="C11" s="59"/>
      <c r="D11" s="123"/>
      <c r="E11" s="128"/>
      <c r="F11" s="123"/>
      <c r="G11" s="123"/>
      <c r="H11" s="123"/>
      <c r="I11" s="128"/>
      <c r="J11" s="128"/>
      <c r="K11" s="59"/>
      <c r="L11" s="123"/>
      <c r="M11" s="89"/>
      <c r="N11" s="129"/>
      <c r="O11" s="129"/>
      <c r="P11" s="123"/>
      <c r="Q11" s="123"/>
      <c r="R11" s="128"/>
      <c r="S11" s="59"/>
      <c r="T11" s="123"/>
      <c r="U11" s="123"/>
      <c r="V11" s="128"/>
      <c r="W11" s="193"/>
      <c r="X11" s="59"/>
      <c r="Z11" s="59"/>
      <c r="AA11" s="158">
        <f ca="1">D24/$D$19*10^3</f>
        <v>137.25251696541758</v>
      </c>
      <c r="AB11" s="158">
        <v>137.25232084715182</v>
      </c>
      <c r="AD11" s="132">
        <f t="shared" ca="1" si="1"/>
        <v>1.9611826576237945E-4</v>
      </c>
    </row>
    <row r="12" spans="1:30" s="53" customFormat="1" ht="12" customHeight="1">
      <c r="A12" s="58"/>
      <c r="B12" s="59"/>
      <c r="C12" s="59"/>
      <c r="D12" s="59"/>
      <c r="E12" s="85" t="s">
        <v>75</v>
      </c>
      <c r="F12" s="87"/>
      <c r="G12" s="58"/>
      <c r="H12" s="85" t="s">
        <v>144</v>
      </c>
      <c r="I12" s="167" t="s">
        <v>145</v>
      </c>
      <c r="J12" s="168"/>
      <c r="K12" s="86" t="s">
        <v>146</v>
      </c>
      <c r="L12" s="87"/>
      <c r="M12" s="59"/>
      <c r="N12" s="85" t="s">
        <v>81</v>
      </c>
      <c r="O12" s="86"/>
      <c r="P12" s="87"/>
      <c r="Q12" s="59"/>
      <c r="R12" s="184"/>
      <c r="S12" s="184"/>
      <c r="T12" s="177"/>
      <c r="U12" s="59"/>
      <c r="V12" s="59"/>
      <c r="W12" s="100"/>
      <c r="X12" s="59"/>
    </row>
    <row r="13" spans="1:30" s="53" customFormat="1" ht="12" customHeight="1" thickBot="1">
      <c r="A13" s="58"/>
      <c r="B13" s="59"/>
      <c r="C13" s="59"/>
      <c r="D13" s="59"/>
      <c r="E13" s="60"/>
      <c r="F13" s="88"/>
      <c r="G13" s="58"/>
      <c r="H13" s="60"/>
      <c r="I13" s="165"/>
      <c r="J13" s="169"/>
      <c r="K13" s="61"/>
      <c r="L13" s="88"/>
      <c r="M13" s="59"/>
      <c r="N13" s="60"/>
      <c r="O13" s="61"/>
      <c r="P13" s="88"/>
      <c r="Q13" s="59"/>
      <c r="R13" s="184"/>
      <c r="S13" s="184"/>
      <c r="T13" s="177"/>
      <c r="U13" s="59"/>
      <c r="V13" s="59"/>
      <c r="W13" s="100"/>
      <c r="X13" s="59"/>
    </row>
    <row r="14" spans="1:30" s="53" customFormat="1" ht="12" customHeight="1">
      <c r="A14" s="58"/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100"/>
      <c r="X14" s="59"/>
    </row>
    <row r="15" spans="1:30" ht="12" customHeight="1">
      <c r="A15" s="2"/>
      <c r="B15" s="24"/>
      <c r="C15" s="24"/>
      <c r="D15" s="24"/>
      <c r="E15" s="24"/>
      <c r="F15" s="76"/>
      <c r="G15" s="24"/>
      <c r="H15" s="24"/>
      <c r="I15" s="24"/>
      <c r="J15" s="24"/>
      <c r="K15" s="24"/>
      <c r="L15" s="24" t="s">
        <v>142</v>
      </c>
      <c r="M15" s="24"/>
      <c r="N15" s="24"/>
      <c r="O15" s="24"/>
      <c r="P15" s="76"/>
      <c r="Q15" s="24"/>
      <c r="R15" s="24"/>
      <c r="S15" s="76"/>
      <c r="T15" s="185" t="s">
        <v>138</v>
      </c>
      <c r="U15" s="186"/>
      <c r="V15" s="186"/>
      <c r="W15" s="194"/>
      <c r="X15" s="24"/>
      <c r="Y15"/>
      <c r="Z15"/>
      <c r="AA15"/>
      <c r="AB15"/>
      <c r="AC15"/>
    </row>
    <row r="16" spans="1:30" ht="12" customHeight="1">
      <c r="A16" s="2"/>
      <c r="B16" s="24"/>
      <c r="C16" s="24"/>
      <c r="D16" s="24"/>
      <c r="E16" s="24"/>
      <c r="F16" s="76"/>
      <c r="G16" s="24"/>
      <c r="H16" s="24"/>
      <c r="I16" s="24"/>
      <c r="J16" s="24"/>
      <c r="K16" s="24"/>
      <c r="L16" s="24"/>
      <c r="M16" s="24"/>
      <c r="N16" s="24"/>
      <c r="O16" s="24"/>
      <c r="P16" s="76"/>
      <c r="Q16" s="24"/>
      <c r="R16" s="24"/>
      <c r="S16" s="76"/>
      <c r="T16" s="177" t="s">
        <v>133</v>
      </c>
      <c r="U16" s="187">
        <f ca="1">U10*W16</f>
        <v>0</v>
      </c>
      <c r="V16" s="177">
        <f ca="1">U16/$U$19*10^3</f>
        <v>0</v>
      </c>
      <c r="W16" s="195">
        <v>0</v>
      </c>
      <c r="X16" s="24"/>
      <c r="Y16"/>
      <c r="Z16"/>
      <c r="AA16"/>
      <c r="AB16"/>
      <c r="AC16"/>
    </row>
    <row r="17" spans="1:29" s="53" customFormat="1" ht="12" customHeight="1">
      <c r="A17" s="58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177"/>
      <c r="U17" s="177"/>
      <c r="V17" s="177"/>
      <c r="W17" s="196"/>
      <c r="X17" s="59"/>
    </row>
    <row r="18" spans="1:29" s="53" customFormat="1" ht="12" customHeight="1" thickBot="1">
      <c r="A18" s="58"/>
      <c r="B18" s="59"/>
      <c r="C18" s="106" t="s">
        <v>78</v>
      </c>
      <c r="D18" s="107"/>
      <c r="E18" s="108"/>
      <c r="F18" s="59"/>
      <c r="G18" s="106" t="s">
        <v>86</v>
      </c>
      <c r="H18" s="107"/>
      <c r="I18" s="108"/>
      <c r="J18" s="59"/>
      <c r="K18" s="106" t="s">
        <v>84</v>
      </c>
      <c r="L18" s="107"/>
      <c r="M18" s="108"/>
      <c r="N18" s="59"/>
      <c r="O18" s="59"/>
      <c r="P18" s="109" t="s">
        <v>127</v>
      </c>
      <c r="Q18" s="110"/>
      <c r="R18" s="111"/>
      <c r="S18" s="59"/>
      <c r="T18" s="186" t="s">
        <v>139</v>
      </c>
      <c r="U18" s="186"/>
      <c r="V18" s="186"/>
      <c r="W18" s="196" t="s">
        <v>77</v>
      </c>
      <c r="X18" s="59"/>
      <c r="Y18" s="178" t="s">
        <v>80</v>
      </c>
    </row>
    <row r="19" spans="1:29" s="53" customFormat="1" ht="12" customHeight="1" thickTop="1">
      <c r="A19" s="58"/>
      <c r="B19" s="59"/>
      <c r="C19" s="112" t="s">
        <v>74</v>
      </c>
      <c r="D19" s="203">
        <f t="shared" ref="D19:D24" si="2">H19+L19</f>
        <v>409.93303218079552</v>
      </c>
      <c r="E19" s="200"/>
      <c r="F19" s="59"/>
      <c r="G19" s="112" t="s">
        <v>74</v>
      </c>
      <c r="H19" s="203">
        <f>AB6</f>
        <v>144.65253582889878</v>
      </c>
      <c r="I19" s="200"/>
      <c r="J19" s="59"/>
      <c r="K19" s="79" t="s">
        <v>74</v>
      </c>
      <c r="L19" s="203">
        <f>AB5</f>
        <v>265.28049635189672</v>
      </c>
      <c r="M19" s="200"/>
      <c r="N19" s="59"/>
      <c r="O19" s="59"/>
      <c r="P19" s="79" t="s">
        <v>74</v>
      </c>
      <c r="Q19" s="199">
        <f ca="1">Q22/R22*10^3</f>
        <v>275.17524989881099</v>
      </c>
      <c r="R19" s="200"/>
      <c r="S19" s="59"/>
      <c r="T19" s="177" t="s">
        <v>128</v>
      </c>
      <c r="U19" s="188">
        <f ca="1">U5-Z35</f>
        <v>38775.018322879427</v>
      </c>
      <c r="V19" s="189"/>
      <c r="W19" s="195">
        <v>0.03</v>
      </c>
      <c r="X19" s="59"/>
      <c r="Y19" s="179" t="s">
        <v>77</v>
      </c>
    </row>
    <row r="20" spans="1:29" s="53" customFormat="1" ht="12" customHeight="1">
      <c r="A20" s="58"/>
      <c r="B20" s="59"/>
      <c r="C20" s="80" t="s">
        <v>2</v>
      </c>
      <c r="D20" s="81">
        <f t="shared" ca="1" si="2"/>
        <v>850.86957189103668</v>
      </c>
      <c r="E20" s="114">
        <f>AB7</f>
        <v>2075.6274204836172</v>
      </c>
      <c r="F20" s="59"/>
      <c r="G20" s="80" t="s">
        <v>2</v>
      </c>
      <c r="H20" s="81">
        <f ca="1">L33-H33</f>
        <v>187.85432106685221</v>
      </c>
      <c r="I20" s="114">
        <f ca="1">H20/$H$19*10^3</f>
        <v>1298.6590244712636</v>
      </c>
      <c r="J20" s="59"/>
      <c r="K20" s="80" t="s">
        <v>2</v>
      </c>
      <c r="L20" s="81">
        <f ca="1">P33-L33</f>
        <v>663.01525082418448</v>
      </c>
      <c r="M20" s="92">
        <f ca="1">L20/$L$19*10^3</f>
        <v>2499.2988928394097</v>
      </c>
      <c r="N20" s="59"/>
      <c r="O20" s="59"/>
      <c r="P20" s="80" t="s">
        <v>2</v>
      </c>
      <c r="Q20" s="91">
        <f ca="1">Q22*0.6</f>
        <v>1320.8411995142926</v>
      </c>
      <c r="R20" s="82">
        <f ca="1">Q20/$Q$19*10^3</f>
        <v>4800</v>
      </c>
      <c r="S20" s="59"/>
      <c r="T20" s="177" t="s">
        <v>129</v>
      </c>
      <c r="U20" s="187">
        <f ca="1">U6-Z36</f>
        <v>319.79396554952103</v>
      </c>
      <c r="V20" s="177">
        <f ca="1">U20/$U$19*10^3</f>
        <v>8.247422680412372</v>
      </c>
      <c r="W20" s="195">
        <v>0</v>
      </c>
      <c r="X20" s="59"/>
      <c r="Y20" s="180">
        <f ca="1">1-(U20/D6)</f>
        <v>0.96626645933021926</v>
      </c>
    </row>
    <row r="21" spans="1:29" s="53" customFormat="1" ht="12" customHeight="1">
      <c r="A21" s="58"/>
      <c r="B21" s="59"/>
      <c r="C21" s="80" t="s">
        <v>50</v>
      </c>
      <c r="D21" s="81">
        <f t="shared" ca="1" si="2"/>
        <v>748.74911953737137</v>
      </c>
      <c r="E21" s="114">
        <f>AB8</f>
        <v>1826.5131026421179</v>
      </c>
      <c r="F21" s="59"/>
      <c r="G21" s="80" t="s">
        <v>50</v>
      </c>
      <c r="H21" s="81">
        <f ca="1">L34-H34</f>
        <v>165.3082471705884</v>
      </c>
      <c r="I21" s="114">
        <f ca="1">H21/$H$19*10^3</f>
        <v>1142.7953628557336</v>
      </c>
      <c r="J21" s="59"/>
      <c r="K21" s="80" t="s">
        <v>50</v>
      </c>
      <c r="L21" s="81">
        <f ca="1">P34-L34</f>
        <v>583.44087236678297</v>
      </c>
      <c r="M21" s="92">
        <f ca="1">L21/$L$19*10^3</f>
        <v>2199.3357234707673</v>
      </c>
      <c r="N21" s="59"/>
      <c r="O21" s="59"/>
      <c r="P21" s="80" t="s">
        <v>50</v>
      </c>
      <c r="Q21" s="91">
        <f ca="1">Q22*0.7</f>
        <v>1540.9813994333415</v>
      </c>
      <c r="R21" s="82">
        <f ca="1">Q21/$Q$19*10^3</f>
        <v>5600</v>
      </c>
      <c r="S21" s="59"/>
      <c r="T21" s="177" t="s">
        <v>130</v>
      </c>
      <c r="U21" s="187">
        <f ca="1">U7-Z37</f>
        <v>759.51066818011248</v>
      </c>
      <c r="V21" s="177">
        <f ca="1">U21/$U$19*10^3</f>
        <v>19.587628865979383</v>
      </c>
      <c r="W21" s="195">
        <v>0</v>
      </c>
      <c r="X21" s="59"/>
      <c r="Y21" s="180">
        <f ca="1">1-(U21/D7)</f>
        <v>0.89272448189546438</v>
      </c>
    </row>
    <row r="22" spans="1:29" s="53" customFormat="1" ht="12" customHeight="1">
      <c r="A22" s="58"/>
      <c r="B22" s="59"/>
      <c r="C22" s="80" t="s">
        <v>3</v>
      </c>
      <c r="D22" s="81">
        <f t="shared" ca="1" si="2"/>
        <v>1350.7271964621277</v>
      </c>
      <c r="E22" s="114">
        <f>AB9</f>
        <v>3294.9901800437042</v>
      </c>
      <c r="F22" s="59"/>
      <c r="G22" s="80" t="s">
        <v>3</v>
      </c>
      <c r="H22" s="81">
        <f ca="1">L35-H35</f>
        <v>298.2124979202099</v>
      </c>
      <c r="I22" s="114">
        <f ca="1">H22/$H$19*10^3</f>
        <v>2061.5780857996738</v>
      </c>
      <c r="J22" s="59"/>
      <c r="K22" s="80" t="s">
        <v>3</v>
      </c>
      <c r="L22" s="81">
        <f ca="1">P35-L35</f>
        <v>1052.5146985419178</v>
      </c>
      <c r="M22" s="92">
        <f ca="1">L22/$L$19*10^3</f>
        <v>3967.5540155268282</v>
      </c>
      <c r="N22" s="59"/>
      <c r="O22" s="59"/>
      <c r="P22" s="80" t="s">
        <v>3</v>
      </c>
      <c r="Q22" s="91">
        <f ca="1">I42</f>
        <v>2201.4019991904879</v>
      </c>
      <c r="R22" s="82">
        <f>참조!D52*10^6</f>
        <v>8000</v>
      </c>
      <c r="S22" s="59"/>
      <c r="T22" s="177" t="s">
        <v>131</v>
      </c>
      <c r="U22" s="187">
        <f ca="1">U8-Z38</f>
        <v>199.87122846845065</v>
      </c>
      <c r="V22" s="177">
        <f ca="1">U22/$U$19*10^3</f>
        <v>5.1546391752577323</v>
      </c>
      <c r="W22" s="195">
        <v>0</v>
      </c>
      <c r="X22" s="59"/>
      <c r="Y22" s="180">
        <f ca="1">1-(U22/D8)</f>
        <v>0.97586096274535616</v>
      </c>
    </row>
    <row r="23" spans="1:29" s="53" customFormat="1" ht="12" customHeight="1">
      <c r="A23" s="58"/>
      <c r="B23" s="59"/>
      <c r="C23" s="80" t="s">
        <v>4</v>
      </c>
      <c r="D23" s="81">
        <f t="shared" ca="1" si="2"/>
        <v>97.87100962073157</v>
      </c>
      <c r="E23" s="114">
        <f>AB10</f>
        <v>238.74841542543871</v>
      </c>
      <c r="F23" s="59"/>
      <c r="G23" s="80" t="s">
        <v>4</v>
      </c>
      <c r="H23" s="81">
        <f ca="1">L36-H36</f>
        <v>21.607885240940732</v>
      </c>
      <c r="I23" s="114">
        <f ca="1">H23/$H$19*10^3</f>
        <v>149.37785305402087</v>
      </c>
      <c r="J23" s="59"/>
      <c r="K23" s="80" t="s">
        <v>4</v>
      </c>
      <c r="L23" s="81">
        <f ca="1">P36-L36</f>
        <v>76.263124379790838</v>
      </c>
      <c r="M23" s="92">
        <f ca="1">L23/$L$19*10^3</f>
        <v>287.48108296143715</v>
      </c>
      <c r="N23" s="59"/>
      <c r="O23" s="59"/>
      <c r="P23" s="80" t="s">
        <v>4</v>
      </c>
      <c r="Q23" s="91">
        <f ca="1">Q22*AC31</f>
        <v>220.1401999190488</v>
      </c>
      <c r="R23" s="114">
        <f ca="1">Q23/$Q$19*10^3</f>
        <v>800</v>
      </c>
      <c r="S23" s="59"/>
      <c r="T23" s="177" t="s">
        <v>132</v>
      </c>
      <c r="U23" s="187">
        <f ca="1">U9*(1-W23)</f>
        <v>319.79396554952103</v>
      </c>
      <c r="V23" s="177">
        <f ca="1">U23/$U$19*10^3</f>
        <v>8.247422680412372</v>
      </c>
      <c r="W23" s="195">
        <v>0</v>
      </c>
      <c r="X23" s="59"/>
      <c r="Y23" s="180">
        <f ca="1">1-(U23/D9)</f>
        <v>0.82467436099258717</v>
      </c>
    </row>
    <row r="24" spans="1:29" s="53" customFormat="1" ht="12" customHeight="1">
      <c r="A24" s="58"/>
      <c r="B24" s="59"/>
      <c r="C24" s="83" t="s">
        <v>5</v>
      </c>
      <c r="D24" s="84">
        <f t="shared" ca="1" si="2"/>
        <v>56.264340454079701</v>
      </c>
      <c r="E24" s="115">
        <f>AB11</f>
        <v>137.25232084715182</v>
      </c>
      <c r="F24" s="59"/>
      <c r="G24" s="83" t="s">
        <v>5</v>
      </c>
      <c r="H24" s="84">
        <f ca="1">L37-H37</f>
        <v>12.421997243108507</v>
      </c>
      <c r="I24" s="115">
        <f ca="1">H24/$H$19*10^3</f>
        <v>85.874728513586362</v>
      </c>
      <c r="J24" s="59"/>
      <c r="K24" s="83" t="s">
        <v>5</v>
      </c>
      <c r="L24" s="84">
        <f ca="1">P37-L37</f>
        <v>43.842343210971194</v>
      </c>
      <c r="M24" s="95">
        <f ca="1">L24/$L$19*10^3</f>
        <v>165.26787236108746</v>
      </c>
      <c r="N24" s="59"/>
      <c r="O24" s="59"/>
      <c r="P24" s="83" t="s">
        <v>5</v>
      </c>
      <c r="Q24" s="94">
        <f ca="1">P10-U10</f>
        <v>244.24264906433268</v>
      </c>
      <c r="R24" s="115">
        <f ca="1">Q24/Q19*10^3</f>
        <v>887.5894512829442</v>
      </c>
      <c r="S24" s="59"/>
      <c r="T24" s="177" t="s">
        <v>133</v>
      </c>
      <c r="U24" s="187">
        <f ca="1">U10-U16</f>
        <v>27.981971985583087</v>
      </c>
      <c r="V24" s="177">
        <f ca="1">U24/$U$19*10^3</f>
        <v>0.72164948453608235</v>
      </c>
      <c r="W24" s="195">
        <f>W16</f>
        <v>0</v>
      </c>
      <c r="X24" s="59"/>
      <c r="Y24" s="181">
        <f ca="1">1-(U24/D10)</f>
        <v>0.89400768187279134</v>
      </c>
    </row>
    <row r="25" spans="1:29" s="53" customFormat="1" ht="12" customHeight="1">
      <c r="A25" s="58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100"/>
      <c r="X25" s="59"/>
      <c r="AA25" s="53" t="s">
        <v>97</v>
      </c>
    </row>
    <row r="26" spans="1:29" s="53" customFormat="1" ht="12" customHeight="1" thickBot="1">
      <c r="A26" s="58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100"/>
      <c r="X26" s="59"/>
      <c r="AA26" s="53">
        <f ca="1">P32/D5*100</f>
        <v>1.0892183462266634</v>
      </c>
    </row>
    <row r="27" spans="1:29" s="53" customFormat="1" ht="12" customHeight="1">
      <c r="A27" s="58"/>
      <c r="B27" s="59"/>
      <c r="C27" s="59"/>
      <c r="D27" s="59"/>
      <c r="E27" s="59"/>
      <c r="F27" s="59"/>
      <c r="G27" s="85" t="s">
        <v>83</v>
      </c>
      <c r="H27" s="86"/>
      <c r="I27" s="58"/>
      <c r="J27" s="59"/>
      <c r="K27" s="85" t="s">
        <v>143</v>
      </c>
      <c r="L27" s="87"/>
      <c r="M27" s="59"/>
      <c r="N27" s="59"/>
      <c r="O27" s="85" t="s">
        <v>89</v>
      </c>
      <c r="P27" s="86"/>
      <c r="Q27" s="87"/>
      <c r="R27" s="59"/>
      <c r="S27" s="59"/>
      <c r="T27" s="59"/>
      <c r="U27" s="59"/>
      <c r="V27" s="59"/>
      <c r="W27" s="100"/>
      <c r="X27" s="59"/>
    </row>
    <row r="28" spans="1:29" s="53" customFormat="1" ht="12" customHeight="1">
      <c r="A28" s="58"/>
      <c r="B28" s="59"/>
      <c r="C28" s="59"/>
      <c r="D28" s="59"/>
      <c r="E28" s="59"/>
      <c r="F28" s="59"/>
      <c r="G28" s="58" t="s">
        <v>90</v>
      </c>
      <c r="H28" s="154">
        <f>참조!G47</f>
        <v>0.95</v>
      </c>
      <c r="I28" s="58"/>
      <c r="J28" s="59"/>
      <c r="K28" s="58" t="s">
        <v>90</v>
      </c>
      <c r="L28" s="166">
        <f>참조!D56</f>
        <v>0.85</v>
      </c>
      <c r="M28" s="59"/>
      <c r="N28" s="59"/>
      <c r="O28" s="58"/>
      <c r="P28" s="59"/>
      <c r="Q28" s="100"/>
      <c r="R28" s="59"/>
      <c r="S28" s="59"/>
      <c r="T28" s="59"/>
      <c r="U28" s="59"/>
      <c r="V28" s="59"/>
      <c r="W28" s="100"/>
      <c r="X28" s="59"/>
    </row>
    <row r="29" spans="1:29" s="53" customFormat="1" ht="12" customHeight="1" thickBot="1">
      <c r="A29" s="58"/>
      <c r="B29" s="59"/>
      <c r="C29" s="59"/>
      <c r="D29" s="59"/>
      <c r="E29" s="59"/>
      <c r="F29" s="59"/>
      <c r="G29" s="60"/>
      <c r="H29" s="61"/>
      <c r="I29" s="58"/>
      <c r="J29" s="59"/>
      <c r="K29" s="60"/>
      <c r="L29" s="88"/>
      <c r="M29" s="59"/>
      <c r="N29" s="59"/>
      <c r="O29" s="60" t="s">
        <v>82</v>
      </c>
      <c r="P29" s="61"/>
      <c r="Q29" s="88"/>
      <c r="R29" s="59"/>
      <c r="S29" s="59"/>
      <c r="T29" s="59"/>
      <c r="U29" s="59"/>
      <c r="V29" s="59"/>
      <c r="W29" s="100"/>
      <c r="X29" s="59"/>
    </row>
    <row r="30" spans="1:29" s="53" customFormat="1" ht="12" customHeight="1">
      <c r="A30" s="58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100"/>
      <c r="X30" s="59"/>
      <c r="AA30" s="53" t="s">
        <v>95</v>
      </c>
      <c r="AC30" s="53" t="s">
        <v>113</v>
      </c>
    </row>
    <row r="31" spans="1:29" s="53" customFormat="1" ht="12" customHeight="1" thickBot="1">
      <c r="A31" s="58"/>
      <c r="B31" s="59"/>
      <c r="C31" s="59"/>
      <c r="D31" s="59"/>
      <c r="E31" s="59"/>
      <c r="F31" s="59"/>
      <c r="G31" s="204" t="s">
        <v>87</v>
      </c>
      <c r="H31" s="205"/>
      <c r="I31" s="206"/>
      <c r="J31" s="59"/>
      <c r="K31" s="204" t="s">
        <v>85</v>
      </c>
      <c r="L31" s="205"/>
      <c r="M31" s="206"/>
      <c r="N31" s="59"/>
      <c r="O31" s="204" t="s">
        <v>88</v>
      </c>
      <c r="P31" s="205"/>
      <c r="Q31" s="206"/>
      <c r="R31" s="59"/>
      <c r="S31" s="59"/>
      <c r="T31" s="59"/>
      <c r="U31" s="59"/>
      <c r="V31" s="59"/>
      <c r="W31" s="100"/>
      <c r="X31" s="59"/>
      <c r="Z31" s="53" t="s">
        <v>12</v>
      </c>
      <c r="AA31" s="53">
        <f ca="1">P37/P35*100</f>
        <v>4.1654851254531087</v>
      </c>
      <c r="AC31" s="164">
        <v>0.1</v>
      </c>
    </row>
    <row r="32" spans="1:29" s="53" customFormat="1" ht="12" customHeight="1" thickTop="1">
      <c r="A32" s="58"/>
      <c r="B32" s="59"/>
      <c r="C32" s="59"/>
      <c r="D32" s="59"/>
      <c r="E32" s="59"/>
      <c r="F32" s="59"/>
      <c r="G32" s="112" t="s">
        <v>74</v>
      </c>
      <c r="H32" s="207">
        <f ca="1">H35/I35*10^3</f>
        <v>25.754715729472682</v>
      </c>
      <c r="I32" s="208"/>
      <c r="J32" s="59"/>
      <c r="K32" s="112" t="s">
        <v>74</v>
      </c>
      <c r="L32" s="203">
        <f ca="1">L35/M35*10^3</f>
        <v>170.40714166869142</v>
      </c>
      <c r="M32" s="200"/>
      <c r="N32" s="59"/>
      <c r="O32" s="79" t="s">
        <v>74</v>
      </c>
      <c r="P32" s="203">
        <f t="shared" ref="P32:P37" ca="1" si="3">Q19+L5</f>
        <v>435.6873384906653</v>
      </c>
      <c r="Q32" s="200"/>
      <c r="R32" s="59"/>
      <c r="S32" s="59"/>
      <c r="T32" s="59"/>
      <c r="U32" s="59"/>
      <c r="V32" s="59"/>
      <c r="W32" s="100"/>
      <c r="X32" s="59"/>
      <c r="Z32" s="53" t="s">
        <v>96</v>
      </c>
      <c r="AA32" s="53">
        <f ca="1">P37/P35/0.8*100</f>
        <v>5.2068564068163852</v>
      </c>
    </row>
    <row r="33" spans="1:27" s="53" customFormat="1" ht="12" customHeight="1">
      <c r="A33" s="58"/>
      <c r="B33" s="59"/>
      <c r="C33" s="59"/>
      <c r="D33" s="59"/>
      <c r="E33" s="59"/>
      <c r="F33" s="59"/>
      <c r="G33" s="80" t="s">
        <v>2</v>
      </c>
      <c r="H33" s="81">
        <f ca="1">L33*$H$28</f>
        <v>3569.232100270191</v>
      </c>
      <c r="I33" s="155">
        <f ca="1">H33/$H$32*10^3</f>
        <v>138585.57546359178</v>
      </c>
      <c r="J33" s="59"/>
      <c r="K33" s="80" t="s">
        <v>2</v>
      </c>
      <c r="L33" s="81">
        <f ca="1">P33*$L$28</f>
        <v>3757.0864213370432</v>
      </c>
      <c r="M33" s="92">
        <f ca="1">L33/L32*10^3</f>
        <v>22047.705187389605</v>
      </c>
      <c r="N33" s="59"/>
      <c r="O33" s="80" t="s">
        <v>2</v>
      </c>
      <c r="P33" s="81">
        <f t="shared" ca="1" si="3"/>
        <v>4420.1016721612277</v>
      </c>
      <c r="Q33" s="92">
        <f ca="1">P33/$P$32*10^3</f>
        <v>10145.123077190203</v>
      </c>
      <c r="R33" s="59"/>
      <c r="S33" s="59"/>
      <c r="T33" s="59"/>
      <c r="U33" s="59"/>
      <c r="V33" s="59"/>
      <c r="W33" s="100"/>
      <c r="X33" s="59"/>
    </row>
    <row r="34" spans="1:27" s="53" customFormat="1" ht="12" customHeight="1" thickBot="1">
      <c r="A34" s="58"/>
      <c r="B34" s="59"/>
      <c r="C34" s="59"/>
      <c r="D34" s="59"/>
      <c r="E34" s="59"/>
      <c r="F34" s="59"/>
      <c r="G34" s="80" t="s">
        <v>50</v>
      </c>
      <c r="H34" s="81">
        <f ca="1">L34*$H$28</f>
        <v>3140.8566962411805</v>
      </c>
      <c r="I34" s="155">
        <f ca="1">H34/$H$32*10^3</f>
        <v>121952.68350979731</v>
      </c>
      <c r="J34" s="59"/>
      <c r="K34" s="80" t="s">
        <v>50</v>
      </c>
      <c r="L34" s="81">
        <f ca="1">P34*$L$28</f>
        <v>3306.1649434117689</v>
      </c>
      <c r="M34" s="92">
        <f ca="1">L34/$L$32*10^3</f>
        <v>19401.563285649572</v>
      </c>
      <c r="N34" s="59"/>
      <c r="O34" s="80" t="s">
        <v>50</v>
      </c>
      <c r="P34" s="81">
        <f t="shared" ca="1" si="3"/>
        <v>3889.6058157785519</v>
      </c>
      <c r="Q34" s="92">
        <f ca="1">P34/$P$32*10^3</f>
        <v>8927.5162993103313</v>
      </c>
      <c r="R34" s="59"/>
      <c r="S34" s="59"/>
      <c r="T34" s="59"/>
      <c r="U34" s="59"/>
      <c r="V34" s="59"/>
      <c r="W34" s="100"/>
      <c r="X34" s="59"/>
      <c r="Y34" s="204" t="s">
        <v>134</v>
      </c>
      <c r="Z34" s="205"/>
      <c r="AA34" s="206"/>
    </row>
    <row r="35" spans="1:27" s="53" customFormat="1" ht="12" customHeight="1" thickTop="1">
      <c r="A35" s="58"/>
      <c r="B35" s="59"/>
      <c r="C35" s="59"/>
      <c r="D35" s="59"/>
      <c r="E35" s="59"/>
      <c r="F35" s="59"/>
      <c r="G35" s="80" t="s">
        <v>3</v>
      </c>
      <c r="H35" s="81">
        <f ca="1">L35*$H$28</f>
        <v>5666.0374604839899</v>
      </c>
      <c r="I35" s="155">
        <f>참조!G48*10^6</f>
        <v>220000</v>
      </c>
      <c r="J35" s="59"/>
      <c r="K35" s="80" t="s">
        <v>3</v>
      </c>
      <c r="L35" s="81">
        <f ca="1">P35*$L$28</f>
        <v>5964.2499584041998</v>
      </c>
      <c r="M35" s="92">
        <f>참조!D57*10^6</f>
        <v>35000</v>
      </c>
      <c r="N35" s="59"/>
      <c r="O35" s="80" t="s">
        <v>3</v>
      </c>
      <c r="P35" s="81">
        <f t="shared" ca="1" si="3"/>
        <v>7016.7646569461176</v>
      </c>
      <c r="Q35" s="92">
        <f ca="1">P35/$P$32*10^3</f>
        <v>16105.046066415476</v>
      </c>
      <c r="R35" s="59"/>
      <c r="S35" s="59"/>
      <c r="T35" s="59"/>
      <c r="U35" s="59"/>
      <c r="V35" s="59"/>
      <c r="W35" s="100"/>
      <c r="X35" s="59"/>
      <c r="Y35" s="112" t="s">
        <v>74</v>
      </c>
      <c r="Z35" s="199">
        <f t="shared" ref="Z35:Z40" ca="1" si="4">U5*W19</f>
        <v>1199.2273708107039</v>
      </c>
      <c r="AA35" s="200"/>
    </row>
    <row r="36" spans="1:27" s="53" customFormat="1" ht="12" customHeight="1">
      <c r="A36" s="58"/>
      <c r="B36" s="59"/>
      <c r="C36" s="59"/>
      <c r="D36" s="59"/>
      <c r="E36" s="59"/>
      <c r="F36" s="59"/>
      <c r="G36" s="80" t="s">
        <v>4</v>
      </c>
      <c r="H36" s="81">
        <f ca="1">L36*$H$28</f>
        <v>410.54981957787379</v>
      </c>
      <c r="I36" s="155">
        <f ca="1">H36/$H$32*10^3</f>
        <v>15940.763000076788</v>
      </c>
      <c r="J36" s="59"/>
      <c r="K36" s="80" t="s">
        <v>4</v>
      </c>
      <c r="L36" s="81">
        <f ca="1">P36*$L$28</f>
        <v>432.15770481881452</v>
      </c>
      <c r="M36" s="92">
        <f ca="1">L36/$L$32*10^3</f>
        <v>2536.0304772849436</v>
      </c>
      <c r="N36" s="59"/>
      <c r="O36" s="80" t="s">
        <v>4</v>
      </c>
      <c r="P36" s="81">
        <f t="shared" ca="1" si="3"/>
        <v>508.42082919860536</v>
      </c>
      <c r="Q36" s="92">
        <f ca="1">P36/$P$32*10^3</f>
        <v>1166.9396475002186</v>
      </c>
      <c r="R36" s="59"/>
      <c r="S36" s="59"/>
      <c r="T36" s="59"/>
      <c r="U36" s="59"/>
      <c r="V36" s="59"/>
      <c r="W36" s="100"/>
      <c r="X36" s="59"/>
      <c r="Y36" s="80" t="s">
        <v>2</v>
      </c>
      <c r="Z36" s="91">
        <f t="shared" ca="1" si="4"/>
        <v>0</v>
      </c>
      <c r="AA36" s="114">
        <f ca="1">Z36/$Z$35*10^3</f>
        <v>0</v>
      </c>
    </row>
    <row r="37" spans="1:27" s="53" customFormat="1" ht="12" customHeight="1">
      <c r="A37" s="58"/>
      <c r="B37" s="59"/>
      <c r="C37" s="59"/>
      <c r="D37" s="59"/>
      <c r="E37" s="59"/>
      <c r="F37" s="59"/>
      <c r="G37" s="83" t="s">
        <v>5</v>
      </c>
      <c r="H37" s="84">
        <f ca="1">L37*$H$28</f>
        <v>236.01794761906163</v>
      </c>
      <c r="I37" s="156">
        <f ca="1">H37/$H$32*10^3</f>
        <v>9164.0672759968365</v>
      </c>
      <c r="J37" s="59"/>
      <c r="K37" s="83" t="s">
        <v>5</v>
      </c>
      <c r="L37" s="84">
        <f ca="1">P37*$L$28</f>
        <v>248.43994486217014</v>
      </c>
      <c r="M37" s="95">
        <f ca="1">L37/$L$32*10^3</f>
        <v>1457.919793908588</v>
      </c>
      <c r="N37" s="59"/>
      <c r="O37" s="83" t="s">
        <v>5</v>
      </c>
      <c r="P37" s="84">
        <f t="shared" ca="1" si="3"/>
        <v>292.28228807314133</v>
      </c>
      <c r="Q37" s="95">
        <f ca="1">P37/$P$32*10^3</f>
        <v>670.85329834390757</v>
      </c>
      <c r="R37" s="59"/>
      <c r="S37" s="59"/>
      <c r="T37" s="59"/>
      <c r="U37" s="59"/>
      <c r="V37" s="59"/>
      <c r="W37" s="100"/>
      <c r="X37" s="59"/>
      <c r="Y37" s="80" t="s">
        <v>50</v>
      </c>
      <c r="Z37" s="91">
        <f t="shared" ca="1" si="4"/>
        <v>0</v>
      </c>
      <c r="AA37" s="114">
        <f ca="1">Z37/$Z$35*10^3</f>
        <v>0</v>
      </c>
    </row>
    <row r="38" spans="1:27" s="53" customFormat="1" ht="12" customHeight="1">
      <c r="A38" s="58"/>
      <c r="B38" s="59"/>
      <c r="C38" s="59"/>
      <c r="D38" s="158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100"/>
      <c r="X38" s="59"/>
      <c r="Y38" s="80" t="s">
        <v>3</v>
      </c>
      <c r="Z38" s="91">
        <f t="shared" ca="1" si="4"/>
        <v>0</v>
      </c>
      <c r="AA38" s="114">
        <f ca="1">Z38/$Z$35*10^3</f>
        <v>0</v>
      </c>
    </row>
    <row r="39" spans="1:27" s="53" customFormat="1" ht="12" customHeight="1" thickBot="1">
      <c r="A39" s="60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88"/>
      <c r="X39" s="59"/>
      <c r="Y39" s="80" t="s">
        <v>4</v>
      </c>
      <c r="Z39" s="91">
        <f t="shared" ca="1" si="4"/>
        <v>0</v>
      </c>
      <c r="AA39" s="114">
        <f ca="1">Z39/$Z$35*10^3</f>
        <v>0</v>
      </c>
    </row>
    <row r="40" spans="1:27" s="53" customFormat="1" ht="12" customHeight="1">
      <c r="Y40" s="83" t="s">
        <v>5</v>
      </c>
      <c r="Z40" s="94">
        <f t="shared" ca="1" si="4"/>
        <v>0</v>
      </c>
      <c r="AA40" s="115">
        <f ca="1">Z40/$Z$35*10^3</f>
        <v>0</v>
      </c>
    </row>
    <row r="41" spans="1:27" s="53" customFormat="1" ht="12" customHeight="1">
      <c r="T41" s="53" t="s">
        <v>125</v>
      </c>
      <c r="U41" s="53" t="s">
        <v>126</v>
      </c>
    </row>
    <row r="42" spans="1:27" ht="12" customHeight="1" thickBot="1">
      <c r="D42" s="49" t="s">
        <v>112</v>
      </c>
      <c r="I42" s="49">
        <f ca="1">(F44*F45)-(F46*G47)+(F48*F49)</f>
        <v>2201.4019991904879</v>
      </c>
      <c r="N42" s="49" t="s">
        <v>116</v>
      </c>
      <c r="R42" s="49" t="s">
        <v>124</v>
      </c>
      <c r="T42" s="49">
        <f>(P44/(1+(P45*P46))*P43*P47)</f>
        <v>4.6293160383240508</v>
      </c>
      <c r="U42" s="49">
        <f>P5*T42/10^3</f>
        <v>186.32420369672002</v>
      </c>
    </row>
    <row r="43" spans="1:27" ht="12" customHeight="1" thickBot="1">
      <c r="K43" s="133" t="s">
        <v>1</v>
      </c>
      <c r="L43" s="161"/>
      <c r="N43" s="49" t="s">
        <v>117</v>
      </c>
      <c r="P43" s="49">
        <f>L49*참조!H6</f>
        <v>69.439740574860764</v>
      </c>
      <c r="T43" s="49">
        <f>L49*참조!H7*(P44/(1+P45*P46))*P48</f>
        <v>0.89500110074264994</v>
      </c>
      <c r="U43" s="49">
        <f>P5*T43/10^3</f>
        <v>36.022679381365876</v>
      </c>
    </row>
    <row r="44" spans="1:27" ht="20.100000000000001" customHeight="1" thickTop="1">
      <c r="C44" s="49" t="s">
        <v>105</v>
      </c>
      <c r="D44" s="49" t="s">
        <v>103</v>
      </c>
      <c r="F44" s="49">
        <v>0.4</v>
      </c>
      <c r="K44" s="171" t="s">
        <v>2</v>
      </c>
      <c r="L44" s="174">
        <f>Q6</f>
        <v>179.6728345864845</v>
      </c>
      <c r="N44" s="49" t="s">
        <v>118</v>
      </c>
      <c r="P44" s="49">
        <f>0.4</f>
        <v>0.4</v>
      </c>
      <c r="U44" s="49">
        <f>SUM(U42:U43)</f>
        <v>222.34688307808591</v>
      </c>
    </row>
    <row r="45" spans="1:27" ht="20.100000000000001" customHeight="1">
      <c r="C45" s="49" t="s">
        <v>106</v>
      </c>
      <c r="D45" s="49" t="s">
        <v>100</v>
      </c>
      <c r="F45" s="163">
        <f ca="1">P6-U6</f>
        <v>6911.8138039599953</v>
      </c>
      <c r="K45" s="172" t="s">
        <v>43</v>
      </c>
      <c r="L45" s="175">
        <f>Q7</f>
        <v>136.15635406835446</v>
      </c>
      <c r="N45" s="49" t="s">
        <v>119</v>
      </c>
      <c r="P45" s="49">
        <f>0.08</f>
        <v>0.08</v>
      </c>
    </row>
    <row r="46" spans="1:27" ht="20.100000000000001" customHeight="1">
      <c r="C46" s="49" t="s">
        <v>107</v>
      </c>
      <c r="D46" s="49" t="s">
        <v>101</v>
      </c>
      <c r="F46" s="49">
        <v>0.05</v>
      </c>
      <c r="K46" s="172" t="s">
        <v>3</v>
      </c>
      <c r="L46" s="175">
        <f>Q8</f>
        <v>120.13695192867416</v>
      </c>
      <c r="N46" s="49" t="s">
        <v>120</v>
      </c>
      <c r="P46" s="49">
        <f>참조!I24</f>
        <v>10</v>
      </c>
    </row>
    <row r="47" spans="1:27" ht="20.100000000000001" customHeight="1">
      <c r="C47" s="49" t="s">
        <v>108</v>
      </c>
      <c r="D47" s="49" t="s">
        <v>102</v>
      </c>
      <c r="F47" s="49">
        <f>참조!$I$25*참조!$I$26</f>
        <v>2000</v>
      </c>
      <c r="G47" s="49">
        <f>F47*P5/10^3</f>
        <v>80497.508553844542</v>
      </c>
      <c r="K47" s="172" t="s">
        <v>4</v>
      </c>
      <c r="L47" s="175">
        <f>Q9</f>
        <v>40.671823563065324</v>
      </c>
      <c r="N47" s="49" t="s">
        <v>121</v>
      </c>
      <c r="P47" s="49">
        <f>0.3</f>
        <v>0.3</v>
      </c>
    </row>
    <row r="48" spans="1:27" ht="20.100000000000001" customHeight="1" thickBot="1">
      <c r="C48" s="49" t="s">
        <v>109</v>
      </c>
      <c r="D48" s="49" t="s">
        <v>104</v>
      </c>
      <c r="F48" s="49">
        <v>0.75</v>
      </c>
      <c r="K48" s="173" t="s">
        <v>5</v>
      </c>
      <c r="L48" s="176">
        <f>Q10</f>
        <v>6.7635539519294694</v>
      </c>
      <c r="N48" s="49" t="s">
        <v>122</v>
      </c>
      <c r="P48" s="49">
        <v>0.02</v>
      </c>
    </row>
    <row r="49" spans="3:16" ht="20.100000000000001" customHeight="1">
      <c r="C49" s="49" t="s">
        <v>110</v>
      </c>
      <c r="D49" s="49" t="s">
        <v>111</v>
      </c>
      <c r="F49" s="163">
        <f ca="1">P8-U8</f>
        <v>4615.491429287179</v>
      </c>
      <c r="K49" s="172" t="s">
        <v>44</v>
      </c>
      <c r="L49" s="175">
        <f>L45*1.7</f>
        <v>231.46580191620257</v>
      </c>
      <c r="N49" s="49" t="s">
        <v>123</v>
      </c>
      <c r="P49" s="170">
        <f>V8</f>
        <v>5</v>
      </c>
    </row>
    <row r="53" spans="3:16" ht="17.25" thickBot="1">
      <c r="C53" s="204" t="s">
        <v>135</v>
      </c>
      <c r="D53" s="205"/>
      <c r="E53" s="206"/>
    </row>
    <row r="54" spans="3:16" ht="17.25" thickTop="1">
      <c r="C54" s="112" t="s">
        <v>74</v>
      </c>
      <c r="D54" s="199">
        <v>120</v>
      </c>
      <c r="E54" s="200"/>
    </row>
    <row r="55" spans="3:16">
      <c r="C55" s="80" t="s">
        <v>2</v>
      </c>
      <c r="D55" s="91">
        <v>27</v>
      </c>
      <c r="E55" s="114">
        <f>D55/$D$54*10^3</f>
        <v>225</v>
      </c>
    </row>
    <row r="56" spans="3:16">
      <c r="C56" s="80" t="s">
        <v>50</v>
      </c>
      <c r="D56" s="91">
        <v>44</v>
      </c>
      <c r="E56" s="114">
        <f>D56/$D$54*10^3</f>
        <v>366.66666666666663</v>
      </c>
    </row>
    <row r="57" spans="3:16">
      <c r="C57" s="80" t="s">
        <v>3</v>
      </c>
      <c r="D57" s="91">
        <v>2</v>
      </c>
      <c r="E57" s="114">
        <f>D57/$D$54*10^3</f>
        <v>16.666666666666668</v>
      </c>
    </row>
    <row r="58" spans="3:16">
      <c r="C58" s="80" t="s">
        <v>4</v>
      </c>
      <c r="D58" s="91">
        <v>31</v>
      </c>
      <c r="E58" s="114">
        <f>D58/$D$54*10^3</f>
        <v>258.33333333333337</v>
      </c>
    </row>
    <row r="59" spans="3:16">
      <c r="C59" s="83" t="s">
        <v>5</v>
      </c>
      <c r="D59" s="94">
        <v>7</v>
      </c>
      <c r="E59" s="115">
        <f>D59/$D$54*10^3</f>
        <v>58.333333333333336</v>
      </c>
    </row>
  </sheetData>
  <mergeCells count="19">
    <mergeCell ref="H5:I5"/>
    <mergeCell ref="L5:M5"/>
    <mergeCell ref="P5:Q5"/>
    <mergeCell ref="U5:V5"/>
    <mergeCell ref="Y34:AA34"/>
    <mergeCell ref="Z35:AA35"/>
    <mergeCell ref="C53:E53"/>
    <mergeCell ref="D54:E54"/>
    <mergeCell ref="G31:I31"/>
    <mergeCell ref="K31:M31"/>
    <mergeCell ref="O31:Q31"/>
    <mergeCell ref="H32:I32"/>
    <mergeCell ref="L32:M32"/>
    <mergeCell ref="P32:Q32"/>
    <mergeCell ref="D19:E19"/>
    <mergeCell ref="H19:I19"/>
    <mergeCell ref="L19:M19"/>
    <mergeCell ref="Q19:R19"/>
    <mergeCell ref="D5:E5"/>
  </mergeCells>
  <phoneticPr fontId="1" type="noConversion"/>
  <conditionalFormatting sqref="AB5">
    <cfRule type="cellIs" dxfId="0" priority="1" operator="equal">
      <formula>"824.37 =$D$32"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6"/>
  <dimension ref="A1"/>
  <sheetViews>
    <sheetView workbookViewId="0">
      <selection activeCell="Z43" sqref="Z43"/>
    </sheetView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3</vt:i4>
      </vt:variant>
    </vt:vector>
  </HeadingPairs>
  <TitlesOfParts>
    <vt:vector size="8" baseType="lpstr">
      <vt:lpstr>참조</vt:lpstr>
      <vt:lpstr>물질수지 (2015년)</vt:lpstr>
      <vt:lpstr>물질수지 (2020년)</vt:lpstr>
      <vt:lpstr>물질수지 (2025년)</vt:lpstr>
      <vt:lpstr>Sheet3</vt:lpstr>
      <vt:lpstr>'물질수지 (2015년)'!Print_Area</vt:lpstr>
      <vt:lpstr>'물질수지 (2020년)'!Print_Area</vt:lpstr>
      <vt:lpstr>'물질수지 (2025년)'!Print_Area</vt:lpstr>
    </vt:vector>
  </TitlesOfParts>
  <Company>Your Company Name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Your User Name</cp:lastModifiedBy>
  <cp:lastPrinted>2009-11-28T02:29:04Z</cp:lastPrinted>
  <dcterms:created xsi:type="dcterms:W3CDTF">2008-10-30T00:45:32Z</dcterms:created>
  <dcterms:modified xsi:type="dcterms:W3CDTF">2009-11-28T02:33:04Z</dcterms:modified>
</cp:coreProperties>
</file>