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90" windowWidth="24615" windowHeight="11760" activeTab="4"/>
  </bookViews>
  <sheets>
    <sheet name="참조" sheetId="1" r:id="rId1"/>
    <sheet name="물질수지 (2010년)" sheetId="10" r:id="rId2"/>
    <sheet name="물질수지 (2015년)" sheetId="26" r:id="rId3"/>
    <sheet name="물질수지 (2020년)" sheetId="27" r:id="rId4"/>
    <sheet name="물질수지 (2025년)" sheetId="28" r:id="rId5"/>
    <sheet name="Sheet3" sheetId="3" r:id="rId6"/>
  </sheets>
  <definedNames>
    <definedName name="_xlnm.Print_Area" localSheetId="1">'물질수지 (2010년)'!$A$1:$W$38</definedName>
    <definedName name="_xlnm.Print_Area" localSheetId="2">'물질수지 (2015년)'!$A$1:$W$37</definedName>
    <definedName name="_xlnm.Print_Area" localSheetId="3">'물질수지 (2020년)'!$A$1:$W$37</definedName>
    <definedName name="_xlnm.Print_Area" localSheetId="4">'물질수지 (2025년)'!$A$1:$W$37</definedName>
  </definedNames>
  <calcPr calcId="125725" iterate="1"/>
</workbook>
</file>

<file path=xl/calcChain.xml><?xml version="1.0" encoding="utf-8"?>
<calcChain xmlns="http://schemas.openxmlformats.org/spreadsheetml/2006/main">
  <c r="AA49" i="28"/>
  <c r="AA48"/>
  <c r="AA47"/>
  <c r="AA46"/>
  <c r="P46"/>
  <c r="F46"/>
  <c r="AA45"/>
  <c r="P45"/>
  <c r="P44"/>
  <c r="P43"/>
  <c r="M34"/>
  <c r="I34"/>
  <c r="L28"/>
  <c r="H28"/>
  <c r="W24"/>
  <c r="E24"/>
  <c r="E23"/>
  <c r="R22"/>
  <c r="E22"/>
  <c r="E21"/>
  <c r="E20"/>
  <c r="L19"/>
  <c r="H19"/>
  <c r="D10"/>
  <c r="D9"/>
  <c r="M8"/>
  <c r="D8"/>
  <c r="D7"/>
  <c r="D6"/>
  <c r="AA49" i="27"/>
  <c r="AA48"/>
  <c r="AA47"/>
  <c r="AA46"/>
  <c r="P46"/>
  <c r="F46"/>
  <c r="AA45"/>
  <c r="P45"/>
  <c r="P44"/>
  <c r="P43"/>
  <c r="M34"/>
  <c r="I34"/>
  <c r="L28"/>
  <c r="H28"/>
  <c r="W24"/>
  <c r="E24"/>
  <c r="E23"/>
  <c r="R22"/>
  <c r="E22"/>
  <c r="E21"/>
  <c r="E20"/>
  <c r="L19"/>
  <c r="H19"/>
  <c r="D10"/>
  <c r="D9"/>
  <c r="M8"/>
  <c r="D8"/>
  <c r="D7"/>
  <c r="D6"/>
  <c r="AA49" i="26"/>
  <c r="AA48"/>
  <c r="AA47"/>
  <c r="AA46"/>
  <c r="P46"/>
  <c r="F46"/>
  <c r="AA45"/>
  <c r="P45"/>
  <c r="P44"/>
  <c r="P43"/>
  <c r="M34"/>
  <c r="I34"/>
  <c r="L28"/>
  <c r="H28"/>
  <c r="W24"/>
  <c r="E24"/>
  <c r="E23"/>
  <c r="R22"/>
  <c r="E22"/>
  <c r="E21"/>
  <c r="E20"/>
  <c r="L19"/>
  <c r="H19"/>
  <c r="D10"/>
  <c r="D9"/>
  <c r="M8"/>
  <c r="D8"/>
  <c r="D7"/>
  <c r="D6"/>
  <c r="W25" i="10"/>
  <c r="P47"/>
  <c r="P46"/>
  <c r="P45"/>
  <c r="P44"/>
  <c r="D8" i="1"/>
  <c r="F47" i="10"/>
  <c r="M35"/>
  <c r="I35"/>
  <c r="AA49"/>
  <c r="L29"/>
  <c r="H29"/>
  <c r="E25"/>
  <c r="E24"/>
  <c r="R23"/>
  <c r="E23"/>
  <c r="E22"/>
  <c r="E21"/>
  <c r="L20"/>
  <c r="H20"/>
  <c r="M9"/>
  <c r="E5" i="1"/>
  <c r="AA48" i="10"/>
  <c r="AA46"/>
  <c r="AA50"/>
  <c r="D7"/>
  <c r="D8"/>
  <c r="D9"/>
  <c r="D10"/>
  <c r="D11"/>
  <c r="AA47"/>
  <c r="D19" i="27" l="1"/>
  <c r="H5" s="1"/>
  <c r="D19" i="28"/>
  <c r="H5" s="1"/>
  <c r="D19" i="26"/>
  <c r="H5" s="1"/>
  <c r="I9" s="1"/>
  <c r="H9" s="1"/>
  <c r="D20" i="10"/>
  <c r="H6" s="1"/>
  <c r="I11" s="1"/>
  <c r="I6" i="27" l="1"/>
  <c r="H6" s="1"/>
  <c r="L6" s="1"/>
  <c r="P6" s="1"/>
  <c r="I9"/>
  <c r="H9" s="1"/>
  <c r="L9" s="1"/>
  <c r="P9" s="1"/>
  <c r="I10"/>
  <c r="H10" s="1"/>
  <c r="L10" s="1"/>
  <c r="P10" s="1"/>
  <c r="I7"/>
  <c r="H7" s="1"/>
  <c r="L7" s="1"/>
  <c r="P7" s="1"/>
  <c r="I8"/>
  <c r="H8" s="1"/>
  <c r="L8" s="1"/>
  <c r="L5" s="1"/>
  <c r="P5" s="1"/>
  <c r="G46" s="1"/>
  <c r="I8" i="28"/>
  <c r="H8" s="1"/>
  <c r="L8" s="1"/>
  <c r="L5" s="1"/>
  <c r="P5" s="1"/>
  <c r="G46" s="1"/>
  <c r="I9"/>
  <c r="H9" s="1"/>
  <c r="L9" s="1"/>
  <c r="I7"/>
  <c r="H7" s="1"/>
  <c r="L7" s="1"/>
  <c r="I10"/>
  <c r="H10" s="1"/>
  <c r="L10" s="1"/>
  <c r="P10" s="1"/>
  <c r="I6"/>
  <c r="H6" s="1"/>
  <c r="L6" s="1"/>
  <c r="I8" i="26"/>
  <c r="H8" s="1"/>
  <c r="L8" s="1"/>
  <c r="L5" s="1"/>
  <c r="I6"/>
  <c r="H6" s="1"/>
  <c r="L6" s="1"/>
  <c r="I7"/>
  <c r="H7" s="1"/>
  <c r="L7" s="1"/>
  <c r="P7" s="1"/>
  <c r="I10"/>
  <c r="H10" s="1"/>
  <c r="L10" s="1"/>
  <c r="P10" s="1"/>
  <c r="L9"/>
  <c r="P9" s="1"/>
  <c r="I9" i="10"/>
  <c r="H9" s="1"/>
  <c r="I10"/>
  <c r="H10" s="1"/>
  <c r="H11"/>
  <c r="I7"/>
  <c r="H7" s="1"/>
  <c r="I8"/>
  <c r="H8" s="1"/>
  <c r="P8" i="27" l="1"/>
  <c r="Q8" s="1"/>
  <c r="L45" s="1"/>
  <c r="Q10"/>
  <c r="L47" s="1"/>
  <c r="U9"/>
  <c r="Q9"/>
  <c r="L46" s="1"/>
  <c r="M6"/>
  <c r="M7"/>
  <c r="U8"/>
  <c r="U6"/>
  <c r="F44" s="1"/>
  <c r="Q6"/>
  <c r="L43" s="1"/>
  <c r="U7"/>
  <c r="Q7"/>
  <c r="L44" s="1"/>
  <c r="L48" s="1"/>
  <c r="M10"/>
  <c r="M9"/>
  <c r="P8" i="26"/>
  <c r="U8" s="1"/>
  <c r="M10"/>
  <c r="P5"/>
  <c r="Q9" s="1"/>
  <c r="L46" s="1"/>
  <c r="M9"/>
  <c r="M7"/>
  <c r="M6"/>
  <c r="Q8"/>
  <c r="L45" s="1"/>
  <c r="U9"/>
  <c r="U7"/>
  <c r="P6"/>
  <c r="L7" i="10"/>
  <c r="P7" s="1"/>
  <c r="L8"/>
  <c r="P8" s="1"/>
  <c r="L9"/>
  <c r="L6" s="1"/>
  <c r="P6" s="1"/>
  <c r="L10"/>
  <c r="L11"/>
  <c r="M6" i="28"/>
  <c r="M7"/>
  <c r="M9"/>
  <c r="Q10"/>
  <c r="L47" s="1"/>
  <c r="P6"/>
  <c r="P7"/>
  <c r="P8"/>
  <c r="P9"/>
  <c r="M10"/>
  <c r="Q10" i="26" l="1"/>
  <c r="L47" s="1"/>
  <c r="P42" i="27"/>
  <c r="T41" s="1"/>
  <c r="U41" s="1"/>
  <c r="T42"/>
  <c r="U42" s="1"/>
  <c r="AD45"/>
  <c r="U20" s="1"/>
  <c r="Y20" s="1"/>
  <c r="AD47"/>
  <c r="U22" s="1"/>
  <c r="Y22" s="1"/>
  <c r="U23"/>
  <c r="Y23" s="1"/>
  <c r="AD48"/>
  <c r="AD46"/>
  <c r="U21" s="1"/>
  <c r="Y21" s="1"/>
  <c r="F48"/>
  <c r="I41" s="1"/>
  <c r="Q22" s="1"/>
  <c r="Q7" i="26"/>
  <c r="L44" s="1"/>
  <c r="L48" s="1"/>
  <c r="T42" s="1"/>
  <c r="U42" s="1"/>
  <c r="AD46"/>
  <c r="U21" s="1"/>
  <c r="U23"/>
  <c r="Y23" s="1"/>
  <c r="AD48"/>
  <c r="Q6"/>
  <c r="L43" s="1"/>
  <c r="U6"/>
  <c r="AD47"/>
  <c r="U22" s="1"/>
  <c r="G46"/>
  <c r="F48"/>
  <c r="M10" i="10"/>
  <c r="M11"/>
  <c r="P9"/>
  <c r="U9" s="1"/>
  <c r="F49" s="1"/>
  <c r="P10"/>
  <c r="U10" s="1"/>
  <c r="U7"/>
  <c r="Q7"/>
  <c r="L44" s="1"/>
  <c r="Q8"/>
  <c r="L45" s="1"/>
  <c r="L49" s="1"/>
  <c r="U8"/>
  <c r="Q9"/>
  <c r="L46" s="1"/>
  <c r="G47"/>
  <c r="P11"/>
  <c r="M8"/>
  <c r="M7"/>
  <c r="U8" i="28"/>
  <c r="F48" s="1"/>
  <c r="Q8"/>
  <c r="L45" s="1"/>
  <c r="U6"/>
  <c r="Q6"/>
  <c r="L43" s="1"/>
  <c r="U9"/>
  <c r="Q9"/>
  <c r="L46" s="1"/>
  <c r="U7"/>
  <c r="Q7"/>
  <c r="L44" s="1"/>
  <c r="L48" s="1"/>
  <c r="Q10" i="10" l="1"/>
  <c r="L47" s="1"/>
  <c r="U43" i="27"/>
  <c r="Q24" s="1"/>
  <c r="P36" s="1"/>
  <c r="P42" i="26"/>
  <c r="T41" s="1"/>
  <c r="U41" s="1"/>
  <c r="U43" s="1"/>
  <c r="Q24" s="1"/>
  <c r="Q21" i="27"/>
  <c r="Q19"/>
  <c r="Q23"/>
  <c r="P34"/>
  <c r="Q20"/>
  <c r="Y21" i="26"/>
  <c r="Y22"/>
  <c r="AD45"/>
  <c r="U20" s="1"/>
  <c r="F44"/>
  <c r="I41" s="1"/>
  <c r="Q22" s="1"/>
  <c r="Q11" i="10"/>
  <c r="L48" s="1"/>
  <c r="AD48"/>
  <c r="U23" s="1"/>
  <c r="AD49"/>
  <c r="U24"/>
  <c r="AD47"/>
  <c r="U22" s="1"/>
  <c r="AD46"/>
  <c r="U21" s="1"/>
  <c r="P43"/>
  <c r="T42" s="1"/>
  <c r="U42" s="1"/>
  <c r="T43"/>
  <c r="U43" s="1"/>
  <c r="F45"/>
  <c r="I42" s="1"/>
  <c r="Q23" s="1"/>
  <c r="T42" i="28"/>
  <c r="U42" s="1"/>
  <c r="P42"/>
  <c r="T41" s="1"/>
  <c r="U41" s="1"/>
  <c r="AD45"/>
  <c r="U20" s="1"/>
  <c r="Y20" s="1"/>
  <c r="AD46"/>
  <c r="U21" s="1"/>
  <c r="U23"/>
  <c r="Y23" s="1"/>
  <c r="AD48"/>
  <c r="AD47"/>
  <c r="U22" s="1"/>
  <c r="Y22" s="1"/>
  <c r="F44"/>
  <c r="I41" s="1"/>
  <c r="Q22" s="1"/>
  <c r="U10" i="27" l="1"/>
  <c r="U16" s="1"/>
  <c r="R10"/>
  <c r="R24"/>
  <c r="R10" i="26"/>
  <c r="P36"/>
  <c r="L36" s="1"/>
  <c r="R20" i="27"/>
  <c r="P32"/>
  <c r="R23"/>
  <c r="P35"/>
  <c r="R21"/>
  <c r="P33"/>
  <c r="AA31"/>
  <c r="L36"/>
  <c r="AA30"/>
  <c r="L24"/>
  <c r="M24" s="1"/>
  <c r="L34"/>
  <c r="U5"/>
  <c r="P31"/>
  <c r="U10" i="26"/>
  <c r="U16" s="1"/>
  <c r="U24" s="1"/>
  <c r="P34"/>
  <c r="Q20"/>
  <c r="Q23"/>
  <c r="Q21"/>
  <c r="Q19"/>
  <c r="Y20"/>
  <c r="U44" i="10"/>
  <c r="Q25" s="1"/>
  <c r="R11" s="1"/>
  <c r="Y21"/>
  <c r="Y23"/>
  <c r="Q24"/>
  <c r="Q21"/>
  <c r="Q22"/>
  <c r="P35"/>
  <c r="Q20"/>
  <c r="Y24"/>
  <c r="Y22"/>
  <c r="U43" i="28"/>
  <c r="Q24" s="1"/>
  <c r="R10" s="1"/>
  <c r="Y21"/>
  <c r="Q21"/>
  <c r="Q23"/>
  <c r="P34"/>
  <c r="Q19"/>
  <c r="Q20"/>
  <c r="AD49" i="27" l="1"/>
  <c r="U24"/>
  <c r="P37" i="10"/>
  <c r="R24" i="28"/>
  <c r="U10"/>
  <c r="AD49" s="1"/>
  <c r="Q34" i="27"/>
  <c r="AA26"/>
  <c r="H34"/>
  <c r="H31" s="1"/>
  <c r="L31"/>
  <c r="M36" s="1"/>
  <c r="H22"/>
  <c r="H36"/>
  <c r="H24" s="1"/>
  <c r="U19"/>
  <c r="V16" s="1"/>
  <c r="V7"/>
  <c r="V8"/>
  <c r="P48" s="1"/>
  <c r="V9"/>
  <c r="AD44"/>
  <c r="V6"/>
  <c r="Q33"/>
  <c r="L33"/>
  <c r="Q35"/>
  <c r="L35"/>
  <c r="L23" s="1"/>
  <c r="M23" s="1"/>
  <c r="L32"/>
  <c r="Q32"/>
  <c r="L20"/>
  <c r="M20" s="1"/>
  <c r="Y24"/>
  <c r="L22"/>
  <c r="M22" s="1"/>
  <c r="Q36"/>
  <c r="V10"/>
  <c r="AD49" i="26"/>
  <c r="Y24"/>
  <c r="P31"/>
  <c r="Q34" s="1"/>
  <c r="U5"/>
  <c r="R24"/>
  <c r="P35"/>
  <c r="R23"/>
  <c r="L34"/>
  <c r="H36"/>
  <c r="H24" s="1"/>
  <c r="AA30"/>
  <c r="R21"/>
  <c r="P33"/>
  <c r="P32"/>
  <c r="R20"/>
  <c r="AA31"/>
  <c r="L24"/>
  <c r="M24" s="1"/>
  <c r="U11" i="10"/>
  <c r="U17" s="1"/>
  <c r="R25"/>
  <c r="AD50"/>
  <c r="P32"/>
  <c r="U6"/>
  <c r="R22"/>
  <c r="P34"/>
  <c r="R24"/>
  <c r="P36"/>
  <c r="L37"/>
  <c r="L25" s="1"/>
  <c r="M25" s="1"/>
  <c r="AA31"/>
  <c r="AA32"/>
  <c r="L35"/>
  <c r="L23" s="1"/>
  <c r="M23" s="1"/>
  <c r="Q35"/>
  <c r="R21"/>
  <c r="P33"/>
  <c r="P36" i="28"/>
  <c r="L36" s="1"/>
  <c r="L24" s="1"/>
  <c r="M24" s="1"/>
  <c r="R20"/>
  <c r="P32"/>
  <c r="L34"/>
  <c r="R21"/>
  <c r="P33"/>
  <c r="U16"/>
  <c r="U24" s="1"/>
  <c r="P31"/>
  <c r="Q34" s="1"/>
  <c r="U5"/>
  <c r="R23"/>
  <c r="P35"/>
  <c r="Q37" i="10" l="1"/>
  <c r="V24" i="27"/>
  <c r="AA30" i="28"/>
  <c r="AA31"/>
  <c r="I36" i="27"/>
  <c r="AA3"/>
  <c r="AD3" s="1"/>
  <c r="M33"/>
  <c r="H33"/>
  <c r="I33" s="1"/>
  <c r="I24"/>
  <c r="D24"/>
  <c r="AA8" s="1"/>
  <c r="AD8" s="1"/>
  <c r="AA2"/>
  <c r="AD2" s="1"/>
  <c r="H32"/>
  <c r="I32" s="1"/>
  <c r="M32"/>
  <c r="M35"/>
  <c r="H35"/>
  <c r="I35" s="1"/>
  <c r="AE46"/>
  <c r="AE45"/>
  <c r="AE48"/>
  <c r="AE47"/>
  <c r="V21"/>
  <c r="V22"/>
  <c r="V20"/>
  <c r="V23"/>
  <c r="D22"/>
  <c r="AA6" s="1"/>
  <c r="AD6" s="1"/>
  <c r="I22"/>
  <c r="L21"/>
  <c r="M21" s="1"/>
  <c r="AE49"/>
  <c r="I24" i="26"/>
  <c r="D24"/>
  <c r="AA8" s="1"/>
  <c r="AD8" s="1"/>
  <c r="L33"/>
  <c r="Q33"/>
  <c r="AA26"/>
  <c r="Q36"/>
  <c r="L32"/>
  <c r="Q32"/>
  <c r="L22"/>
  <c r="M22" s="1"/>
  <c r="H34"/>
  <c r="H31" s="1"/>
  <c r="I36" s="1"/>
  <c r="L31"/>
  <c r="Q35"/>
  <c r="L35"/>
  <c r="AD44"/>
  <c r="U19"/>
  <c r="V7"/>
  <c r="V9"/>
  <c r="V8"/>
  <c r="P48" s="1"/>
  <c r="V6"/>
  <c r="V10"/>
  <c r="V11" i="10"/>
  <c r="H37"/>
  <c r="H25" s="1"/>
  <c r="AA27"/>
  <c r="L33"/>
  <c r="Q33"/>
  <c r="L21"/>
  <c r="M21" s="1"/>
  <c r="L32"/>
  <c r="AA2" s="1"/>
  <c r="AD2" s="1"/>
  <c r="H35"/>
  <c r="H32" s="1"/>
  <c r="L36"/>
  <c r="Q36"/>
  <c r="L24"/>
  <c r="M24" s="1"/>
  <c r="L34"/>
  <c r="Q34"/>
  <c r="L22"/>
  <c r="M22" s="1"/>
  <c r="U20"/>
  <c r="AD45"/>
  <c r="V10"/>
  <c r="V7"/>
  <c r="V9"/>
  <c r="P49" s="1"/>
  <c r="V8"/>
  <c r="V17"/>
  <c r="U25"/>
  <c r="Q36" i="28"/>
  <c r="V8"/>
  <c r="P48" s="1"/>
  <c r="V7"/>
  <c r="AD44"/>
  <c r="V9"/>
  <c r="U19"/>
  <c r="V16" s="1"/>
  <c r="V6"/>
  <c r="H36"/>
  <c r="H24" s="1"/>
  <c r="AA26"/>
  <c r="L22"/>
  <c r="M22" s="1"/>
  <c r="L31"/>
  <c r="H34"/>
  <c r="H31" s="1"/>
  <c r="V10"/>
  <c r="AE49"/>
  <c r="L35"/>
  <c r="Q35"/>
  <c r="L23"/>
  <c r="M23" s="1"/>
  <c r="Y24"/>
  <c r="L33"/>
  <c r="L21" s="1"/>
  <c r="M21" s="1"/>
  <c r="Q33"/>
  <c r="L32"/>
  <c r="Q32"/>
  <c r="H22" i="26" l="1"/>
  <c r="I22" s="1"/>
  <c r="V24" i="28"/>
  <c r="H21" i="27"/>
  <c r="I21" s="1"/>
  <c r="H23"/>
  <c r="H20"/>
  <c r="V23" i="26"/>
  <c r="V21"/>
  <c r="V22"/>
  <c r="V20"/>
  <c r="V24"/>
  <c r="V16"/>
  <c r="L23"/>
  <c r="M23" s="1"/>
  <c r="H35"/>
  <c r="I35" s="1"/>
  <c r="M35"/>
  <c r="H23"/>
  <c r="L21"/>
  <c r="M21" s="1"/>
  <c r="M33"/>
  <c r="H33"/>
  <c r="I33" s="1"/>
  <c r="AE47"/>
  <c r="AE48"/>
  <c r="AE46"/>
  <c r="AE45"/>
  <c r="AE49"/>
  <c r="AA3"/>
  <c r="AD3" s="1"/>
  <c r="M36"/>
  <c r="L20"/>
  <c r="M20" s="1"/>
  <c r="M32"/>
  <c r="H32"/>
  <c r="I32" s="1"/>
  <c r="AA2"/>
  <c r="AD2" s="1"/>
  <c r="H23" i="10"/>
  <c r="I23" s="1"/>
  <c r="V21"/>
  <c r="V23"/>
  <c r="V24"/>
  <c r="V22"/>
  <c r="M36"/>
  <c r="H36"/>
  <c r="I36" s="1"/>
  <c r="H33"/>
  <c r="I33" s="1"/>
  <c r="M33"/>
  <c r="I25"/>
  <c r="D25"/>
  <c r="AA8" s="1"/>
  <c r="AD8" s="1"/>
  <c r="I37"/>
  <c r="V25"/>
  <c r="Y25"/>
  <c r="AE46"/>
  <c r="AE48"/>
  <c r="AE47"/>
  <c r="AE49"/>
  <c r="H34"/>
  <c r="I34" s="1"/>
  <c r="M34"/>
  <c r="D23"/>
  <c r="AA6" s="1"/>
  <c r="AD6" s="1"/>
  <c r="AA3"/>
  <c r="AD3" s="1"/>
  <c r="AE50"/>
  <c r="M37"/>
  <c r="D24" i="28"/>
  <c r="AA8" s="1"/>
  <c r="AD8" s="1"/>
  <c r="I24"/>
  <c r="L20"/>
  <c r="M20" s="1"/>
  <c r="M32"/>
  <c r="H32"/>
  <c r="I32" s="1"/>
  <c r="H35"/>
  <c r="I35" s="1"/>
  <c r="M35"/>
  <c r="H23"/>
  <c r="V23"/>
  <c r="V20"/>
  <c r="V22"/>
  <c r="V21"/>
  <c r="AE47"/>
  <c r="AE45"/>
  <c r="AE46"/>
  <c r="AE48"/>
  <c r="H22"/>
  <c r="AA3"/>
  <c r="AD3" s="1"/>
  <c r="AA2"/>
  <c r="AD2" s="1"/>
  <c r="M36"/>
  <c r="M33"/>
  <c r="H33"/>
  <c r="I33" s="1"/>
  <c r="I36"/>
  <c r="D22" i="26" l="1"/>
  <c r="AA6" s="1"/>
  <c r="AD6" s="1"/>
  <c r="D21" i="27"/>
  <c r="AA5" s="1"/>
  <c r="AD5" s="1"/>
  <c r="D23"/>
  <c r="AA7" s="1"/>
  <c r="AD7" s="1"/>
  <c r="I23"/>
  <c r="D20"/>
  <c r="AA4" s="1"/>
  <c r="AD4" s="1"/>
  <c r="I20"/>
  <c r="H21" i="26"/>
  <c r="I21" s="1"/>
  <c r="H20"/>
  <c r="I23"/>
  <c r="D23"/>
  <c r="AA7" s="1"/>
  <c r="AD7" s="1"/>
  <c r="H22" i="10"/>
  <c r="H21"/>
  <c r="H24"/>
  <c r="I23" i="28"/>
  <c r="D23"/>
  <c r="AA7" s="1"/>
  <c r="AD7" s="1"/>
  <c r="D22"/>
  <c r="AA6" s="1"/>
  <c r="AD6" s="1"/>
  <c r="I22"/>
  <c r="H21"/>
  <c r="H20"/>
  <c r="D21" i="26" l="1"/>
  <c r="AA5" s="1"/>
  <c r="AD5" s="1"/>
  <c r="I20"/>
  <c r="D20"/>
  <c r="AA4" s="1"/>
  <c r="AD4" s="1"/>
  <c r="I24" i="10"/>
  <c r="D24"/>
  <c r="AA7" s="1"/>
  <c r="AD7" s="1"/>
  <c r="I22"/>
  <c r="D22"/>
  <c r="AA5" s="1"/>
  <c r="AD5" s="1"/>
  <c r="D21"/>
  <c r="AA4" s="1"/>
  <c r="AD4" s="1"/>
  <c r="I21"/>
  <c r="I21" i="28"/>
  <c r="D21"/>
  <c r="AA5" s="1"/>
  <c r="AD5" s="1"/>
  <c r="D20"/>
  <c r="AA4" s="1"/>
  <c r="AD4" s="1"/>
  <c r="I20"/>
</calcChain>
</file>

<file path=xl/sharedStrings.xml><?xml version="1.0" encoding="utf-8"?>
<sst xmlns="http://schemas.openxmlformats.org/spreadsheetml/2006/main" count="781" uniqueCount="153">
  <si>
    <t>1. 설계수량 및 수질</t>
    <phoneticPr fontId="1" type="noConversion"/>
  </si>
  <si>
    <t>Q=</t>
    <phoneticPr fontId="1" type="noConversion"/>
  </si>
  <si>
    <t>BOD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</si>
  <si>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</si>
  <si>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</si>
  <si>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</si>
  <si>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유입수</t>
    <phoneticPr fontId="1" type="noConversion"/>
  </si>
  <si>
    <t>2. 최초침전지</t>
    <phoneticPr fontId="1" type="noConversion"/>
  </si>
  <si>
    <t>형식</t>
    <phoneticPr fontId="1" type="noConversion"/>
  </si>
  <si>
    <t>형식:</t>
    <phoneticPr fontId="1" type="noConversion"/>
  </si>
  <si>
    <t>중력식</t>
    <phoneticPr fontId="1" type="noConversion"/>
  </si>
  <si>
    <t>처리효율</t>
    <phoneticPr fontId="1" type="noConversion"/>
  </si>
  <si>
    <t>TS</t>
    <phoneticPr fontId="1" type="noConversion"/>
  </si>
  <si>
    <t>FSS/TSS</t>
    <phoneticPr fontId="1" type="noConversion"/>
  </si>
  <si>
    <t>I-N</t>
    <phoneticPr fontId="1" type="noConversion"/>
  </si>
  <si>
    <t>I-P</t>
    <phoneticPr fontId="1" type="noConversion"/>
  </si>
  <si>
    <t>3. DNR 반응조</t>
    <phoneticPr fontId="1" type="noConversion"/>
  </si>
  <si>
    <t>반송률</t>
    <phoneticPr fontId="1" type="noConversion"/>
  </si>
  <si>
    <t>내부반송률</t>
    <phoneticPr fontId="1" type="noConversion"/>
  </si>
  <si>
    <t>매생물증식에 의한 T-N</t>
    <phoneticPr fontId="1" type="noConversion"/>
  </si>
  <si>
    <t>무산소조로 유입되는 T-N</t>
    <phoneticPr fontId="1" type="noConversion"/>
  </si>
  <si>
    <t>내부반송수의 Nox</t>
    <phoneticPr fontId="1" type="noConversion"/>
  </si>
  <si>
    <t>무산소조에서의 고율탈질</t>
    <phoneticPr fontId="1" type="noConversion"/>
  </si>
  <si>
    <t>무산소조에서 2차탈질</t>
    <phoneticPr fontId="1" type="noConversion"/>
  </si>
  <si>
    <t>유출수내 T-N</t>
    <phoneticPr fontId="1" type="noConversion"/>
  </si>
  <si>
    <t>반응조 체류시간</t>
    <phoneticPr fontId="1" type="noConversion"/>
  </si>
  <si>
    <t>질소 함유량</t>
    <phoneticPr fontId="1" type="noConversion"/>
  </si>
  <si>
    <t xml:space="preserve">P 방출량 </t>
    <phoneticPr fontId="1" type="noConversion"/>
  </si>
  <si>
    <t>RBDCOD 소모량= P방출량 x gRBDCOD/Prel(2)</t>
    <phoneticPr fontId="1" type="noConversion"/>
  </si>
  <si>
    <t>탈질이용 COD</t>
    <phoneticPr fontId="1" type="noConversion"/>
  </si>
  <si>
    <t>=RBDCODt(COD의 25%)-인방출용 RBDCOD</t>
    <phoneticPr fontId="1" type="noConversion"/>
  </si>
  <si>
    <t>고율탈질율= 탈질이용 COD/탈질시 COD소모율</t>
    <phoneticPr fontId="1" type="noConversion"/>
  </si>
  <si>
    <t>내부반송수 Nox의 탈질률</t>
    <phoneticPr fontId="1" type="noConversion"/>
  </si>
  <si>
    <t>고형물체류시간</t>
    <phoneticPr fontId="1" type="noConversion"/>
  </si>
  <si>
    <t>반응조내 MLSS농도</t>
    <phoneticPr fontId="1" type="noConversion"/>
  </si>
  <si>
    <t>MLVSS/MLSS</t>
    <phoneticPr fontId="1" type="noConversion"/>
  </si>
  <si>
    <t>반응조내 인의 유입량</t>
    <phoneticPr fontId="1" type="noConversion"/>
  </si>
  <si>
    <t>미생물증식에 의한 인 제거</t>
    <phoneticPr fontId="1" type="noConversion"/>
  </si>
  <si>
    <t>처리후 T-P량</t>
    <phoneticPr fontId="1" type="noConversion"/>
  </si>
  <si>
    <t>처리후 T-P농도</t>
    <phoneticPr fontId="1" type="noConversion"/>
  </si>
  <si>
    <t>잉여슬러지량(VSS)</t>
    <phoneticPr fontId="1" type="noConversion"/>
  </si>
  <si>
    <t>잉여슬러지량(TSS)</t>
    <phoneticPr fontId="1" type="noConversion"/>
  </si>
  <si>
    <t>4. 최종침전지</t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</si>
  <si>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Mn</t>
    </r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</si>
  <si>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cr</t>
    </r>
    <phoneticPr fontId="1" type="noConversion"/>
  </si>
  <si>
    <t>5. 부상농축조</t>
    <phoneticPr fontId="1" type="noConversion"/>
  </si>
  <si>
    <t>원심농축기</t>
    <phoneticPr fontId="1" type="noConversion"/>
  </si>
  <si>
    <t>처리효율</t>
    <phoneticPr fontId="1" type="noConversion"/>
  </si>
  <si>
    <t>상등수</t>
    <phoneticPr fontId="1" type="noConversion"/>
  </si>
  <si>
    <t>SBOD</t>
    <phoneticPr fontId="1" type="noConversion"/>
  </si>
  <si>
    <t>COD</t>
    <phoneticPr fontId="1" type="noConversion"/>
  </si>
  <si>
    <t>함수율</t>
    <phoneticPr fontId="1" type="noConversion"/>
  </si>
  <si>
    <t>유기물함유율</t>
    <phoneticPr fontId="1" type="noConversion"/>
  </si>
  <si>
    <t>유기물분해율</t>
    <phoneticPr fontId="1" type="noConversion"/>
  </si>
  <si>
    <t>함수율</t>
    <phoneticPr fontId="1" type="noConversion"/>
  </si>
  <si>
    <t>소화슬러지내 질소함량</t>
    <phoneticPr fontId="1" type="noConversion"/>
  </si>
  <si>
    <t>소화슬러지내 인함량</t>
    <phoneticPr fontId="1" type="noConversion"/>
  </si>
  <si>
    <t>혐기성 2단소화</t>
    <phoneticPr fontId="1" type="noConversion"/>
  </si>
  <si>
    <t>6. 소화조(1)</t>
    <phoneticPr fontId="1" type="noConversion"/>
  </si>
  <si>
    <t>7. 소화조(2)</t>
    <phoneticPr fontId="1" type="noConversion"/>
  </si>
  <si>
    <t xml:space="preserve">형식: </t>
    <phoneticPr fontId="1" type="noConversion"/>
  </si>
  <si>
    <t xml:space="preserve"> </t>
    <phoneticPr fontId="1" type="noConversion"/>
  </si>
  <si>
    <t>혐기성 2단 소화</t>
    <phoneticPr fontId="1" type="noConversion"/>
  </si>
  <si>
    <t>유기물함량</t>
    <phoneticPr fontId="1" type="noConversion"/>
  </si>
  <si>
    <t>용출되는 질소량</t>
    <phoneticPr fontId="1" type="noConversion"/>
  </si>
  <si>
    <t>용출되는 인 량</t>
    <phoneticPr fontId="1" type="noConversion"/>
  </si>
  <si>
    <t>(인의 재용출량 포함, 보통 25~35%)</t>
    <phoneticPr fontId="1" type="noConversion"/>
  </si>
  <si>
    <t>8. 탈수기</t>
    <phoneticPr fontId="1" type="noConversion"/>
  </si>
  <si>
    <t>벨트프레스</t>
    <phoneticPr fontId="1" type="noConversion"/>
  </si>
  <si>
    <t>9. 반류수내 인 부하감소율</t>
    <phoneticPr fontId="1" type="noConversion"/>
  </si>
  <si>
    <t>반류수내  SS부하감소율</t>
    <phoneticPr fontId="1" type="noConversion"/>
  </si>
  <si>
    <t>10. 분뇨 및 정화조 패액</t>
    <phoneticPr fontId="1" type="noConversion"/>
  </si>
  <si>
    <t>유입량</t>
    <phoneticPr fontId="1" type="noConversion"/>
  </si>
  <si>
    <t>폐액성상</t>
    <phoneticPr fontId="1" type="noConversion"/>
  </si>
  <si>
    <t>Q</t>
    <phoneticPr fontId="1" type="noConversion"/>
  </si>
  <si>
    <t>최초 침전지</t>
    <phoneticPr fontId="1" type="noConversion"/>
  </si>
  <si>
    <t>설계수질</t>
    <phoneticPr fontId="1" type="noConversion"/>
  </si>
  <si>
    <t>제거율</t>
    <phoneticPr fontId="1" type="noConversion"/>
  </si>
  <si>
    <t>반송수</t>
    <phoneticPr fontId="1" type="noConversion"/>
  </si>
  <si>
    <t>최종침전지 유출수</t>
    <phoneticPr fontId="1" type="noConversion"/>
  </si>
  <si>
    <t>전체</t>
    <phoneticPr fontId="1" type="noConversion"/>
  </si>
  <si>
    <t>최종침전지</t>
    <phoneticPr fontId="1" type="noConversion"/>
  </si>
  <si>
    <t>탈수기</t>
    <phoneticPr fontId="1" type="noConversion"/>
  </si>
  <si>
    <t>농축여액</t>
    <phoneticPr fontId="1" type="noConversion"/>
  </si>
  <si>
    <t>농축액</t>
    <phoneticPr fontId="1" type="noConversion"/>
  </si>
  <si>
    <t>탈수여액</t>
    <phoneticPr fontId="1" type="noConversion"/>
  </si>
  <si>
    <t>탈수케익</t>
    <phoneticPr fontId="1" type="noConversion"/>
  </si>
  <si>
    <t xml:space="preserve"> 하수찌꺼기 저류조</t>
    <phoneticPr fontId="1" type="noConversion"/>
  </si>
  <si>
    <t>하수찌꺼기 저류조</t>
    <phoneticPr fontId="1" type="noConversion"/>
  </si>
  <si>
    <t>회수율</t>
    <phoneticPr fontId="1" type="noConversion"/>
  </si>
  <si>
    <t>값만입력</t>
    <phoneticPr fontId="1" type="noConversion"/>
  </si>
  <si>
    <t>순환참조</t>
    <phoneticPr fontId="1" type="noConversion"/>
  </si>
  <si>
    <t>반송수농도</t>
    <phoneticPr fontId="1" type="noConversion"/>
  </si>
  <si>
    <t>슬러지인함량</t>
    <phoneticPr fontId="1" type="noConversion"/>
  </si>
  <si>
    <t>VS</t>
    <phoneticPr fontId="1" type="noConversion"/>
  </si>
  <si>
    <t>용량대비 잉여발생량</t>
    <phoneticPr fontId="1" type="noConversion"/>
  </si>
  <si>
    <t>1. 고형물 수지계산(2010년, 천안처리장)</t>
    <phoneticPr fontId="1" type="noConversion"/>
  </si>
  <si>
    <t>유입수질</t>
    <phoneticPr fontId="1" type="noConversion"/>
  </si>
  <si>
    <t>제거유기물량</t>
    <phoneticPr fontId="1" type="noConversion"/>
  </si>
  <si>
    <t>자기산화율</t>
    <phoneticPr fontId="1" type="noConversion"/>
  </si>
  <si>
    <t>MLVSS</t>
    <phoneticPr fontId="1" type="noConversion"/>
  </si>
  <si>
    <t>BOD슬러지전환율</t>
    <phoneticPr fontId="1" type="noConversion"/>
  </si>
  <si>
    <t>SS슬러지전환율</t>
    <phoneticPr fontId="1" type="noConversion"/>
  </si>
  <si>
    <t>a:</t>
    <phoneticPr fontId="1" type="noConversion"/>
  </si>
  <si>
    <t>Sr</t>
    <phoneticPr fontId="1" type="noConversion"/>
  </si>
  <si>
    <t>b</t>
    <phoneticPr fontId="1" type="noConversion"/>
  </si>
  <si>
    <t>X</t>
    <phoneticPr fontId="1" type="noConversion"/>
  </si>
  <si>
    <t>c</t>
    <phoneticPr fontId="1" type="noConversion"/>
  </si>
  <si>
    <t>Ss</t>
    <phoneticPr fontId="1" type="noConversion"/>
  </si>
  <si>
    <t>반응조제거SS</t>
    <phoneticPr fontId="1" type="noConversion"/>
  </si>
  <si>
    <t>슬러지발생량 =a*Sr-b*X+c*Ss</t>
    <phoneticPr fontId="1" type="noConversion"/>
  </si>
  <si>
    <t>슬러지질소함량</t>
    <phoneticPr fontId="1" type="noConversion"/>
  </si>
  <si>
    <t>최초 침전지  슬러지</t>
    <phoneticPr fontId="1" type="noConversion"/>
  </si>
  <si>
    <t>인 함유량</t>
    <phoneticPr fontId="1" type="noConversion"/>
  </si>
  <si>
    <t>인제거량</t>
    <phoneticPr fontId="1" type="noConversion"/>
  </si>
  <si>
    <t>rbdCOD</t>
    <phoneticPr fontId="1" type="noConversion"/>
  </si>
  <si>
    <t>Y</t>
    <phoneticPr fontId="1" type="noConversion"/>
  </si>
  <si>
    <t>Kd</t>
    <phoneticPr fontId="1" type="noConversion"/>
  </si>
  <si>
    <t>SRT</t>
    <phoneticPr fontId="1" type="noConversion"/>
  </si>
  <si>
    <t>PAOs인농도</t>
    <phoneticPr fontId="1" type="noConversion"/>
  </si>
  <si>
    <t>기타인농도</t>
    <phoneticPr fontId="1" type="noConversion"/>
  </si>
  <si>
    <t>유출수 VSS</t>
    <phoneticPr fontId="1" type="noConversion"/>
  </si>
  <si>
    <t>PAO제거량</t>
    <phoneticPr fontId="1" type="noConversion"/>
  </si>
  <si>
    <t>mg/L</t>
    <phoneticPr fontId="1" type="noConversion"/>
  </si>
  <si>
    <t>kg/d</t>
    <phoneticPr fontId="1" type="noConversion"/>
  </si>
  <si>
    <t>최종 침전지 잉여 슬러지</t>
    <phoneticPr fontId="1" type="noConversion"/>
  </si>
  <si>
    <t>Q</t>
  </si>
  <si>
    <t>BOD</t>
  </si>
  <si>
    <t>COD</t>
  </si>
  <si>
    <t>SS</t>
  </si>
  <si>
    <t>T-N</t>
  </si>
  <si>
    <t>T-P</t>
  </si>
  <si>
    <t>후단처리 역세수</t>
    <phoneticPr fontId="1" type="noConversion"/>
  </si>
  <si>
    <t>후단처리시설</t>
    <phoneticPr fontId="1" type="noConversion"/>
  </si>
  <si>
    <t>후단처리시설 통과시</t>
    <phoneticPr fontId="1" type="noConversion"/>
  </si>
  <si>
    <t>1침유출 RBDCOD/TCOD</t>
    <phoneticPr fontId="1" type="noConversion"/>
  </si>
  <si>
    <t>1침유출 bCOD/TCOD</t>
    <phoneticPr fontId="1" type="noConversion"/>
  </si>
  <si>
    <t>약품주입처리</t>
    <phoneticPr fontId="1" type="noConversion"/>
  </si>
  <si>
    <t>약품주입처리</t>
    <phoneticPr fontId="1" type="noConversion"/>
  </si>
  <si>
    <t>분뇨처리수</t>
    <phoneticPr fontId="1" type="noConversion"/>
  </si>
  <si>
    <t>반송슬러지 50~100%</t>
    <phoneticPr fontId="1" type="noConversion"/>
  </si>
  <si>
    <t>(기존소화조)</t>
    <phoneticPr fontId="1" type="noConversion"/>
  </si>
  <si>
    <t>단위(kg/일, mg/L)</t>
    <phoneticPr fontId="1" type="noConversion"/>
  </si>
  <si>
    <t>DNR 반응조</t>
    <phoneticPr fontId="1" type="noConversion"/>
  </si>
  <si>
    <t>원심농축</t>
    <phoneticPr fontId="1" type="noConversion"/>
  </si>
  <si>
    <t>원심농축</t>
    <phoneticPr fontId="1" type="noConversion"/>
  </si>
  <si>
    <t>DNR 반응조</t>
    <phoneticPr fontId="1" type="noConversion"/>
  </si>
  <si>
    <t>1. 천안공공하수처리시설</t>
    <phoneticPr fontId="1" type="noConversion"/>
  </si>
  <si>
    <t xml:space="preserve">  1.1 1단계(2010년) </t>
    <phoneticPr fontId="1" type="noConversion"/>
  </si>
  <si>
    <t xml:space="preserve">  가. 기존 1,2단계 처리시설 (Q=150,000㎥/일)</t>
    <phoneticPr fontId="1" type="noConversion"/>
  </si>
  <si>
    <t>1.2 2단계(2015년)</t>
    <phoneticPr fontId="1" type="noConversion"/>
  </si>
  <si>
    <t>1.3 3단계(2020년)</t>
    <phoneticPr fontId="1" type="noConversion"/>
  </si>
  <si>
    <t>1.4 4단계(2025년)</t>
    <phoneticPr fontId="1" type="noConversion"/>
  </si>
</sst>
</file>

<file path=xl/styles.xml><?xml version="1.0" encoding="utf-8"?>
<styleSheet xmlns="http://schemas.openxmlformats.org/spreadsheetml/2006/main">
  <numFmts count="13">
    <numFmt numFmtId="176" formatCode="0\ &quot;㎎/ℓ&quot;"/>
    <numFmt numFmtId="177" formatCode="0\ &quot;㎥/일&quot;"/>
    <numFmt numFmtId="178" formatCode="0.00\ &quot;㎎/ℓ&quot;"/>
    <numFmt numFmtId="179" formatCode="0.0\ &quot;㎎/ℓ&quot;"/>
    <numFmt numFmtId="180" formatCode="0.0%"/>
    <numFmt numFmtId="181" formatCode="0\ &quot;일&quot;"/>
    <numFmt numFmtId="182" formatCode="0\ &quot;㎏/일&quot;"/>
    <numFmt numFmtId="183" formatCode="0\ &quot;gCOD/gNO3&quot;"/>
    <numFmt numFmtId="184" formatCode="0_ "/>
    <numFmt numFmtId="185" formatCode="0_);[Red]\(0\)"/>
    <numFmt numFmtId="186" formatCode="0.0_);[Red]\(0.0\)"/>
    <numFmt numFmtId="187" formatCode="0.00_);[Red]\(0.00\)"/>
    <numFmt numFmtId="188" formatCode="0.0_ 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vertAlign val="subscript"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double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medium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Dashed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1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9" fontId="0" fillId="0" borderId="15" xfId="0" applyNumberFormat="1" applyBorder="1">
      <alignment vertical="center"/>
    </xf>
    <xf numFmtId="183" fontId="0" fillId="0" borderId="1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quotePrefix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79" fontId="0" fillId="0" borderId="34" xfId="0" applyNumberFormat="1" applyBorder="1">
      <alignment vertical="center"/>
    </xf>
    <xf numFmtId="0" fontId="4" fillId="0" borderId="0" xfId="0" applyFont="1">
      <alignment vertical="center"/>
    </xf>
    <xf numFmtId="176" fontId="0" fillId="0" borderId="3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4" xfId="0" applyFont="1" applyBorder="1">
      <alignment vertical="center"/>
    </xf>
    <xf numFmtId="180" fontId="4" fillId="0" borderId="27" xfId="0" applyNumberFormat="1" applyFont="1" applyBorder="1">
      <alignment vertical="center"/>
    </xf>
    <xf numFmtId="180" fontId="5" fillId="0" borderId="26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180" fontId="4" fillId="0" borderId="5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9" xfId="0" applyFont="1" applyBorder="1">
      <alignment vertical="center"/>
    </xf>
    <xf numFmtId="180" fontId="5" fillId="0" borderId="5" xfId="0" applyNumberFormat="1" applyFont="1" applyBorder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37" xfId="0" applyNumberForma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>
      <alignment vertical="center"/>
    </xf>
    <xf numFmtId="184" fontId="5" fillId="0" borderId="17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184" fontId="5" fillId="0" borderId="1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25" xfId="0" applyFont="1" applyBorder="1">
      <alignment vertical="center"/>
    </xf>
    <xf numFmtId="184" fontId="5" fillId="0" borderId="0" xfId="0" applyNumberFormat="1" applyFont="1" applyBorder="1">
      <alignment vertical="center"/>
    </xf>
    <xf numFmtId="185" fontId="5" fillId="0" borderId="40" xfId="0" applyNumberFormat="1" applyFont="1" applyBorder="1">
      <alignment vertical="center"/>
    </xf>
    <xf numFmtId="185" fontId="5" fillId="0" borderId="17" xfId="0" applyNumberFormat="1" applyFont="1" applyBorder="1">
      <alignment vertical="center"/>
    </xf>
    <xf numFmtId="185" fontId="5" fillId="0" borderId="13" xfId="0" applyNumberFormat="1" applyFont="1" applyBorder="1">
      <alignment vertical="center"/>
    </xf>
    <xf numFmtId="185" fontId="5" fillId="0" borderId="12" xfId="0" applyNumberFormat="1" applyFont="1" applyBorder="1">
      <alignment vertical="center"/>
    </xf>
    <xf numFmtId="185" fontId="5" fillId="0" borderId="18" xfId="0" applyNumberFormat="1" applyFont="1" applyBorder="1">
      <alignment vertical="center"/>
    </xf>
    <xf numFmtId="185" fontId="5" fillId="0" borderId="15" xfId="0" applyNumberFormat="1" applyFont="1" applyBorder="1">
      <alignment vertical="center"/>
    </xf>
    <xf numFmtId="185" fontId="5" fillId="0" borderId="14" xfId="0" applyNumberFormat="1" applyFont="1" applyBorder="1">
      <alignment vertical="center"/>
    </xf>
    <xf numFmtId="186" fontId="5" fillId="0" borderId="13" xfId="0" applyNumberFormat="1" applyFont="1" applyBorder="1">
      <alignment vertical="center"/>
    </xf>
    <xf numFmtId="187" fontId="5" fillId="0" borderId="13" xfId="0" applyNumberFormat="1" applyFont="1" applyBorder="1">
      <alignment vertical="center"/>
    </xf>
    <xf numFmtId="187" fontId="5" fillId="0" borderId="15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184" fontId="5" fillId="0" borderId="13" xfId="0" applyNumberFormat="1" applyFont="1" applyBorder="1">
      <alignment vertical="center"/>
    </xf>
    <xf numFmtId="184" fontId="5" fillId="0" borderId="15" xfId="0" applyNumberFormat="1" applyFont="1" applyBorder="1">
      <alignment vertical="center"/>
    </xf>
    <xf numFmtId="0" fontId="5" fillId="2" borderId="47" xfId="0" applyFont="1" applyFill="1" applyBorder="1">
      <alignment vertical="center"/>
    </xf>
    <xf numFmtId="9" fontId="5" fillId="2" borderId="48" xfId="0" applyNumberFormat="1" applyFont="1" applyFill="1" applyBorder="1">
      <alignment vertical="center"/>
    </xf>
    <xf numFmtId="9" fontId="5" fillId="2" borderId="49" xfId="0" applyNumberFormat="1" applyFont="1" applyFill="1" applyBorder="1">
      <alignment vertical="center"/>
    </xf>
    <xf numFmtId="9" fontId="5" fillId="2" borderId="50" xfId="0" applyNumberFormat="1" applyFont="1" applyFill="1" applyBorder="1">
      <alignment vertical="center"/>
    </xf>
    <xf numFmtId="180" fontId="5" fillId="2" borderId="48" xfId="0" applyNumberFormat="1" applyFont="1" applyFill="1" applyBorder="1">
      <alignment vertical="center"/>
    </xf>
    <xf numFmtId="180" fontId="5" fillId="2" borderId="51" xfId="0" applyNumberFormat="1" applyFont="1" applyFill="1" applyBorder="1">
      <alignment vertical="center"/>
    </xf>
    <xf numFmtId="186" fontId="5" fillId="0" borderId="15" xfId="0" applyNumberFormat="1" applyFont="1" applyBorder="1">
      <alignment vertical="center"/>
    </xf>
    <xf numFmtId="185" fontId="5" fillId="0" borderId="0" xfId="0" applyNumberFormat="1" applyFont="1" applyBorder="1">
      <alignment vertical="center"/>
    </xf>
    <xf numFmtId="0" fontId="4" fillId="0" borderId="49" xfId="0" applyFont="1" applyBorder="1">
      <alignment vertical="center"/>
    </xf>
    <xf numFmtId="185" fontId="5" fillId="0" borderId="49" xfId="0" applyNumberFormat="1" applyFont="1" applyBorder="1">
      <alignment vertical="center"/>
    </xf>
    <xf numFmtId="186" fontId="5" fillId="0" borderId="49" xfId="0" applyNumberFormat="1" applyFont="1" applyBorder="1">
      <alignment vertical="center"/>
    </xf>
    <xf numFmtId="187" fontId="5" fillId="0" borderId="49" xfId="0" applyNumberFormat="1" applyFont="1" applyBorder="1">
      <alignment vertical="center"/>
    </xf>
    <xf numFmtId="187" fontId="5" fillId="0" borderId="0" xfId="0" applyNumberFormat="1" applyFont="1" applyBorder="1">
      <alignment vertical="center"/>
    </xf>
    <xf numFmtId="9" fontId="5" fillId="0" borderId="0" xfId="0" applyNumberFormat="1" applyFont="1" applyFill="1" applyBorder="1">
      <alignment vertical="center"/>
    </xf>
    <xf numFmtId="185" fontId="5" fillId="0" borderId="39" xfId="0" applyNumberFormat="1" applyFont="1" applyBorder="1">
      <alignment vertical="center"/>
    </xf>
    <xf numFmtId="0" fontId="4" fillId="0" borderId="52" xfId="0" applyFont="1" applyBorder="1">
      <alignment vertical="center"/>
    </xf>
    <xf numFmtId="187" fontId="5" fillId="0" borderId="0" xfId="0" applyNumberFormat="1" applyFo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179" fontId="0" fillId="2" borderId="35" xfId="0" applyNumberFormat="1" applyFill="1" applyBorder="1">
      <alignment vertical="center"/>
    </xf>
    <xf numFmtId="0" fontId="0" fillId="2" borderId="4" xfId="0" applyFill="1" applyBorder="1">
      <alignment vertical="center"/>
    </xf>
    <xf numFmtId="179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55" xfId="0" applyFill="1" applyBorder="1">
      <alignment vertical="center"/>
    </xf>
    <xf numFmtId="178" fontId="0" fillId="2" borderId="25" xfId="0" applyNumberFormat="1" applyFill="1" applyBorder="1">
      <alignment vertical="center"/>
    </xf>
    <xf numFmtId="0" fontId="0" fillId="2" borderId="56" xfId="0" applyFill="1" applyBorder="1">
      <alignment vertical="center"/>
    </xf>
    <xf numFmtId="180" fontId="0" fillId="2" borderId="57" xfId="0" applyNumberFormat="1" applyFill="1" applyBorder="1">
      <alignment vertical="center"/>
    </xf>
    <xf numFmtId="180" fontId="0" fillId="2" borderId="58" xfId="0" applyNumberFormat="1" applyFill="1" applyBorder="1">
      <alignment vertical="center"/>
    </xf>
    <xf numFmtId="180" fontId="0" fillId="2" borderId="59" xfId="0" applyNumberFormat="1" applyFill="1" applyBorder="1">
      <alignment vertical="center"/>
    </xf>
    <xf numFmtId="180" fontId="0" fillId="2" borderId="60" xfId="0" applyNumberFormat="1" applyFill="1" applyBorder="1">
      <alignment vertical="center"/>
    </xf>
    <xf numFmtId="9" fontId="0" fillId="2" borderId="61" xfId="0" applyNumberFormat="1" applyFill="1" applyBorder="1">
      <alignment vertical="center"/>
    </xf>
    <xf numFmtId="9" fontId="0" fillId="2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180" fontId="0" fillId="2" borderId="41" xfId="0" applyNumberFormat="1" applyFill="1" applyBorder="1">
      <alignment vertical="center"/>
    </xf>
    <xf numFmtId="0" fontId="0" fillId="2" borderId="2" xfId="0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185" fontId="5" fillId="0" borderId="13" xfId="0" applyNumberFormat="1" applyFont="1" applyBorder="1" applyAlignment="1">
      <alignment vertical="center" shrinkToFit="1"/>
    </xf>
    <xf numFmtId="185" fontId="5" fillId="0" borderId="15" xfId="0" applyNumberFormat="1" applyFont="1" applyBorder="1" applyAlignment="1">
      <alignment vertical="center" shrinkToFit="1"/>
    </xf>
    <xf numFmtId="187" fontId="5" fillId="0" borderId="0" xfId="0" applyNumberFormat="1" applyFont="1" applyBorder="1" applyAlignment="1">
      <alignment vertical="center" shrinkToFit="1"/>
    </xf>
    <xf numFmtId="186" fontId="5" fillId="0" borderId="0" xfId="0" applyNumberFormat="1" applyFont="1" applyBorder="1" applyAlignment="1">
      <alignment vertical="center" shrinkToFit="1"/>
    </xf>
    <xf numFmtId="0" fontId="0" fillId="2" borderId="36" xfId="0" applyFill="1" applyBorder="1">
      <alignment vertical="center"/>
    </xf>
    <xf numFmtId="182" fontId="0" fillId="2" borderId="0" xfId="0" applyNumberFormat="1" applyFill="1">
      <alignment vertical="center"/>
    </xf>
    <xf numFmtId="177" fontId="4" fillId="2" borderId="62" xfId="0" applyNumberFormat="1" applyFont="1" applyFill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85" fontId="4" fillId="0" borderId="0" xfId="0" applyNumberFormat="1" applyFont="1">
      <alignment vertical="center"/>
    </xf>
    <xf numFmtId="9" fontId="5" fillId="0" borderId="0" xfId="0" applyNumberFormat="1" applyFont="1">
      <alignment vertical="center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186" fontId="4" fillId="0" borderId="0" xfId="0" applyNumberFormat="1" applyFont="1">
      <alignment vertical="center"/>
    </xf>
    <xf numFmtId="9" fontId="0" fillId="2" borderId="54" xfId="0" applyNumberFormat="1" applyFill="1" applyBorder="1" applyAlignment="1">
      <alignment vertical="center" shrinkToFit="1"/>
    </xf>
    <xf numFmtId="9" fontId="0" fillId="2" borderId="4" xfId="0" applyNumberFormat="1" applyFill="1" applyBorder="1" applyAlignment="1">
      <alignment vertical="center" shrinkToFit="1"/>
    </xf>
    <xf numFmtId="9" fontId="0" fillId="2" borderId="55" xfId="0" applyNumberFormat="1" applyFill="1" applyBorder="1" applyAlignment="1">
      <alignment vertical="center" shrinkToFit="1"/>
    </xf>
    <xf numFmtId="184" fontId="0" fillId="2" borderId="35" xfId="0" applyNumberFormat="1" applyFill="1" applyBorder="1" applyAlignment="1">
      <alignment vertical="center" shrinkToFit="1"/>
    </xf>
    <xf numFmtId="184" fontId="0" fillId="2" borderId="5" xfId="0" applyNumberFormat="1" applyFill="1" applyBorder="1" applyAlignment="1">
      <alignment vertical="center" shrinkToFit="1"/>
    </xf>
    <xf numFmtId="184" fontId="0" fillId="2" borderId="25" xfId="0" applyNumberForma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80" fontId="5" fillId="2" borderId="19" xfId="0" applyNumberFormat="1" applyFont="1" applyFill="1" applyBorder="1">
      <alignment vertical="center"/>
    </xf>
    <xf numFmtId="180" fontId="5" fillId="2" borderId="68" xfId="0" applyNumberFormat="1" applyFont="1" applyFill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185" fontId="5" fillId="0" borderId="76" xfId="0" applyNumberFormat="1" applyFont="1" applyBorder="1">
      <alignment vertical="center"/>
    </xf>
    <xf numFmtId="0" fontId="5" fillId="0" borderId="77" xfId="0" applyFont="1" applyBorder="1">
      <alignment vertical="center"/>
    </xf>
    <xf numFmtId="0" fontId="7" fillId="0" borderId="78" xfId="0" applyFont="1" applyBorder="1">
      <alignment vertical="center"/>
    </xf>
    <xf numFmtId="0" fontId="7" fillId="0" borderId="79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81" xfId="0" applyFont="1" applyBorder="1">
      <alignment vertical="center"/>
    </xf>
    <xf numFmtId="188" fontId="0" fillId="0" borderId="0" xfId="0" applyNumberFormat="1">
      <alignment vertical="center"/>
    </xf>
    <xf numFmtId="0" fontId="4" fillId="0" borderId="6" xfId="0" applyFont="1" applyBorder="1">
      <alignment vertical="center"/>
    </xf>
    <xf numFmtId="0" fontId="5" fillId="0" borderId="76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>
      <alignment vertical="center"/>
    </xf>
    <xf numFmtId="180" fontId="5" fillId="0" borderId="35" xfId="0" applyNumberFormat="1" applyFont="1" applyFill="1" applyBorder="1">
      <alignment vertical="center"/>
    </xf>
    <xf numFmtId="0" fontId="4" fillId="0" borderId="84" xfId="0" applyFont="1" applyBorder="1">
      <alignment vertical="center"/>
    </xf>
    <xf numFmtId="180" fontId="5" fillId="2" borderId="85" xfId="0" applyNumberFormat="1" applyFont="1" applyFill="1" applyBorder="1">
      <alignment vertical="center"/>
    </xf>
    <xf numFmtId="0" fontId="5" fillId="2" borderId="86" xfId="0" applyFont="1" applyFill="1" applyBorder="1">
      <alignment vertical="center"/>
    </xf>
    <xf numFmtId="180" fontId="5" fillId="2" borderId="87" xfId="0" applyNumberFormat="1" applyFont="1" applyFill="1" applyBorder="1">
      <alignment vertical="center"/>
    </xf>
    <xf numFmtId="180" fontId="5" fillId="2" borderId="88" xfId="0" applyNumberFormat="1" applyFont="1" applyFill="1" applyBorder="1">
      <alignment vertical="center"/>
    </xf>
    <xf numFmtId="0" fontId="8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9" fontId="5" fillId="0" borderId="25" xfId="0" applyNumberFormat="1" applyFont="1" applyBorder="1">
      <alignment vertical="center"/>
    </xf>
    <xf numFmtId="186" fontId="5" fillId="0" borderId="24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3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41" xfId="0" applyFont="1" applyBorder="1">
      <alignment vertical="center"/>
    </xf>
    <xf numFmtId="0" fontId="5" fillId="0" borderId="3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185" fontId="5" fillId="0" borderId="89" xfId="0" applyNumberFormat="1" applyFont="1" applyBorder="1" applyAlignment="1">
      <alignment vertical="center"/>
    </xf>
    <xf numFmtId="0" fontId="0" fillId="0" borderId="90" xfId="0" applyBorder="1" applyAlignment="1">
      <alignment vertical="center"/>
    </xf>
    <xf numFmtId="188" fontId="5" fillId="0" borderId="89" xfId="0" applyNumberFormat="1" applyFont="1" applyBorder="1" applyAlignment="1">
      <alignment vertical="center"/>
    </xf>
    <xf numFmtId="188" fontId="0" fillId="0" borderId="90" xfId="0" applyNumberFormat="1" applyBorder="1" applyAlignment="1">
      <alignment vertical="center"/>
    </xf>
    <xf numFmtId="184" fontId="5" fillId="0" borderId="89" xfId="0" applyNumberFormat="1" applyFont="1" applyBorder="1" applyAlignment="1">
      <alignment vertical="center"/>
    </xf>
    <xf numFmtId="0" fontId="0" fillId="0" borderId="91" xfId="0" applyBorder="1" applyAlignment="1">
      <alignment vertical="center"/>
    </xf>
  </cellXfs>
  <cellStyles count="1">
    <cellStyle name="표준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12</xdr:row>
      <xdr:rowOff>142875</xdr:rowOff>
    </xdr:from>
    <xdr:to>
      <xdr:col>7</xdr:col>
      <xdr:colOff>0</xdr:colOff>
      <xdr:row>12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38100</xdr:colOff>
      <xdr:row>13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14</xdr:row>
      <xdr:rowOff>47624</xdr:rowOff>
    </xdr:from>
    <xdr:to>
      <xdr:col>15</xdr:col>
      <xdr:colOff>0</xdr:colOff>
      <xdr:row>27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14</xdr:row>
      <xdr:rowOff>133350</xdr:rowOff>
    </xdr:from>
    <xdr:to>
      <xdr:col>15</xdr:col>
      <xdr:colOff>1</xdr:colOff>
      <xdr:row>15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12</xdr:row>
      <xdr:rowOff>134144</xdr:rowOff>
    </xdr:from>
    <xdr:to>
      <xdr:col>6</xdr:col>
      <xdr:colOff>200820</xdr:colOff>
      <xdr:row>14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28</xdr:row>
      <xdr:rowOff>47624</xdr:rowOff>
    </xdr:from>
    <xdr:to>
      <xdr:col>13</xdr:col>
      <xdr:colOff>361950</xdr:colOff>
      <xdr:row>28</xdr:row>
      <xdr:rowOff>57149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7148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28</xdr:row>
      <xdr:rowOff>28575</xdr:rowOff>
    </xdr:from>
    <xdr:to>
      <xdr:col>9</xdr:col>
      <xdr:colOff>114304</xdr:colOff>
      <xdr:row>28</xdr:row>
      <xdr:rowOff>39687</xdr:rowOff>
    </xdr:to>
    <xdr:cxnSp macro="">
      <xdr:nvCxnSpPr>
        <xdr:cNvPr id="8" name="직선 화살표 연결선 7"/>
        <xdr:cNvCxnSpPr/>
      </xdr:nvCxnSpPr>
      <xdr:spPr>
        <a:xfrm rot="10800000">
          <a:off x="3048000" y="46958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0</xdr:rowOff>
    </xdr:from>
    <xdr:to>
      <xdr:col>13</xdr:col>
      <xdr:colOff>9525</xdr:colOff>
      <xdr:row>13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12</xdr:row>
      <xdr:rowOff>142875</xdr:rowOff>
    </xdr:from>
    <xdr:to>
      <xdr:col>17</xdr:col>
      <xdr:colOff>9525</xdr:colOff>
      <xdr:row>12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25</xdr:row>
      <xdr:rowOff>85725</xdr:rowOff>
    </xdr:from>
    <xdr:to>
      <xdr:col>18</xdr:col>
      <xdr:colOff>257175</xdr:colOff>
      <xdr:row>25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3914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13</xdr:row>
      <xdr:rowOff>19051</xdr:rowOff>
    </xdr:from>
    <xdr:to>
      <xdr:col>2</xdr:col>
      <xdr:colOff>1</xdr:colOff>
      <xdr:row>25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25</xdr:row>
      <xdr:rowOff>95252</xdr:rowOff>
    </xdr:from>
    <xdr:to>
      <xdr:col>10</xdr:col>
      <xdr:colOff>420688</xdr:colOff>
      <xdr:row>26</xdr:row>
      <xdr:rowOff>142877</xdr:rowOff>
    </xdr:to>
    <xdr:cxnSp macro="">
      <xdr:nvCxnSpPr>
        <xdr:cNvPr id="14" name="직선 연결선 13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14</xdr:row>
      <xdr:rowOff>19843</xdr:rowOff>
    </xdr:from>
    <xdr:to>
      <xdr:col>5</xdr:col>
      <xdr:colOff>67471</xdr:colOff>
      <xdr:row>16</xdr:row>
      <xdr:rowOff>142878</xdr:rowOff>
    </xdr:to>
    <xdr:cxnSp macro="">
      <xdr:nvCxnSpPr>
        <xdr:cNvPr id="17" name="직선 연결선 16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16</xdr:row>
      <xdr:rowOff>142875</xdr:rowOff>
    </xdr:from>
    <xdr:to>
      <xdr:col>15</xdr:col>
      <xdr:colOff>0</xdr:colOff>
      <xdr:row>17</xdr:row>
      <xdr:rowOff>9525</xdr:rowOff>
    </xdr:to>
    <xdr:cxnSp macro="">
      <xdr:nvCxnSpPr>
        <xdr:cNvPr id="18" name="직선 연결선 17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85726</xdr:rowOff>
    </xdr:from>
    <xdr:to>
      <xdr:col>7</xdr:col>
      <xdr:colOff>1588</xdr:colOff>
      <xdr:row>26</xdr:row>
      <xdr:rowOff>133351</xdr:rowOff>
    </xdr:to>
    <xdr:cxnSp macro="">
      <xdr:nvCxnSpPr>
        <xdr:cNvPr id="22" name="직선 연결선 21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12</xdr:row>
      <xdr:rowOff>142875</xdr:rowOff>
    </xdr:from>
    <xdr:to>
      <xdr:col>20</xdr:col>
      <xdr:colOff>28575</xdr:colOff>
      <xdr:row>12</xdr:row>
      <xdr:rowOff>144463</xdr:rowOff>
    </xdr:to>
    <xdr:cxnSp macro="">
      <xdr:nvCxnSpPr>
        <xdr:cNvPr id="34" name="직선 화살표 연결선 33"/>
        <xdr:cNvCxnSpPr/>
      </xdr:nvCxnSpPr>
      <xdr:spPr>
        <a:xfrm>
          <a:off x="7458075" y="1990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13</xdr:row>
      <xdr:rowOff>142875</xdr:rowOff>
    </xdr:from>
    <xdr:to>
      <xdr:col>18</xdr:col>
      <xdr:colOff>238124</xdr:colOff>
      <xdr:row>25</xdr:row>
      <xdr:rowOff>95249</xdr:rowOff>
    </xdr:to>
    <xdr:cxnSp macro="">
      <xdr:nvCxnSpPr>
        <xdr:cNvPr id="38" name="직선 화살표 연결선 37"/>
        <xdr:cNvCxnSpPr/>
      </xdr:nvCxnSpPr>
      <xdr:spPr>
        <a:xfrm rot="16200000" flipV="1">
          <a:off x="6343652" y="3028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2371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381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567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667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495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47624</xdr:rowOff>
    </xdr:from>
    <xdr:to>
      <xdr:col>13</xdr:col>
      <xdr:colOff>361950</xdr:colOff>
      <xdr:row>27</xdr:row>
      <xdr:rowOff>57149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7148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27</xdr:row>
      <xdr:rowOff>28575</xdr:rowOff>
    </xdr:from>
    <xdr:to>
      <xdr:col>9</xdr:col>
      <xdr:colOff>114304</xdr:colOff>
      <xdr:row>27</xdr:row>
      <xdr:rowOff>39687</xdr:rowOff>
    </xdr:to>
    <xdr:cxnSp macro="">
      <xdr:nvCxnSpPr>
        <xdr:cNvPr id="8" name="직선 화살표 연결선 7"/>
        <xdr:cNvCxnSpPr/>
      </xdr:nvCxnSpPr>
      <xdr:spPr>
        <a:xfrm rot="10800000">
          <a:off x="3048000" y="46958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381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2371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4295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3333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404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767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981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394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7" name="직선 화살표 연결선 16"/>
        <xdr:cNvCxnSpPr/>
      </xdr:nvCxnSpPr>
      <xdr:spPr>
        <a:xfrm>
          <a:off x="7458075" y="2371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8" name="직선 화살표 연결선 17"/>
        <xdr:cNvCxnSpPr/>
      </xdr:nvCxnSpPr>
      <xdr:spPr>
        <a:xfrm rot="16200000" flipV="1">
          <a:off x="6343652" y="3409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2371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381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567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667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495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47624</xdr:rowOff>
    </xdr:from>
    <xdr:to>
      <xdr:col>13</xdr:col>
      <xdr:colOff>361950</xdr:colOff>
      <xdr:row>27</xdr:row>
      <xdr:rowOff>57149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7148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27</xdr:row>
      <xdr:rowOff>28575</xdr:rowOff>
    </xdr:from>
    <xdr:to>
      <xdr:col>9</xdr:col>
      <xdr:colOff>114304</xdr:colOff>
      <xdr:row>27</xdr:row>
      <xdr:rowOff>39687</xdr:rowOff>
    </xdr:to>
    <xdr:cxnSp macro="">
      <xdr:nvCxnSpPr>
        <xdr:cNvPr id="8" name="직선 화살표 연결선 7"/>
        <xdr:cNvCxnSpPr/>
      </xdr:nvCxnSpPr>
      <xdr:spPr>
        <a:xfrm rot="10800000">
          <a:off x="3048000" y="46958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381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2371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4295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3333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404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767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981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394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7" name="직선 화살표 연결선 16"/>
        <xdr:cNvCxnSpPr/>
      </xdr:nvCxnSpPr>
      <xdr:spPr>
        <a:xfrm>
          <a:off x="7458075" y="2371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8" name="직선 화살표 연결선 17"/>
        <xdr:cNvCxnSpPr/>
      </xdr:nvCxnSpPr>
      <xdr:spPr>
        <a:xfrm rot="16200000" flipV="1">
          <a:off x="6343652" y="3409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2371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381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567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667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495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47624</xdr:rowOff>
    </xdr:from>
    <xdr:to>
      <xdr:col>13</xdr:col>
      <xdr:colOff>361950</xdr:colOff>
      <xdr:row>27</xdr:row>
      <xdr:rowOff>57149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71487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27</xdr:row>
      <xdr:rowOff>28575</xdr:rowOff>
    </xdr:from>
    <xdr:to>
      <xdr:col>9</xdr:col>
      <xdr:colOff>114304</xdr:colOff>
      <xdr:row>27</xdr:row>
      <xdr:rowOff>39687</xdr:rowOff>
    </xdr:to>
    <xdr:cxnSp macro="">
      <xdr:nvCxnSpPr>
        <xdr:cNvPr id="8" name="직선 화살표 연결선 7"/>
        <xdr:cNvCxnSpPr/>
      </xdr:nvCxnSpPr>
      <xdr:spPr>
        <a:xfrm rot="10800000">
          <a:off x="3048000" y="46958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381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2371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4295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3333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404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767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981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394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7" name="직선 화살표 연결선 16"/>
        <xdr:cNvCxnSpPr/>
      </xdr:nvCxnSpPr>
      <xdr:spPr>
        <a:xfrm>
          <a:off x="7458075" y="2371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8" name="직선 화살표 연결선 17"/>
        <xdr:cNvCxnSpPr/>
      </xdr:nvCxnSpPr>
      <xdr:spPr>
        <a:xfrm rot="16200000" flipV="1">
          <a:off x="6343652" y="3409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J79"/>
  <sheetViews>
    <sheetView topLeftCell="A36" workbookViewId="0">
      <selection activeCell="G49" sqref="G49"/>
    </sheetView>
  </sheetViews>
  <sheetFormatPr defaultRowHeight="16.5"/>
  <cols>
    <col min="1" max="1" width="2.625" customWidth="1"/>
    <col min="2" max="2" width="7.25" customWidth="1"/>
    <col min="3" max="3" width="7.75" customWidth="1"/>
    <col min="4" max="5" width="9.75" customWidth="1"/>
    <col min="6" max="6" width="5.75" customWidth="1"/>
    <col min="7" max="7" width="13.375" customWidth="1"/>
    <col min="9" max="9" width="10" customWidth="1"/>
  </cols>
  <sheetData>
    <row r="2" spans="2:8">
      <c r="B2" t="s">
        <v>96</v>
      </c>
    </row>
    <row r="4" spans="2:8" ht="17.25" thickBot="1">
      <c r="B4" t="s">
        <v>0</v>
      </c>
    </row>
    <row r="5" spans="2:8" ht="17.25" thickBot="1">
      <c r="B5" t="s">
        <v>6</v>
      </c>
      <c r="C5" s="133" t="s">
        <v>1</v>
      </c>
      <c r="D5" s="160">
        <v>142900</v>
      </c>
      <c r="E5" s="161">
        <f>143100-I59</f>
        <v>142920</v>
      </c>
    </row>
    <row r="6" spans="2:8" ht="17.25" thickTop="1">
      <c r="C6" s="134" t="s">
        <v>2</v>
      </c>
      <c r="D6" s="135">
        <v>196</v>
      </c>
      <c r="F6" s="195" t="s">
        <v>135</v>
      </c>
      <c r="G6" s="7"/>
      <c r="H6" s="8">
        <v>0.3</v>
      </c>
    </row>
    <row r="7" spans="2:8" ht="18">
      <c r="C7" s="136" t="s">
        <v>43</v>
      </c>
      <c r="D7" s="137">
        <v>159</v>
      </c>
      <c r="F7" s="6" t="s">
        <v>136</v>
      </c>
      <c r="G7" s="7"/>
      <c r="H7" s="8">
        <v>0.87</v>
      </c>
    </row>
    <row r="8" spans="2:8" ht="18">
      <c r="C8" s="136" t="s">
        <v>44</v>
      </c>
      <c r="D8" s="137">
        <f>D7*1.7</f>
        <v>270.3</v>
      </c>
    </row>
    <row r="9" spans="2:8">
      <c r="C9" s="136" t="s">
        <v>3</v>
      </c>
      <c r="D9" s="137">
        <v>188</v>
      </c>
    </row>
    <row r="10" spans="2:8">
      <c r="C10" s="136" t="s">
        <v>4</v>
      </c>
      <c r="D10" s="138">
        <v>41.9</v>
      </c>
      <c r="G10" s="194"/>
    </row>
    <row r="11" spans="2:8" ht="17.25" thickBot="1">
      <c r="C11" s="139" t="s">
        <v>5</v>
      </c>
      <c r="D11" s="140">
        <v>6</v>
      </c>
    </row>
    <row r="13" spans="2:8">
      <c r="B13" t="s">
        <v>7</v>
      </c>
    </row>
    <row r="14" spans="2:8" ht="17.25" thickBot="1">
      <c r="B14" t="s">
        <v>9</v>
      </c>
      <c r="D14" t="s">
        <v>10</v>
      </c>
    </row>
    <row r="15" spans="2:8">
      <c r="B15" s="49" t="s">
        <v>47</v>
      </c>
      <c r="C15" s="141" t="s">
        <v>2</v>
      </c>
      <c r="D15" s="142">
        <v>0.3</v>
      </c>
    </row>
    <row r="16" spans="2:8" ht="18">
      <c r="C16" s="136" t="s">
        <v>43</v>
      </c>
      <c r="D16" s="143">
        <v>0.3</v>
      </c>
    </row>
    <row r="17" spans="2:10">
      <c r="C17" s="136" t="s">
        <v>3</v>
      </c>
      <c r="D17" s="143">
        <v>0.5</v>
      </c>
      <c r="F17" s="10" t="s">
        <v>13</v>
      </c>
      <c r="G17" s="11">
        <v>0.4</v>
      </c>
    </row>
    <row r="18" spans="2:10">
      <c r="C18" s="136" t="s">
        <v>4</v>
      </c>
      <c r="D18" s="143">
        <v>0.15</v>
      </c>
      <c r="F18" s="12" t="s">
        <v>14</v>
      </c>
      <c r="G18" s="13">
        <v>0.4</v>
      </c>
    </row>
    <row r="19" spans="2:10">
      <c r="C19" s="134" t="s">
        <v>5</v>
      </c>
      <c r="D19" s="144">
        <v>0.15</v>
      </c>
      <c r="F19" s="14" t="s">
        <v>15</v>
      </c>
      <c r="G19" s="15">
        <v>0.4</v>
      </c>
      <c r="J19" s="29"/>
    </row>
    <row r="20" spans="2:10" ht="17.25" thickBot="1">
      <c r="C20" s="158" t="s">
        <v>12</v>
      </c>
      <c r="D20" s="145">
        <v>0.03</v>
      </c>
    </row>
    <row r="22" spans="2:10">
      <c r="B22" t="s">
        <v>16</v>
      </c>
    </row>
    <row r="23" spans="2:10" ht="17.25" thickBot="1"/>
    <row r="24" spans="2:10">
      <c r="B24" s="1" t="s">
        <v>17</v>
      </c>
      <c r="C24" s="23"/>
      <c r="D24" s="23"/>
      <c r="E24" s="30">
        <v>0.45</v>
      </c>
      <c r="F24" s="1" t="s">
        <v>33</v>
      </c>
      <c r="G24" s="23"/>
      <c r="H24" s="23"/>
      <c r="I24" s="35">
        <v>10</v>
      </c>
    </row>
    <row r="25" spans="2:10">
      <c r="B25" s="9" t="s">
        <v>18</v>
      </c>
      <c r="C25" s="19"/>
      <c r="D25" s="19"/>
      <c r="E25" s="31">
        <v>1</v>
      </c>
      <c r="F25" s="9" t="s">
        <v>34</v>
      </c>
      <c r="G25" s="19"/>
      <c r="H25" s="19"/>
      <c r="I25" s="36">
        <v>2500</v>
      </c>
    </row>
    <row r="26" spans="2:10">
      <c r="B26" s="9" t="s">
        <v>19</v>
      </c>
      <c r="C26" s="19"/>
      <c r="D26" s="19"/>
      <c r="E26" s="32"/>
      <c r="F26" s="9" t="s">
        <v>35</v>
      </c>
      <c r="G26" s="19"/>
      <c r="H26" s="19"/>
      <c r="I26" s="37">
        <v>0.8</v>
      </c>
    </row>
    <row r="27" spans="2:10">
      <c r="B27" s="9" t="s">
        <v>20</v>
      </c>
      <c r="C27" s="19"/>
      <c r="D27" s="19"/>
      <c r="E27" s="32"/>
      <c r="F27" s="9" t="s">
        <v>36</v>
      </c>
      <c r="G27" s="19"/>
      <c r="H27" s="19"/>
      <c r="I27" s="38">
        <v>393</v>
      </c>
    </row>
    <row r="28" spans="2:10">
      <c r="B28" s="9" t="s">
        <v>21</v>
      </c>
      <c r="C28" s="19"/>
      <c r="D28" s="19"/>
      <c r="E28" s="32"/>
      <c r="F28" s="9" t="s">
        <v>37</v>
      </c>
      <c r="G28" s="19"/>
      <c r="H28" s="19"/>
      <c r="I28" s="38">
        <v>325</v>
      </c>
    </row>
    <row r="29" spans="2:10">
      <c r="B29" s="9" t="s">
        <v>22</v>
      </c>
      <c r="C29" s="19"/>
      <c r="D29" s="19"/>
      <c r="E29" s="32"/>
      <c r="F29" s="9" t="s">
        <v>38</v>
      </c>
      <c r="G29" s="19"/>
      <c r="H29" s="19"/>
      <c r="I29" s="38">
        <v>68</v>
      </c>
    </row>
    <row r="30" spans="2:10">
      <c r="B30" s="9" t="s">
        <v>23</v>
      </c>
      <c r="C30" s="19"/>
      <c r="D30" s="19"/>
      <c r="E30" s="32"/>
      <c r="F30" s="9" t="s">
        <v>39</v>
      </c>
      <c r="G30" s="19"/>
      <c r="H30" s="19"/>
      <c r="I30" s="5">
        <v>1</v>
      </c>
    </row>
    <row r="31" spans="2:10">
      <c r="B31" s="9" t="s">
        <v>24</v>
      </c>
      <c r="C31" s="19"/>
      <c r="D31" s="19"/>
      <c r="E31" s="32"/>
      <c r="F31" s="9" t="s">
        <v>40</v>
      </c>
      <c r="G31" s="19"/>
      <c r="H31" s="19"/>
      <c r="I31" s="38"/>
    </row>
    <row r="32" spans="2:10">
      <c r="B32" s="9" t="s">
        <v>25</v>
      </c>
      <c r="C32" s="19"/>
      <c r="D32" s="19"/>
      <c r="E32" s="33">
        <v>7</v>
      </c>
      <c r="F32" s="9" t="s">
        <v>41</v>
      </c>
      <c r="G32" s="19"/>
      <c r="H32" s="19"/>
      <c r="I32" s="38"/>
    </row>
    <row r="33" spans="2:9">
      <c r="B33" s="9" t="s">
        <v>26</v>
      </c>
      <c r="C33" s="19"/>
      <c r="D33" s="19"/>
      <c r="E33" s="31">
        <v>0.1</v>
      </c>
      <c r="F33" s="9"/>
      <c r="G33" s="19"/>
      <c r="H33" s="19"/>
      <c r="I33" s="28"/>
    </row>
    <row r="34" spans="2:9">
      <c r="B34" s="9" t="s">
        <v>113</v>
      </c>
      <c r="C34" s="19"/>
      <c r="D34" s="19"/>
      <c r="E34" s="31">
        <v>0.06</v>
      </c>
      <c r="F34" s="9"/>
      <c r="G34" s="19"/>
      <c r="H34" s="19"/>
      <c r="I34" s="28"/>
    </row>
    <row r="35" spans="2:9" ht="17.25" thickBot="1">
      <c r="B35" s="3" t="s">
        <v>27</v>
      </c>
      <c r="C35" s="25"/>
      <c r="D35" s="25"/>
      <c r="E35" s="34"/>
      <c r="F35" s="3"/>
      <c r="G35" s="25"/>
      <c r="H35" s="25"/>
      <c r="I35" s="27"/>
    </row>
    <row r="37" spans="2:9">
      <c r="B37" s="10" t="s">
        <v>28</v>
      </c>
      <c r="C37" s="16"/>
      <c r="D37" s="16"/>
      <c r="E37" s="16"/>
      <c r="F37" s="16"/>
      <c r="G37" s="39">
        <v>25.5</v>
      </c>
    </row>
    <row r="38" spans="2:9">
      <c r="B38" s="42" t="s">
        <v>29</v>
      </c>
      <c r="C38" s="43"/>
      <c r="D38" s="44"/>
      <c r="E38" s="44"/>
      <c r="F38" s="44"/>
      <c r="G38" s="48">
        <v>19</v>
      </c>
    </row>
    <row r="39" spans="2:9">
      <c r="B39" s="45" t="s">
        <v>30</v>
      </c>
      <c r="C39" s="46"/>
      <c r="D39" s="46"/>
      <c r="E39" s="46"/>
      <c r="F39" s="46"/>
      <c r="G39" s="47"/>
    </row>
    <row r="40" spans="2:9">
      <c r="B40" s="12" t="s">
        <v>31</v>
      </c>
      <c r="C40" s="17"/>
      <c r="D40" s="17"/>
      <c r="E40" s="17"/>
      <c r="F40" s="17"/>
      <c r="G40" s="41">
        <v>7</v>
      </c>
    </row>
    <row r="41" spans="2:9">
      <c r="B41" s="14" t="s">
        <v>32</v>
      </c>
      <c r="C41" s="18"/>
      <c r="D41" s="20"/>
      <c r="E41" s="22"/>
      <c r="F41" s="21"/>
      <c r="G41" s="40">
        <v>0.9</v>
      </c>
    </row>
    <row r="45" spans="2:9">
      <c r="B45" t="s">
        <v>42</v>
      </c>
      <c r="E45" s="29" t="s">
        <v>67</v>
      </c>
    </row>
    <row r="46" spans="2:9" ht="17.25" thickBot="1">
      <c r="B46" t="s">
        <v>8</v>
      </c>
      <c r="D46" t="s">
        <v>10</v>
      </c>
      <c r="E46" s="29" t="s">
        <v>8</v>
      </c>
      <c r="G46" t="s">
        <v>68</v>
      </c>
    </row>
    <row r="47" spans="2:9">
      <c r="B47" s="49" t="s">
        <v>47</v>
      </c>
      <c r="C47" s="141" t="s">
        <v>2</v>
      </c>
      <c r="D47" s="142">
        <v>0.94299999999999995</v>
      </c>
      <c r="E47" s="29" t="s">
        <v>11</v>
      </c>
      <c r="F47" s="141" t="s">
        <v>3</v>
      </c>
      <c r="G47" s="146">
        <v>0.95</v>
      </c>
    </row>
    <row r="48" spans="2:9" ht="18">
      <c r="C48" s="136" t="s">
        <v>43</v>
      </c>
      <c r="D48" s="143">
        <v>0.9</v>
      </c>
      <c r="F48" s="136" t="s">
        <v>12</v>
      </c>
      <c r="G48" s="147">
        <v>0.22</v>
      </c>
    </row>
    <row r="49" spans="2:9">
      <c r="C49" s="136" t="s">
        <v>3</v>
      </c>
      <c r="D49" s="143">
        <v>0.94</v>
      </c>
      <c r="E49" s="29" t="s">
        <v>48</v>
      </c>
      <c r="F49" s="4" t="s">
        <v>2</v>
      </c>
      <c r="G49" s="36">
        <v>1000</v>
      </c>
    </row>
    <row r="50" spans="2:9" ht="17.25" thickBot="1">
      <c r="C50" s="136" t="s">
        <v>4</v>
      </c>
      <c r="D50" s="143">
        <v>0.85</v>
      </c>
      <c r="F50" s="73" t="s">
        <v>50</v>
      </c>
      <c r="G50" s="74">
        <v>3000</v>
      </c>
    </row>
    <row r="51" spans="2:9">
      <c r="C51" s="134" t="s">
        <v>5</v>
      </c>
      <c r="D51" s="144">
        <v>0.9</v>
      </c>
    </row>
    <row r="52" spans="2:9" ht="17.25" thickBot="1">
      <c r="C52" s="139" t="s">
        <v>12</v>
      </c>
      <c r="D52" s="145">
        <v>8.0000000000000002E-3</v>
      </c>
    </row>
    <row r="54" spans="2:9">
      <c r="B54" t="s">
        <v>45</v>
      </c>
      <c r="E54" t="s">
        <v>69</v>
      </c>
      <c r="I54" s="71">
        <v>0.6</v>
      </c>
    </row>
    <row r="55" spans="2:9" ht="17.25" thickBot="1">
      <c r="B55" t="s">
        <v>8</v>
      </c>
      <c r="D55" t="s">
        <v>46</v>
      </c>
      <c r="E55" s="70"/>
      <c r="F55" t="s">
        <v>70</v>
      </c>
      <c r="I55" s="71">
        <v>0.5</v>
      </c>
    </row>
    <row r="56" spans="2:9">
      <c r="B56" s="49" t="s">
        <v>11</v>
      </c>
      <c r="C56" s="148" t="s">
        <v>3</v>
      </c>
      <c r="D56" s="149">
        <v>0.85</v>
      </c>
    </row>
    <row r="57" spans="2:9">
      <c r="C57" s="150" t="s">
        <v>12</v>
      </c>
      <c r="D57" s="151">
        <v>3.5000000000000003E-2</v>
      </c>
    </row>
    <row r="58" spans="2:9">
      <c r="B58" t="s">
        <v>48</v>
      </c>
      <c r="C58" s="2" t="s">
        <v>49</v>
      </c>
      <c r="D58" s="50">
        <v>500</v>
      </c>
      <c r="E58" s="70" t="s">
        <v>71</v>
      </c>
    </row>
    <row r="59" spans="2:9">
      <c r="C59" s="2" t="s">
        <v>2</v>
      </c>
      <c r="D59" s="50">
        <v>1000</v>
      </c>
      <c r="G59" s="152" t="s">
        <v>72</v>
      </c>
      <c r="H59" s="152"/>
      <c r="I59" s="153">
        <v>180</v>
      </c>
    </row>
    <row r="60" spans="2:9" ht="17.25" thickBot="1">
      <c r="C60" s="3" t="s">
        <v>50</v>
      </c>
      <c r="D60" s="51">
        <v>1400</v>
      </c>
      <c r="G60" s="152" t="s">
        <v>73</v>
      </c>
      <c r="H60" s="152" t="s">
        <v>2</v>
      </c>
      <c r="I60" s="159">
        <v>3763</v>
      </c>
    </row>
    <row r="61" spans="2:9">
      <c r="G61" s="152"/>
      <c r="H61" s="152" t="s">
        <v>50</v>
      </c>
      <c r="I61" s="159">
        <v>3175</v>
      </c>
    </row>
    <row r="62" spans="2:9">
      <c r="B62" t="s">
        <v>58</v>
      </c>
      <c r="G62" s="152"/>
      <c r="H62" s="152" t="s">
        <v>3</v>
      </c>
      <c r="I62" s="159">
        <v>15921</v>
      </c>
    </row>
    <row r="63" spans="2:9" ht="17.25" thickBot="1">
      <c r="B63" t="s">
        <v>8</v>
      </c>
      <c r="C63" t="s">
        <v>57</v>
      </c>
      <c r="G63" s="152"/>
      <c r="H63" s="152" t="s">
        <v>4</v>
      </c>
      <c r="I63" s="159">
        <v>1374</v>
      </c>
    </row>
    <row r="64" spans="2:9">
      <c r="B64" s="54" t="s">
        <v>52</v>
      </c>
      <c r="C64" s="55"/>
      <c r="D64" s="62">
        <v>0.6</v>
      </c>
      <c r="G64" s="152"/>
      <c r="H64" s="152" t="s">
        <v>5</v>
      </c>
      <c r="I64" s="159">
        <v>105</v>
      </c>
    </row>
    <row r="65" spans="2:5">
      <c r="B65" s="64" t="s">
        <v>53</v>
      </c>
      <c r="C65" s="65"/>
      <c r="D65" s="66">
        <v>0.5</v>
      </c>
    </row>
    <row r="66" spans="2:5">
      <c r="B66" s="64" t="s">
        <v>54</v>
      </c>
      <c r="C66" s="65"/>
      <c r="D66" s="66">
        <v>0.97</v>
      </c>
    </row>
    <row r="67" spans="2:5">
      <c r="B67" s="67" t="s">
        <v>55</v>
      </c>
      <c r="C67" s="68"/>
      <c r="D67" s="69">
        <v>0.04</v>
      </c>
    </row>
    <row r="68" spans="2:5" ht="17.25" thickBot="1">
      <c r="B68" s="60" t="s">
        <v>56</v>
      </c>
      <c r="C68" s="61"/>
      <c r="D68" s="63">
        <v>0.05</v>
      </c>
    </row>
    <row r="70" spans="2:5">
      <c r="B70" t="s">
        <v>59</v>
      </c>
    </row>
    <row r="71" spans="2:5" ht="17.25" thickBot="1">
      <c r="B71" t="s">
        <v>60</v>
      </c>
      <c r="C71" t="s">
        <v>61</v>
      </c>
      <c r="D71" t="s">
        <v>62</v>
      </c>
    </row>
    <row r="72" spans="2:5">
      <c r="B72" s="1" t="s">
        <v>11</v>
      </c>
      <c r="C72" s="23" t="s">
        <v>3</v>
      </c>
      <c r="D72" s="23"/>
      <c r="E72" s="72">
        <v>0.95</v>
      </c>
    </row>
    <row r="73" spans="2:5">
      <c r="B73" s="9"/>
      <c r="C73" s="19" t="s">
        <v>51</v>
      </c>
      <c r="D73" s="19"/>
      <c r="E73" s="37">
        <v>0.96</v>
      </c>
    </row>
    <row r="74" spans="2:5">
      <c r="B74" s="9" t="s">
        <v>48</v>
      </c>
      <c r="C74" s="19" t="s">
        <v>2</v>
      </c>
      <c r="D74" s="19"/>
      <c r="E74" s="36">
        <v>1800</v>
      </c>
    </row>
    <row r="75" spans="2:5">
      <c r="B75" s="9"/>
      <c r="C75" s="19" t="s">
        <v>63</v>
      </c>
      <c r="D75" s="19"/>
      <c r="E75" s="37">
        <v>0.6</v>
      </c>
    </row>
    <row r="76" spans="2:5">
      <c r="B76" s="9"/>
      <c r="C76" s="19" t="s">
        <v>50</v>
      </c>
      <c r="D76" s="19"/>
      <c r="E76" s="36">
        <v>4500</v>
      </c>
    </row>
    <row r="77" spans="2:5">
      <c r="B77" s="9" t="s">
        <v>64</v>
      </c>
      <c r="C77" s="19"/>
      <c r="D77" s="19"/>
      <c r="E77" s="37">
        <v>0.05</v>
      </c>
    </row>
    <row r="78" spans="2:5">
      <c r="B78" s="9" t="s">
        <v>65</v>
      </c>
      <c r="C78" s="19"/>
      <c r="D78" s="19"/>
      <c r="E78" s="37">
        <v>0.4</v>
      </c>
    </row>
    <row r="79" spans="2:5" ht="17.25" thickBot="1">
      <c r="B79" s="3" t="s">
        <v>66</v>
      </c>
      <c r="C79" s="25"/>
      <c r="D79" s="25"/>
      <c r="E79" s="2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E50"/>
  <sheetViews>
    <sheetView view="pageBreakPreview" zoomScaleSheetLayoutView="100" workbookViewId="0">
      <selection activeCell="AB2" sqref="AB2:AB8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9.5" customHeight="1">
      <c r="A1" s="1"/>
      <c r="B1" s="23"/>
      <c r="C1" s="208" t="s">
        <v>147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9"/>
      <c r="X1" s="76"/>
      <c r="Z1" s="59"/>
      <c r="AA1" s="113" t="s">
        <v>91</v>
      </c>
      <c r="AB1" s="113" t="s">
        <v>90</v>
      </c>
      <c r="AC1" s="52"/>
      <c r="AD1" s="52"/>
    </row>
    <row r="2" spans="1:30" s="214" customFormat="1" ht="14.25" customHeight="1">
      <c r="A2" s="209"/>
      <c r="B2" s="210"/>
      <c r="C2" s="211" t="s">
        <v>148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  <c r="X2" s="211"/>
      <c r="Y2" s="213"/>
      <c r="Z2" s="113" t="s">
        <v>83</v>
      </c>
      <c r="AA2" s="156">
        <f>P32-L32</f>
        <v>877.46579019699175</v>
      </c>
      <c r="AB2" s="156">
        <v>877.46528329041712</v>
      </c>
      <c r="AC2" s="53"/>
      <c r="AD2" s="132">
        <f>AA2-AB2</f>
        <v>5.0690657462837407E-4</v>
      </c>
    </row>
    <row r="3" spans="1:30" s="52" customFormat="1" ht="16.5" customHeight="1">
      <c r="A3" s="175"/>
      <c r="B3" s="76"/>
      <c r="C3" s="217" t="s">
        <v>149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 t="s">
        <v>142</v>
      </c>
      <c r="V3" s="57"/>
      <c r="W3" s="201"/>
      <c r="X3" s="57"/>
      <c r="Z3" s="113" t="s">
        <v>85</v>
      </c>
      <c r="AA3" s="156">
        <f>L32-H32</f>
        <v>516.77182329809375</v>
      </c>
      <c r="AB3" s="156">
        <v>516.77163246081091</v>
      </c>
      <c r="AC3" s="53"/>
      <c r="AD3" s="132">
        <f t="shared" ref="AD3:AD8" si="0">AA3-AB3</f>
        <v>1.908372828438587E-4</v>
      </c>
    </row>
    <row r="4" spans="1:30" ht="12" customHeight="1">
      <c r="A4" s="2"/>
      <c r="B4" s="2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200"/>
      <c r="X4" s="76"/>
      <c r="Z4" s="113" t="s">
        <v>92</v>
      </c>
      <c r="AA4" s="157">
        <f>D21/$D$20*10^3</f>
        <v>2042.4183935341437</v>
      </c>
      <c r="AB4" s="157">
        <v>2042.4181082583407</v>
      </c>
      <c r="AC4" s="53"/>
      <c r="AD4" s="132">
        <f t="shared" si="0"/>
        <v>2.8527580298032262E-4</v>
      </c>
    </row>
    <row r="5" spans="1:30" s="52" customFormat="1" ht="12" customHeight="1" thickBot="1">
      <c r="A5" s="56"/>
      <c r="B5" s="57"/>
      <c r="C5" s="77" t="s">
        <v>97</v>
      </c>
      <c r="D5" s="101"/>
      <c r="E5" s="102"/>
      <c r="F5" s="57"/>
      <c r="G5" s="103" t="s">
        <v>76</v>
      </c>
      <c r="H5" s="104"/>
      <c r="I5" s="105"/>
      <c r="J5" s="124"/>
      <c r="K5" s="109" t="s">
        <v>112</v>
      </c>
      <c r="L5" s="110"/>
      <c r="M5" s="111"/>
      <c r="N5" s="59"/>
      <c r="O5" s="103" t="s">
        <v>143</v>
      </c>
      <c r="P5" s="131"/>
      <c r="Q5" s="102"/>
      <c r="R5" s="57"/>
      <c r="S5" s="57"/>
      <c r="T5" s="103" t="s">
        <v>79</v>
      </c>
      <c r="U5" s="104"/>
      <c r="V5" s="105"/>
      <c r="W5" s="201"/>
      <c r="X5" s="57"/>
      <c r="Z5" s="59"/>
      <c r="AA5" s="157">
        <f>D22/$D$20*10^3</f>
        <v>1867.8217536406962</v>
      </c>
      <c r="AB5" s="157">
        <v>1867.8213956341617</v>
      </c>
      <c r="AC5" s="53"/>
      <c r="AD5" s="132">
        <f t="shared" si="0"/>
        <v>3.5800653449769015E-4</v>
      </c>
    </row>
    <row r="6" spans="1:30" s="53" customFormat="1" ht="12" customHeight="1" thickTop="1">
      <c r="A6" s="58"/>
      <c r="B6" s="59"/>
      <c r="C6" s="78" t="s">
        <v>74</v>
      </c>
      <c r="D6" s="225">
        <v>144042</v>
      </c>
      <c r="E6" s="226"/>
      <c r="F6" s="123"/>
      <c r="G6" s="130" t="s">
        <v>74</v>
      </c>
      <c r="H6" s="225">
        <f>D6+D20</f>
        <v>145436.23691575121</v>
      </c>
      <c r="I6" s="226"/>
      <c r="J6" s="125"/>
      <c r="K6" s="79" t="s">
        <v>74</v>
      </c>
      <c r="L6" s="225">
        <f>L9/M9*10^3</f>
        <v>598.97589209464275</v>
      </c>
      <c r="M6" s="226"/>
      <c r="N6" s="116" t="s">
        <v>77</v>
      </c>
      <c r="O6" s="130" t="s">
        <v>74</v>
      </c>
      <c r="P6" s="225">
        <f t="shared" ref="P6:P11" si="1">H6-L6</f>
        <v>144837.26102365658</v>
      </c>
      <c r="Q6" s="226"/>
      <c r="R6" s="116" t="s">
        <v>77</v>
      </c>
      <c r="S6" s="59"/>
      <c r="T6" s="90" t="s">
        <v>74</v>
      </c>
      <c r="U6" s="225">
        <f>P6-Q20</f>
        <v>143949.99039663546</v>
      </c>
      <c r="V6" s="226"/>
      <c r="W6" s="100"/>
      <c r="X6" s="59"/>
      <c r="Z6" s="59"/>
      <c r="AA6" s="157">
        <f>D23/$D$20*10^3</f>
        <v>3461.0204965481589</v>
      </c>
      <c r="AB6" s="157">
        <v>3461.0197672743088</v>
      </c>
      <c r="AD6" s="132">
        <f t="shared" si="0"/>
        <v>7.2927385008370038E-4</v>
      </c>
    </row>
    <row r="7" spans="1:30" s="53" customFormat="1" ht="12" customHeight="1">
      <c r="A7" s="58"/>
      <c r="B7" s="59"/>
      <c r="C7" s="80" t="s">
        <v>2</v>
      </c>
      <c r="D7" s="91">
        <f>$D$6*E7/10^3</f>
        <v>32265.407999999999</v>
      </c>
      <c r="E7" s="97">
        <v>224</v>
      </c>
      <c r="F7" s="123"/>
      <c r="G7" s="93" t="s">
        <v>2</v>
      </c>
      <c r="H7" s="91">
        <f>$H$6*I7/10^3</f>
        <v>35113.022723932561</v>
      </c>
      <c r="I7" s="97">
        <f>($D$6*E7+$D$20*E21)/$H$6</f>
        <v>241.43242061655482</v>
      </c>
      <c r="J7" s="126"/>
      <c r="K7" s="80" t="s">
        <v>2</v>
      </c>
      <c r="L7" s="91">
        <f>H7*N7</f>
        <v>10533.906817179768</v>
      </c>
      <c r="M7" s="82">
        <f>L7/$L$6*10^3</f>
        <v>17586.528867367721</v>
      </c>
      <c r="N7" s="117">
        <v>0.3</v>
      </c>
      <c r="O7" s="93" t="s">
        <v>2</v>
      </c>
      <c r="P7" s="91">
        <f t="shared" si="1"/>
        <v>24579.115906752791</v>
      </c>
      <c r="Q7" s="97">
        <f>P7/$P$6*10^3</f>
        <v>169.70160670698013</v>
      </c>
      <c r="R7" s="120">
        <v>0.94499999999999995</v>
      </c>
      <c r="S7" s="59"/>
      <c r="T7" s="93" t="s">
        <v>2</v>
      </c>
      <c r="U7" s="91">
        <f>P7*(1-R7)</f>
        <v>1351.8513748714047</v>
      </c>
      <c r="V7" s="97">
        <f>U7/$U$6*10^3</f>
        <v>9.3911182011652397</v>
      </c>
      <c r="W7" s="100"/>
      <c r="X7" s="59"/>
      <c r="Z7" s="59"/>
      <c r="AA7" s="157">
        <f>D24/$D$20*10^3</f>
        <v>242.83646054586782</v>
      </c>
      <c r="AB7" s="157">
        <v>242.83642182535334</v>
      </c>
      <c r="AD7" s="132">
        <f t="shared" si="0"/>
        <v>3.8720514481838109E-5</v>
      </c>
    </row>
    <row r="8" spans="1:30" s="53" customFormat="1" ht="12" customHeight="1">
      <c r="A8" s="58"/>
      <c r="B8" s="59"/>
      <c r="C8" s="80" t="s">
        <v>50</v>
      </c>
      <c r="D8" s="91">
        <f>$D$6*E8/10^3</f>
        <v>25927.56</v>
      </c>
      <c r="E8" s="97">
        <v>180</v>
      </c>
      <c r="F8" s="123"/>
      <c r="G8" s="93" t="s">
        <v>50</v>
      </c>
      <c r="H8" s="91">
        <f>$H$6*I8/10^3</f>
        <v>28531.745541823126</v>
      </c>
      <c r="I8" s="97">
        <f>($D$6*E8+$D$20*E22)/$H$6</f>
        <v>196.18044406877146</v>
      </c>
      <c r="J8" s="126"/>
      <c r="K8" s="80" t="s">
        <v>50</v>
      </c>
      <c r="L8" s="91">
        <f>H8*N8</f>
        <v>8559.523662546937</v>
      </c>
      <c r="M8" s="82">
        <f>L8/$L$6*10^3</f>
        <v>14290.264058231023</v>
      </c>
      <c r="N8" s="118">
        <v>0.3</v>
      </c>
      <c r="O8" s="93" t="s">
        <v>50</v>
      </c>
      <c r="P8" s="91">
        <f t="shared" si="1"/>
        <v>19972.221879276189</v>
      </c>
      <c r="Q8" s="97">
        <f>P8/$P$6*10^3</f>
        <v>137.89422513322785</v>
      </c>
      <c r="R8" s="120">
        <v>0.9</v>
      </c>
      <c r="S8" s="59"/>
      <c r="T8" s="93" t="s">
        <v>50</v>
      </c>
      <c r="U8" s="91">
        <f>P8*(1-R8)</f>
        <v>1997.2221879276185</v>
      </c>
      <c r="V8" s="97">
        <f>U8/$U$6*10^3</f>
        <v>13.874416958448784</v>
      </c>
      <c r="W8" s="100"/>
      <c r="X8" s="59"/>
      <c r="Z8" s="59"/>
      <c r="AA8" s="157">
        <f>D25/$D$20*10^3</f>
        <v>135.48309938830184</v>
      </c>
      <c r="AB8" s="157">
        <v>135.48309378757492</v>
      </c>
      <c r="AD8" s="132">
        <f t="shared" si="0"/>
        <v>5.6007269222391187E-6</v>
      </c>
    </row>
    <row r="9" spans="1:30" s="53" customFormat="1" ht="12" customHeight="1">
      <c r="A9" s="58"/>
      <c r="B9" s="59"/>
      <c r="C9" s="80" t="s">
        <v>3</v>
      </c>
      <c r="D9" s="91">
        <f>$D$6*E9/10^3</f>
        <v>31113.072</v>
      </c>
      <c r="E9" s="97">
        <v>216</v>
      </c>
      <c r="F9" s="123"/>
      <c r="G9" s="93" t="s">
        <v>3</v>
      </c>
      <c r="H9" s="91">
        <f>$H$6*I9/10^3</f>
        <v>35938.553525678566</v>
      </c>
      <c r="I9" s="97">
        <f>($D$6*E9+$D$20*E23)/$H$6</f>
        <v>247.10865935356381</v>
      </c>
      <c r="J9" s="126"/>
      <c r="K9" s="80" t="s">
        <v>3</v>
      </c>
      <c r="L9" s="91">
        <f>H9*N9</f>
        <v>17969.276762839283</v>
      </c>
      <c r="M9" s="82">
        <f>참조!D20*10^6</f>
        <v>30000</v>
      </c>
      <c r="N9" s="118">
        <v>0.5</v>
      </c>
      <c r="O9" s="93" t="s">
        <v>3</v>
      </c>
      <c r="P9" s="91">
        <f t="shared" si="1"/>
        <v>17969.276762839283</v>
      </c>
      <c r="Q9" s="97">
        <f>P9/$P$6*10^3</f>
        <v>124.06528980069793</v>
      </c>
      <c r="R9" s="120">
        <v>0.95</v>
      </c>
      <c r="S9" s="59"/>
      <c r="T9" s="93" t="s">
        <v>3</v>
      </c>
      <c r="U9" s="91">
        <f>P9*(1-R9)</f>
        <v>898.46383814196497</v>
      </c>
      <c r="V9" s="97">
        <f>U9/$U$6*10^3</f>
        <v>6.2414998130000905</v>
      </c>
      <c r="W9" s="100"/>
      <c r="X9" s="59"/>
    </row>
    <row r="10" spans="1:30" s="53" customFormat="1" ht="12" customHeight="1">
      <c r="A10" s="58"/>
      <c r="B10" s="59"/>
      <c r="C10" s="80" t="s">
        <v>4</v>
      </c>
      <c r="D10" s="91">
        <f>$D$6*E10/10^3</f>
        <v>6654.7404000000006</v>
      </c>
      <c r="E10" s="98">
        <v>46.2</v>
      </c>
      <c r="F10" s="123"/>
      <c r="G10" s="93" t="s">
        <v>4</v>
      </c>
      <c r="H10" s="91">
        <f>$H$6*I10/10^3</f>
        <v>6993.3119037978449</v>
      </c>
      <c r="I10" s="97">
        <f>($D$6*E10+$D$20*E24)/$H$6</f>
        <v>48.085071864510319</v>
      </c>
      <c r="J10" s="127"/>
      <c r="K10" s="80" t="s">
        <v>4</v>
      </c>
      <c r="L10" s="91">
        <f>H10*N10</f>
        <v>1048.9967855696766</v>
      </c>
      <c r="M10" s="114">
        <f>L10/$L$6*10^3</f>
        <v>1751.3172056078797</v>
      </c>
      <c r="N10" s="118">
        <v>0.15</v>
      </c>
      <c r="O10" s="93" t="s">
        <v>4</v>
      </c>
      <c r="P10" s="91">
        <f t="shared" si="1"/>
        <v>5944.3151182281681</v>
      </c>
      <c r="Q10" s="98">
        <f>P10/$P$6*10^3</f>
        <v>41.041338922152569</v>
      </c>
      <c r="R10" s="120">
        <v>0.75</v>
      </c>
      <c r="S10" s="59"/>
      <c r="T10" s="93" t="s">
        <v>4</v>
      </c>
      <c r="U10" s="91">
        <f>P10*(1-R10)</f>
        <v>1486.078779557042</v>
      </c>
      <c r="V10" s="98">
        <f>U10/$U$6*10^3</f>
        <v>10.323576788455112</v>
      </c>
      <c r="W10" s="100"/>
      <c r="X10" s="59"/>
    </row>
    <row r="11" spans="1:30" s="53" customFormat="1" ht="12" customHeight="1">
      <c r="A11" s="58"/>
      <c r="B11" s="59"/>
      <c r="C11" s="83" t="s">
        <v>5</v>
      </c>
      <c r="D11" s="94">
        <f>$D$6*E11/10^3</f>
        <v>950.67719999999997</v>
      </c>
      <c r="E11" s="99">
        <v>6.6</v>
      </c>
      <c r="F11" s="123"/>
      <c r="G11" s="96" t="s">
        <v>5</v>
      </c>
      <c r="H11" s="94">
        <f>$H$6*I11/10^3</f>
        <v>1139.5727308188227</v>
      </c>
      <c r="I11" s="122">
        <f>($D$6*E11+$D$20*E25)/$H$6</f>
        <v>7.8355487943417996</v>
      </c>
      <c r="J11" s="127"/>
      <c r="K11" s="83" t="s">
        <v>5</v>
      </c>
      <c r="L11" s="94">
        <f>H11*N11</f>
        <v>170.9359096228234</v>
      </c>
      <c r="M11" s="115">
        <f>L11/L6*10^3</f>
        <v>285.38028304453735</v>
      </c>
      <c r="N11" s="119">
        <v>0.15</v>
      </c>
      <c r="O11" s="96" t="s">
        <v>5</v>
      </c>
      <c r="P11" s="94">
        <f t="shared" si="1"/>
        <v>968.63682119599935</v>
      </c>
      <c r="Q11" s="99">
        <f>P11/$P$6*10^3</f>
        <v>6.6877598647615262</v>
      </c>
      <c r="R11" s="121">
        <f>Q25/P11</f>
        <v>0.83657734042633214</v>
      </c>
      <c r="S11" s="59"/>
      <c r="T11" s="96" t="s">
        <v>5</v>
      </c>
      <c r="U11" s="94">
        <f>P11-Q25</f>
        <v>158.29720548083355</v>
      </c>
      <c r="V11" s="99">
        <f>U11/$U$6*10^3</f>
        <v>1.0996680516939681</v>
      </c>
      <c r="W11" s="100"/>
      <c r="X11" s="59"/>
    </row>
    <row r="12" spans="1:30" s="53" customFormat="1" ht="12" customHeight="1" thickBot="1">
      <c r="A12" s="58"/>
      <c r="B12" s="59"/>
      <c r="C12" s="59"/>
      <c r="D12" s="123"/>
      <c r="E12" s="128"/>
      <c r="F12" s="123"/>
      <c r="G12" s="123"/>
      <c r="H12" s="123"/>
      <c r="I12" s="128"/>
      <c r="J12" s="128"/>
      <c r="K12" s="59"/>
      <c r="L12" s="123"/>
      <c r="M12" s="89"/>
      <c r="N12" s="129"/>
      <c r="O12" s="129"/>
      <c r="P12" s="123"/>
      <c r="Q12" s="123"/>
      <c r="R12" s="128"/>
      <c r="S12" s="59"/>
      <c r="T12" s="123"/>
      <c r="U12" s="123"/>
      <c r="V12" s="128"/>
      <c r="W12" s="202"/>
      <c r="X12" s="59"/>
    </row>
    <row r="13" spans="1:30" s="53" customFormat="1" ht="12" customHeight="1">
      <c r="A13" s="58"/>
      <c r="B13" s="59"/>
      <c r="C13" s="59"/>
      <c r="D13" s="59"/>
      <c r="E13" s="85" t="s">
        <v>75</v>
      </c>
      <c r="F13" s="87"/>
      <c r="G13" s="58"/>
      <c r="H13" s="85"/>
      <c r="I13" s="165" t="s">
        <v>146</v>
      </c>
      <c r="J13" s="166"/>
      <c r="K13" s="86"/>
      <c r="L13" s="87"/>
      <c r="M13" s="59"/>
      <c r="N13" s="85" t="s">
        <v>81</v>
      </c>
      <c r="O13" s="86"/>
      <c r="P13" s="87"/>
      <c r="Q13" s="59"/>
      <c r="R13" s="190" t="s">
        <v>133</v>
      </c>
      <c r="S13" s="191"/>
      <c r="T13" s="176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60"/>
      <c r="F14" s="88"/>
      <c r="G14" s="58"/>
      <c r="H14" s="60"/>
      <c r="I14" s="164"/>
      <c r="J14" s="167"/>
      <c r="K14" s="61"/>
      <c r="L14" s="88"/>
      <c r="M14" s="59"/>
      <c r="N14" s="60"/>
      <c r="O14" s="61"/>
      <c r="P14" s="88"/>
      <c r="Q14" s="59"/>
      <c r="R14" s="192"/>
      <c r="S14" s="193"/>
      <c r="T14" s="176"/>
      <c r="U14" s="59"/>
      <c r="V14" s="59"/>
      <c r="W14" s="100"/>
      <c r="X14" s="59"/>
    </row>
    <row r="15" spans="1:30" s="53" customFormat="1" ht="12" customHeight="1" thickBo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00"/>
      <c r="X15" s="59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 t="s">
        <v>140</v>
      </c>
      <c r="M16" s="24"/>
      <c r="N16" s="24"/>
      <c r="O16" s="24"/>
      <c r="P16" s="76"/>
      <c r="Q16" s="24"/>
      <c r="R16" s="24"/>
      <c r="S16" s="76"/>
      <c r="T16" s="197" t="s">
        <v>138</v>
      </c>
      <c r="U16" s="198"/>
      <c r="V16" s="198"/>
      <c r="W16" s="203"/>
      <c r="X16" s="24"/>
      <c r="Y16"/>
      <c r="Z16"/>
      <c r="AA16"/>
      <c r="AB16"/>
      <c r="AC16"/>
    </row>
    <row r="17" spans="1:29" ht="12" customHeight="1" thickBot="1">
      <c r="A17" s="2"/>
      <c r="B17" s="24"/>
      <c r="C17" s="24"/>
      <c r="D17" s="24"/>
      <c r="E17" s="24"/>
      <c r="F17" s="76"/>
      <c r="G17" s="24"/>
      <c r="H17" s="24"/>
      <c r="I17" s="24"/>
      <c r="J17" s="24"/>
      <c r="K17" s="24"/>
      <c r="L17" s="24"/>
      <c r="M17" s="24"/>
      <c r="N17" s="24"/>
      <c r="O17" s="24"/>
      <c r="P17" s="76"/>
      <c r="Q17" s="24"/>
      <c r="R17" s="24"/>
      <c r="S17" s="76"/>
      <c r="T17" s="187" t="s">
        <v>131</v>
      </c>
      <c r="U17" s="188">
        <f>U11*W17</f>
        <v>55.40402191829174</v>
      </c>
      <c r="V17" s="196">
        <f>U17/$U$20*10^3</f>
        <v>0.3848838180928888</v>
      </c>
      <c r="W17" s="204">
        <v>0.35</v>
      </c>
      <c r="X17" s="24"/>
      <c r="Y17"/>
      <c r="Z17"/>
      <c r="AA17"/>
      <c r="AB17"/>
      <c r="AC17"/>
    </row>
    <row r="18" spans="1:29" s="53" customFormat="1" ht="12" customHeight="1" thickBo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00"/>
      <c r="X18" s="59"/>
    </row>
    <row r="19" spans="1:29" s="53" customFormat="1" ht="12" customHeight="1" thickBot="1">
      <c r="A19" s="58"/>
      <c r="B19" s="59"/>
      <c r="C19" s="106" t="s">
        <v>78</v>
      </c>
      <c r="D19" s="107"/>
      <c r="E19" s="108"/>
      <c r="F19" s="59"/>
      <c r="G19" s="106" t="s">
        <v>85</v>
      </c>
      <c r="H19" s="107"/>
      <c r="I19" s="108"/>
      <c r="J19" s="59"/>
      <c r="K19" s="106" t="s">
        <v>83</v>
      </c>
      <c r="L19" s="107"/>
      <c r="M19" s="108"/>
      <c r="N19" s="59"/>
      <c r="O19" s="59"/>
      <c r="P19" s="109" t="s">
        <v>125</v>
      </c>
      <c r="Q19" s="110"/>
      <c r="R19" s="111"/>
      <c r="S19" s="59"/>
      <c r="T19" s="181" t="s">
        <v>134</v>
      </c>
      <c r="U19" s="182"/>
      <c r="V19" s="183"/>
      <c r="W19" s="205" t="s">
        <v>77</v>
      </c>
      <c r="X19" s="59"/>
      <c r="Y19" s="177" t="s">
        <v>80</v>
      </c>
    </row>
    <row r="20" spans="1:29" s="53" customFormat="1" ht="12" customHeight="1" thickTop="1">
      <c r="A20" s="58"/>
      <c r="B20" s="59"/>
      <c r="C20" s="112" t="s">
        <v>74</v>
      </c>
      <c r="D20" s="229">
        <f t="shared" ref="D20:D25" si="2">H20+L20</f>
        <v>1394.236915751228</v>
      </c>
      <c r="E20" s="226"/>
      <c r="F20" s="59"/>
      <c r="G20" s="112" t="s">
        <v>74</v>
      </c>
      <c r="H20" s="229">
        <f>AB3</f>
        <v>516.77163246081091</v>
      </c>
      <c r="I20" s="226"/>
      <c r="J20" s="59"/>
      <c r="K20" s="79" t="s">
        <v>74</v>
      </c>
      <c r="L20" s="229">
        <f>AB2</f>
        <v>877.46528329041712</v>
      </c>
      <c r="M20" s="226"/>
      <c r="N20" s="59"/>
      <c r="O20" s="59"/>
      <c r="P20" s="79" t="s">
        <v>74</v>
      </c>
      <c r="Q20" s="225">
        <f>Q23/R23*10^3</f>
        <v>887.27062702112062</v>
      </c>
      <c r="R20" s="226"/>
      <c r="S20" s="59"/>
      <c r="T20" s="184" t="s">
        <v>126</v>
      </c>
      <c r="U20" s="225">
        <f>U6</f>
        <v>143949.99039663546</v>
      </c>
      <c r="V20" s="230"/>
      <c r="W20" s="206"/>
      <c r="X20" s="59"/>
      <c r="Y20" s="178" t="s">
        <v>77</v>
      </c>
    </row>
    <row r="21" spans="1:29" s="53" customFormat="1" ht="12" customHeight="1">
      <c r="A21" s="58"/>
      <c r="B21" s="59"/>
      <c r="C21" s="80" t="s">
        <v>2</v>
      </c>
      <c r="D21" s="81">
        <f t="shared" si="2"/>
        <v>2847.6151216746221</v>
      </c>
      <c r="E21" s="114">
        <f>AB4</f>
        <v>2042.4181082583407</v>
      </c>
      <c r="F21" s="59"/>
      <c r="G21" s="80" t="s">
        <v>2</v>
      </c>
      <c r="H21" s="81">
        <f>L33-H33</f>
        <v>628.69424764245014</v>
      </c>
      <c r="I21" s="114">
        <f>H21/$H$20*10^3</f>
        <v>1216.5804160895514</v>
      </c>
      <c r="J21" s="59"/>
      <c r="K21" s="80" t="s">
        <v>2</v>
      </c>
      <c r="L21" s="81">
        <f>P33-L33</f>
        <v>2218.9208740321719</v>
      </c>
      <c r="M21" s="92">
        <f>L21/$L$20*10^3</f>
        <v>2528.7848035553211</v>
      </c>
      <c r="N21" s="59"/>
      <c r="O21" s="59"/>
      <c r="P21" s="80" t="s">
        <v>2</v>
      </c>
      <c r="Q21" s="91">
        <f>Q23*0.6</f>
        <v>4258.8990097013784</v>
      </c>
      <c r="R21" s="82">
        <f>Q21/$Q$20*10^3</f>
        <v>4800</v>
      </c>
      <c r="S21" s="59"/>
      <c r="T21" s="185" t="s">
        <v>127</v>
      </c>
      <c r="U21" s="91">
        <f>U7-AD46</f>
        <v>946.2959624099833</v>
      </c>
      <c r="V21" s="186">
        <f>U21/$U$20*10^3</f>
        <v>6.5737827408156679</v>
      </c>
      <c r="W21" s="206">
        <v>0.3</v>
      </c>
      <c r="X21" s="59"/>
      <c r="Y21" s="179">
        <f>1-(U21/D7)</f>
        <v>0.97067150173926253</v>
      </c>
    </row>
    <row r="22" spans="1:29" s="53" customFormat="1" ht="12" customHeight="1">
      <c r="A22" s="58"/>
      <c r="B22" s="59"/>
      <c r="C22" s="80" t="s">
        <v>50</v>
      </c>
      <c r="D22" s="81">
        <f t="shared" si="2"/>
        <v>2604.1860409690544</v>
      </c>
      <c r="E22" s="114">
        <f>AB5</f>
        <v>1867.8213956341617</v>
      </c>
      <c r="F22" s="59"/>
      <c r="G22" s="80" t="s">
        <v>50</v>
      </c>
      <c r="H22" s="81">
        <f>L34-H34</f>
        <v>574.95016488927286</v>
      </c>
      <c r="I22" s="114">
        <f>H22/$H$20*10^3</f>
        <v>1112.5807392937227</v>
      </c>
      <c r="J22" s="59"/>
      <c r="K22" s="80" t="s">
        <v>50</v>
      </c>
      <c r="L22" s="81">
        <f>P34-L34</f>
        <v>2029.2358760797815</v>
      </c>
      <c r="M22" s="92">
        <f>L22/$L$20*10^3</f>
        <v>2312.6110111961657</v>
      </c>
      <c r="N22" s="59"/>
      <c r="O22" s="59"/>
      <c r="P22" s="80" t="s">
        <v>50</v>
      </c>
      <c r="Q22" s="91">
        <f>Q23*0.7</f>
        <v>4968.7155113182753</v>
      </c>
      <c r="R22" s="82">
        <f>Q22/$Q$20*10^3</f>
        <v>5600</v>
      </c>
      <c r="S22" s="59"/>
      <c r="T22" s="185" t="s">
        <v>128</v>
      </c>
      <c r="U22" s="91">
        <f>U8-AD47</f>
        <v>1697.6388597384757</v>
      </c>
      <c r="V22" s="186">
        <f>U22/$U$20*10^3</f>
        <v>11.793254414681465</v>
      </c>
      <c r="W22" s="206">
        <v>0.15</v>
      </c>
      <c r="X22" s="59"/>
      <c r="Y22" s="179">
        <f>1-(U22/D8)</f>
        <v>0.93452377085470151</v>
      </c>
    </row>
    <row r="23" spans="1:29" s="53" customFormat="1" ht="12" customHeight="1">
      <c r="A23" s="58"/>
      <c r="B23" s="59"/>
      <c r="C23" s="80" t="s">
        <v>3</v>
      </c>
      <c r="D23" s="81">
        <f t="shared" si="2"/>
        <v>4825.482542459089</v>
      </c>
      <c r="E23" s="114">
        <f>AB6</f>
        <v>3461.0197672743088</v>
      </c>
      <c r="F23" s="59"/>
      <c r="G23" s="80" t="s">
        <v>3</v>
      </c>
      <c r="H23" s="81">
        <f>L35-H35</f>
        <v>1065.366275607852</v>
      </c>
      <c r="I23" s="114">
        <f>H23/$H$20*10^3</f>
        <v>2061.5804132566109</v>
      </c>
      <c r="J23" s="59"/>
      <c r="K23" s="80" t="s">
        <v>3</v>
      </c>
      <c r="L23" s="81">
        <f>P35-L35</f>
        <v>3760.116266851237</v>
      </c>
      <c r="M23" s="92">
        <f>L23/$L$20*10^3</f>
        <v>4285.2023190605714</v>
      </c>
      <c r="N23" s="59"/>
      <c r="O23" s="59"/>
      <c r="P23" s="80" t="s">
        <v>3</v>
      </c>
      <c r="Q23" s="91">
        <f>I42</f>
        <v>7098.1650161689649</v>
      </c>
      <c r="R23" s="82">
        <f>참조!D52*10^6</f>
        <v>8000</v>
      </c>
      <c r="S23" s="59"/>
      <c r="T23" s="185" t="s">
        <v>129</v>
      </c>
      <c r="U23" s="91">
        <f>U9-AD48</f>
        <v>449.23191907098249</v>
      </c>
      <c r="V23" s="186">
        <f>U23/$U$20*10^3</f>
        <v>3.1207499065000452</v>
      </c>
      <c r="W23" s="206">
        <v>0.5</v>
      </c>
      <c r="X23" s="59"/>
      <c r="Y23" s="179">
        <f>1-(U23/D9)</f>
        <v>0.98556131265112679</v>
      </c>
    </row>
    <row r="24" spans="1:29" s="53" customFormat="1" ht="12" customHeight="1">
      <c r="A24" s="58"/>
      <c r="B24" s="59"/>
      <c r="C24" s="80" t="s">
        <v>4</v>
      </c>
      <c r="D24" s="81">
        <f t="shared" si="2"/>
        <v>338.57155778341553</v>
      </c>
      <c r="E24" s="114">
        <f>AB7</f>
        <v>242.83642182535334</v>
      </c>
      <c r="F24" s="59"/>
      <c r="G24" s="80" t="s">
        <v>4</v>
      </c>
      <c r="H24" s="81">
        <f>L36-H36</f>
        <v>74.74956470542952</v>
      </c>
      <c r="I24" s="114">
        <f>H24/$H$20*10^3</f>
        <v>144.64719038365192</v>
      </c>
      <c r="J24" s="59"/>
      <c r="K24" s="80" t="s">
        <v>4</v>
      </c>
      <c r="L24" s="81">
        <f>P36-L36</f>
        <v>263.82199307798601</v>
      </c>
      <c r="M24" s="92">
        <f>L24/$L$20*10^3</f>
        <v>300.66373918370527</v>
      </c>
      <c r="N24" s="59"/>
      <c r="O24" s="59"/>
      <c r="P24" s="80" t="s">
        <v>4</v>
      </c>
      <c r="Q24" s="91">
        <f>Q23*AC31</f>
        <v>709.81650161689652</v>
      </c>
      <c r="R24" s="114">
        <f>Q24/$Q$20*10^3</f>
        <v>800</v>
      </c>
      <c r="S24" s="59"/>
      <c r="T24" s="185" t="s">
        <v>130</v>
      </c>
      <c r="U24" s="91">
        <f>U10*(1-W24)</f>
        <v>1040.2551456899293</v>
      </c>
      <c r="V24" s="186">
        <f>U24/$U$20*10^3</f>
        <v>7.2265037519185773</v>
      </c>
      <c r="W24" s="206">
        <v>0.3</v>
      </c>
      <c r="X24" s="59"/>
      <c r="Y24" s="179">
        <f>1-(U24/D10)</f>
        <v>0.84368208477524842</v>
      </c>
    </row>
    <row r="25" spans="1:29" s="53" customFormat="1" ht="12" customHeight="1" thickBot="1">
      <c r="A25" s="58"/>
      <c r="B25" s="59"/>
      <c r="C25" s="83" t="s">
        <v>5</v>
      </c>
      <c r="D25" s="84">
        <f t="shared" si="2"/>
        <v>188.89553862756304</v>
      </c>
      <c r="E25" s="115">
        <f>AB8</f>
        <v>135.48309378757492</v>
      </c>
      <c r="F25" s="59"/>
      <c r="G25" s="83" t="s">
        <v>5</v>
      </c>
      <c r="H25" s="84">
        <f>L37-H37</f>
        <v>41.704209826864599</v>
      </c>
      <c r="I25" s="115">
        <f>H25/$H$20*10^3</f>
        <v>80.701430200945126</v>
      </c>
      <c r="J25" s="59"/>
      <c r="K25" s="83" t="s">
        <v>5</v>
      </c>
      <c r="L25" s="84">
        <f>P37-L37</f>
        <v>147.19132880069844</v>
      </c>
      <c r="M25" s="95">
        <f>L25/$L$20*10^3</f>
        <v>167.7460426112176</v>
      </c>
      <c r="N25" s="59"/>
      <c r="O25" s="59"/>
      <c r="P25" s="83" t="s">
        <v>5</v>
      </c>
      <c r="Q25" s="94">
        <f>U44</f>
        <v>810.33961571516579</v>
      </c>
      <c r="R25" s="115">
        <f>Q25/Q20*10^3</f>
        <v>913.29476152699965</v>
      </c>
      <c r="S25" s="59"/>
      <c r="T25" s="187" t="s">
        <v>131</v>
      </c>
      <c r="U25" s="188">
        <f>U11-U17</f>
        <v>102.89318356254182</v>
      </c>
      <c r="V25" s="189">
        <f>U25/$U$20*10^3</f>
        <v>0.71478423360107946</v>
      </c>
      <c r="W25" s="207">
        <f>W17</f>
        <v>0.35</v>
      </c>
      <c r="X25" s="59"/>
      <c r="Y25" s="180">
        <f>1-(U25/D11)</f>
        <v>0.89176853766710529</v>
      </c>
    </row>
    <row r="26" spans="1:29" s="53" customFormat="1" ht="12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 t="s">
        <v>95</v>
      </c>
    </row>
    <row r="27" spans="1:29" s="53" customFormat="1" ht="12" customHeight="1" thickBo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100"/>
      <c r="X27" s="59"/>
      <c r="AA27" s="53">
        <f>P32/D6*100</f>
        <v>1.0318146923229081</v>
      </c>
    </row>
    <row r="28" spans="1:29" s="53" customFormat="1" ht="12" customHeight="1">
      <c r="A28" s="58"/>
      <c r="B28" s="59"/>
      <c r="C28" s="59"/>
      <c r="D28" s="59"/>
      <c r="E28" s="59"/>
      <c r="F28" s="59"/>
      <c r="G28" s="85" t="s">
        <v>82</v>
      </c>
      <c r="H28" s="87"/>
      <c r="I28" s="58"/>
      <c r="J28" s="59"/>
      <c r="K28" s="85" t="s">
        <v>145</v>
      </c>
      <c r="L28" s="87"/>
      <c r="M28" s="59"/>
      <c r="N28" s="59"/>
      <c r="O28" s="85" t="s">
        <v>88</v>
      </c>
      <c r="P28" s="86"/>
      <c r="Q28" s="87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 t="s">
        <v>89</v>
      </c>
      <c r="H29" s="215">
        <f>참조!G47</f>
        <v>0.95</v>
      </c>
      <c r="I29" s="58"/>
      <c r="J29" s="59"/>
      <c r="K29" s="60" t="s">
        <v>89</v>
      </c>
      <c r="L29" s="215">
        <f>참조!D56</f>
        <v>0.85</v>
      </c>
      <c r="M29" s="59"/>
      <c r="N29" s="59"/>
      <c r="O29" s="60" t="s">
        <v>141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93</v>
      </c>
      <c r="AC30" s="53" t="s">
        <v>111</v>
      </c>
    </row>
    <row r="31" spans="1:29" s="53" customFormat="1" ht="12" customHeight="1" thickBot="1">
      <c r="A31" s="58"/>
      <c r="B31" s="59"/>
      <c r="F31" s="59"/>
      <c r="G31" s="222" t="s">
        <v>86</v>
      </c>
      <c r="H31" s="223"/>
      <c r="I31" s="224"/>
      <c r="J31" s="59"/>
      <c r="K31" s="222" t="s">
        <v>84</v>
      </c>
      <c r="L31" s="223"/>
      <c r="M31" s="224"/>
      <c r="N31" s="59"/>
      <c r="O31" s="222" t="s">
        <v>87</v>
      </c>
      <c r="P31" s="223"/>
      <c r="Q31" s="224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>P37/P35*100</f>
        <v>3.9145419544156281</v>
      </c>
      <c r="AC31" s="163">
        <v>0.1</v>
      </c>
    </row>
    <row r="32" spans="1:29" s="53" customFormat="1" ht="12" customHeight="1" thickTop="1">
      <c r="A32" s="58"/>
      <c r="B32" s="59"/>
      <c r="F32" s="59"/>
      <c r="G32" s="112" t="s">
        <v>74</v>
      </c>
      <c r="H32" s="227">
        <f>H35/I35*10^3</f>
        <v>92.008905620677993</v>
      </c>
      <c r="I32" s="228"/>
      <c r="J32" s="59"/>
      <c r="K32" s="112" t="s">
        <v>74</v>
      </c>
      <c r="L32" s="229">
        <f>L35/M35*10^3</f>
        <v>608.78072891877173</v>
      </c>
      <c r="M32" s="226"/>
      <c r="N32" s="59"/>
      <c r="O32" s="79" t="s">
        <v>74</v>
      </c>
      <c r="P32" s="229">
        <f t="shared" ref="P32:P37" si="3">Q20+L6</f>
        <v>1486.2465191157635</v>
      </c>
      <c r="Q32" s="226"/>
      <c r="R32" s="59"/>
      <c r="S32" s="59"/>
      <c r="T32" s="59"/>
      <c r="U32" s="59"/>
      <c r="V32" s="59"/>
      <c r="W32" s="100"/>
      <c r="X32" s="59"/>
      <c r="Z32" s="53" t="s">
        <v>94</v>
      </c>
      <c r="AA32" s="53">
        <f>P37/P35/0.8*100</f>
        <v>4.8931774430195345</v>
      </c>
    </row>
    <row r="33" spans="1:31" s="53" customFormat="1" ht="12" customHeight="1">
      <c r="A33" s="58"/>
      <c r="B33" s="59"/>
      <c r="F33" s="59"/>
      <c r="G33" s="80" t="s">
        <v>2</v>
      </c>
      <c r="H33" s="81">
        <f>L33*$H$29</f>
        <v>11945.190705206525</v>
      </c>
      <c r="I33" s="154">
        <f>H33/$H$32*10^3</f>
        <v>129826.46217370043</v>
      </c>
      <c r="J33" s="59"/>
      <c r="K33" s="80" t="s">
        <v>2</v>
      </c>
      <c r="L33" s="81">
        <f>P33*$L$29</f>
        <v>12573.884952848975</v>
      </c>
      <c r="M33" s="92">
        <f>L33/L32*10^3</f>
        <v>20654.209891270526</v>
      </c>
      <c r="N33" s="59"/>
      <c r="O33" s="80" t="s">
        <v>2</v>
      </c>
      <c r="P33" s="81">
        <f t="shared" si="3"/>
        <v>14792.805826881147</v>
      </c>
      <c r="Q33" s="92">
        <f>P33/$P$32*10^3</f>
        <v>9953.1306796143544</v>
      </c>
      <c r="R33" s="59"/>
      <c r="S33" s="59"/>
      <c r="T33" s="59"/>
      <c r="U33" s="59"/>
      <c r="V33" s="59"/>
      <c r="W33" s="100"/>
      <c r="X33" s="59"/>
    </row>
    <row r="34" spans="1:31" s="53" customFormat="1" ht="12" customHeight="1">
      <c r="A34" s="58"/>
      <c r="B34" s="59"/>
      <c r="F34" s="59"/>
      <c r="G34" s="80" t="s">
        <v>50</v>
      </c>
      <c r="H34" s="81">
        <f>L34*$H$29</f>
        <v>10924.053132896157</v>
      </c>
      <c r="I34" s="154">
        <f>H34/$H$32*10^3</f>
        <v>118728.21504836043</v>
      </c>
      <c r="J34" s="59"/>
      <c r="K34" s="80" t="s">
        <v>50</v>
      </c>
      <c r="L34" s="81">
        <f>P34*$L$29</f>
        <v>11499.00329778543</v>
      </c>
      <c r="M34" s="92">
        <f>L34/$L$32*10^3</f>
        <v>18888.579666784619</v>
      </c>
      <c r="N34" s="59"/>
      <c r="O34" s="80" t="s">
        <v>50</v>
      </c>
      <c r="P34" s="81">
        <f t="shared" si="3"/>
        <v>13528.239173865211</v>
      </c>
      <c r="Q34" s="92">
        <f>P34/$P$32*10^3</f>
        <v>9102.2848496989482</v>
      </c>
      <c r="R34" s="59"/>
      <c r="S34" s="59"/>
      <c r="T34" s="59"/>
      <c r="U34" s="59"/>
      <c r="V34" s="59"/>
      <c r="W34" s="100"/>
      <c r="X34" s="59"/>
    </row>
    <row r="35" spans="1:31" s="53" customFormat="1" ht="12" customHeight="1">
      <c r="A35" s="58"/>
      <c r="B35" s="59"/>
      <c r="F35" s="59"/>
      <c r="G35" s="80" t="s">
        <v>3</v>
      </c>
      <c r="H35" s="81">
        <f>L35*$H$29</f>
        <v>20241.959236549159</v>
      </c>
      <c r="I35" s="154">
        <f>참조!G48*10^6</f>
        <v>220000</v>
      </c>
      <c r="J35" s="59"/>
      <c r="K35" s="80" t="s">
        <v>3</v>
      </c>
      <c r="L35" s="81">
        <f>P35*$L$29</f>
        <v>21307.325512157011</v>
      </c>
      <c r="M35" s="92">
        <f>참조!D57*10^6</f>
        <v>35000</v>
      </c>
      <c r="N35" s="59"/>
      <c r="O35" s="80" t="s">
        <v>3</v>
      </c>
      <c r="P35" s="81">
        <f t="shared" si="3"/>
        <v>25067.441779008248</v>
      </c>
      <c r="Q35" s="92">
        <f>P35/$P$32*10^3</f>
        <v>16866.274508701306</v>
      </c>
      <c r="R35" s="59"/>
      <c r="S35" s="59"/>
      <c r="T35" s="59"/>
      <c r="U35" s="59"/>
      <c r="V35" s="59"/>
      <c r="W35" s="100"/>
      <c r="X35" s="59"/>
    </row>
    <row r="36" spans="1:31" s="53" customFormat="1" ht="12" customHeight="1">
      <c r="A36" s="58"/>
      <c r="B36" s="59"/>
      <c r="F36" s="59"/>
      <c r="G36" s="80" t="s">
        <v>4</v>
      </c>
      <c r="H36" s="81">
        <f>L36*$H$29</f>
        <v>1420.2417294031577</v>
      </c>
      <c r="I36" s="154">
        <f>H36/$H$32*10^3</f>
        <v>15435.915902079525</v>
      </c>
      <c r="J36" s="59"/>
      <c r="K36" s="80" t="s">
        <v>4</v>
      </c>
      <c r="L36" s="81">
        <f>P36*$L$29</f>
        <v>1494.9912941085872</v>
      </c>
      <c r="M36" s="92">
        <f>L36/$L$32*10^3</f>
        <v>2455.7138935126522</v>
      </c>
      <c r="N36" s="59"/>
      <c r="O36" s="80" t="s">
        <v>4</v>
      </c>
      <c r="P36" s="81">
        <f t="shared" si="3"/>
        <v>1758.8132871865732</v>
      </c>
      <c r="Q36" s="92">
        <f>P36/$P$32*10^3</f>
        <v>1183.3927040804592</v>
      </c>
      <c r="R36" s="59"/>
      <c r="S36" s="59"/>
      <c r="T36" s="59"/>
      <c r="U36" s="59"/>
      <c r="V36" s="59"/>
      <c r="W36" s="100"/>
      <c r="X36" s="59"/>
    </row>
    <row r="37" spans="1:31" s="53" customFormat="1" ht="12.75" customHeight="1">
      <c r="A37" s="58"/>
      <c r="B37" s="59"/>
      <c r="F37" s="59"/>
      <c r="G37" s="83" t="s">
        <v>5</v>
      </c>
      <c r="H37" s="84">
        <f>L37*$H$29</f>
        <v>792.37998671042612</v>
      </c>
      <c r="I37" s="155">
        <f>H37/$H$32*10^3</f>
        <v>8611.9922997143822</v>
      </c>
      <c r="J37" s="59"/>
      <c r="K37" s="83" t="s">
        <v>5</v>
      </c>
      <c r="L37" s="84">
        <f>P37*$L$29</f>
        <v>834.08419653729072</v>
      </c>
      <c r="M37" s="95">
        <f>L37/$L$32*10^3</f>
        <v>1370.0896840454698</v>
      </c>
      <c r="N37" s="59"/>
      <c r="O37" s="83" t="s">
        <v>5</v>
      </c>
      <c r="P37" s="84">
        <f t="shared" si="3"/>
        <v>981.27552533798917</v>
      </c>
      <c r="Q37" s="95">
        <f>P37/$P$32*10^3</f>
        <v>660.23739179002098</v>
      </c>
      <c r="R37" s="59"/>
      <c r="S37" s="59"/>
      <c r="T37" s="59"/>
      <c r="U37" s="59"/>
      <c r="V37" s="59"/>
      <c r="W37" s="100"/>
      <c r="X37" s="59"/>
    </row>
    <row r="38" spans="1:31" s="53" customFormat="1" ht="12" customHeight="1" thickBot="1">
      <c r="A38" s="60"/>
      <c r="B38" s="61"/>
      <c r="C38" s="61"/>
      <c r="D38" s="216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88"/>
      <c r="X38" s="59"/>
    </row>
    <row r="39" spans="1:31" s="53" customFormat="1" ht="12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59"/>
    </row>
    <row r="40" spans="1:31" s="53" customFormat="1" ht="12" customHeight="1"/>
    <row r="41" spans="1:31" s="53" customFormat="1" ht="12" customHeight="1">
      <c r="T41" s="53" t="s">
        <v>123</v>
      </c>
      <c r="U41" s="53" t="s">
        <v>124</v>
      </c>
    </row>
    <row r="42" spans="1:31" ht="12" customHeight="1" thickBot="1">
      <c r="D42" s="49" t="s">
        <v>110</v>
      </c>
      <c r="I42" s="49">
        <f>(F44*F45)-(F46*G47)+(F48*F49)</f>
        <v>7098.1650161689649</v>
      </c>
      <c r="N42" s="49" t="s">
        <v>114</v>
      </c>
      <c r="R42" s="49" t="s">
        <v>122</v>
      </c>
      <c r="T42" s="49">
        <f>(P44/(1+(P45*P46))*P43*P47)</f>
        <v>4.6884036545297469</v>
      </c>
      <c r="U42" s="49">
        <f>P6*T42/10^3</f>
        <v>679.05554389539031</v>
      </c>
    </row>
    <row r="43" spans="1:31" ht="12" customHeight="1" thickBot="1">
      <c r="K43" s="133" t="s">
        <v>1</v>
      </c>
      <c r="L43" s="160"/>
      <c r="N43" s="49" t="s">
        <v>115</v>
      </c>
      <c r="P43" s="49">
        <f>L49*참조!H6</f>
        <v>70.326054817946201</v>
      </c>
      <c r="T43" s="49">
        <f>L49*참조!H7*(P44/(1+P45*P46))*P48</f>
        <v>0.9064247065424178</v>
      </c>
      <c r="U43" s="49">
        <f>P6*T43/10^3</f>
        <v>131.28407181977548</v>
      </c>
    </row>
    <row r="44" spans="1:31" ht="20.100000000000001" customHeight="1" thickTop="1" thickBot="1">
      <c r="C44" s="49" t="s">
        <v>103</v>
      </c>
      <c r="D44" s="49" t="s">
        <v>101</v>
      </c>
      <c r="F44" s="49">
        <v>0.4</v>
      </c>
      <c r="K44" s="169" t="s">
        <v>2</v>
      </c>
      <c r="L44" s="172">
        <f>Q7</f>
        <v>169.70160670698013</v>
      </c>
      <c r="N44" s="49" t="s">
        <v>116</v>
      </c>
      <c r="P44" s="49">
        <f>0.4</f>
        <v>0.4</v>
      </c>
      <c r="U44" s="49">
        <f>SUM(U42:U43)</f>
        <v>810.33961571516579</v>
      </c>
      <c r="Y44" s="222" t="s">
        <v>139</v>
      </c>
      <c r="Z44" s="223"/>
      <c r="AA44" s="224"/>
      <c r="AC44" s="222" t="s">
        <v>132</v>
      </c>
      <c r="AD44" s="223"/>
      <c r="AE44" s="224"/>
    </row>
    <row r="45" spans="1:31" ht="20.100000000000001" customHeight="1" thickTop="1">
      <c r="C45" s="49" t="s">
        <v>104</v>
      </c>
      <c r="D45" s="49" t="s">
        <v>98</v>
      </c>
      <c r="F45" s="162">
        <f>P7-U7</f>
        <v>23227.264531881388</v>
      </c>
      <c r="K45" s="170" t="s">
        <v>43</v>
      </c>
      <c r="L45" s="173">
        <f>Q8</f>
        <v>137.89422513322785</v>
      </c>
      <c r="N45" s="49" t="s">
        <v>117</v>
      </c>
      <c r="P45" s="49">
        <f>0.08</f>
        <v>0.08</v>
      </c>
      <c r="Y45" s="112" t="s">
        <v>74</v>
      </c>
      <c r="Z45" s="225">
        <v>180</v>
      </c>
      <c r="AA45" s="226"/>
      <c r="AC45" s="112" t="s">
        <v>74</v>
      </c>
      <c r="AD45" s="225">
        <f t="shared" ref="AD45:AD50" si="4">U6*W20</f>
        <v>0</v>
      </c>
      <c r="AE45" s="226"/>
    </row>
    <row r="46" spans="1:31" ht="20.100000000000001" customHeight="1">
      <c r="C46" s="49" t="s">
        <v>105</v>
      </c>
      <c r="D46" s="49" t="s">
        <v>99</v>
      </c>
      <c r="F46" s="49">
        <v>0.05</v>
      </c>
      <c r="K46" s="170" t="s">
        <v>3</v>
      </c>
      <c r="L46" s="173">
        <f>Q9</f>
        <v>124.06528980069793</v>
      </c>
      <c r="N46" s="49" t="s">
        <v>118</v>
      </c>
      <c r="P46" s="49">
        <f>참조!I24</f>
        <v>10</v>
      </c>
      <c r="Y46" s="80" t="s">
        <v>2</v>
      </c>
      <c r="Z46" s="91">
        <v>677</v>
      </c>
      <c r="AA46" s="114">
        <f>Z46/$Z$45*10^3</f>
        <v>3761.1111111111109</v>
      </c>
      <c r="AC46" s="80" t="s">
        <v>2</v>
      </c>
      <c r="AD46" s="91">
        <f t="shared" si="4"/>
        <v>405.55541246142138</v>
      </c>
      <c r="AE46" s="114" t="e">
        <f>AD46/$AD$45*10^3</f>
        <v>#DIV/0!</v>
      </c>
    </row>
    <row r="47" spans="1:31" ht="20.100000000000001" customHeight="1">
      <c r="C47" s="49" t="s">
        <v>106</v>
      </c>
      <c r="D47" s="49" t="s">
        <v>100</v>
      </c>
      <c r="F47" s="49">
        <f>참조!$I$25*참조!$I$26</f>
        <v>2000</v>
      </c>
      <c r="G47" s="49">
        <f>F47*P6/10^3</f>
        <v>289674.52204731316</v>
      </c>
      <c r="K47" s="170" t="s">
        <v>4</v>
      </c>
      <c r="L47" s="173">
        <f>Q10</f>
        <v>41.041338922152569</v>
      </c>
      <c r="N47" s="49" t="s">
        <v>119</v>
      </c>
      <c r="P47" s="49">
        <f>0.3</f>
        <v>0.3</v>
      </c>
      <c r="Y47" s="80" t="s">
        <v>50</v>
      </c>
      <c r="Z47" s="91">
        <v>572</v>
      </c>
      <c r="AA47" s="114">
        <f>Z47/$Z$45*10^3</f>
        <v>3177.7777777777774</v>
      </c>
      <c r="AC47" s="80" t="s">
        <v>50</v>
      </c>
      <c r="AD47" s="91">
        <f t="shared" si="4"/>
        <v>299.58332818914278</v>
      </c>
      <c r="AE47" s="114" t="e">
        <f>AD47/$AD$45*10^3</f>
        <v>#DIV/0!</v>
      </c>
    </row>
    <row r="48" spans="1:31" ht="20.100000000000001" customHeight="1" thickBot="1">
      <c r="C48" s="49" t="s">
        <v>107</v>
      </c>
      <c r="D48" s="49" t="s">
        <v>102</v>
      </c>
      <c r="F48" s="49">
        <v>0.72</v>
      </c>
      <c r="K48" s="171" t="s">
        <v>5</v>
      </c>
      <c r="L48" s="174">
        <f>Q11</f>
        <v>6.6877598647615262</v>
      </c>
      <c r="N48" s="49" t="s">
        <v>120</v>
      </c>
      <c r="P48" s="49">
        <v>0.02</v>
      </c>
      <c r="Y48" s="80" t="s">
        <v>3</v>
      </c>
      <c r="Z48" s="91">
        <v>2866</v>
      </c>
      <c r="AA48" s="114">
        <f>Z48/$Z$45*10^3</f>
        <v>15922.222222222223</v>
      </c>
      <c r="AC48" s="80" t="s">
        <v>3</v>
      </c>
      <c r="AD48" s="91">
        <f t="shared" si="4"/>
        <v>449.23191907098249</v>
      </c>
      <c r="AE48" s="114" t="e">
        <f>AD48/$AD$45*10^3</f>
        <v>#DIV/0!</v>
      </c>
    </row>
    <row r="49" spans="3:31" ht="20.100000000000001" customHeight="1">
      <c r="C49" s="49" t="s">
        <v>108</v>
      </c>
      <c r="D49" s="49" t="s">
        <v>109</v>
      </c>
      <c r="F49" s="162">
        <f>P9-U9</f>
        <v>17070.812924697319</v>
      </c>
      <c r="K49" s="170" t="s">
        <v>44</v>
      </c>
      <c r="L49" s="173">
        <f>L45*1.7</f>
        <v>234.42018272648733</v>
      </c>
      <c r="N49" s="49" t="s">
        <v>121</v>
      </c>
      <c r="P49" s="168">
        <f>V9</f>
        <v>6.2414998130000905</v>
      </c>
      <c r="Y49" s="80" t="s">
        <v>4</v>
      </c>
      <c r="Z49" s="91">
        <v>247</v>
      </c>
      <c r="AA49" s="114">
        <f>Z49/$Z$45*10^3</f>
        <v>1372.2222222222222</v>
      </c>
      <c r="AC49" s="80" t="s">
        <v>4</v>
      </c>
      <c r="AD49" s="91">
        <f t="shared" si="4"/>
        <v>445.82363386711262</v>
      </c>
      <c r="AE49" s="114" t="e">
        <f>AD49/$AD$45*10^3</f>
        <v>#DIV/0!</v>
      </c>
    </row>
    <row r="50" spans="3:31">
      <c r="Y50" s="83" t="s">
        <v>5</v>
      </c>
      <c r="Z50" s="94">
        <v>19</v>
      </c>
      <c r="AA50" s="115">
        <f>Z50/$Z$45*10^3</f>
        <v>105.55555555555556</v>
      </c>
      <c r="AC50" s="83" t="s">
        <v>5</v>
      </c>
      <c r="AD50" s="94">
        <f t="shared" si="4"/>
        <v>55.40402191829174</v>
      </c>
      <c r="AE50" s="115" t="e">
        <f>AD50/$AD$45*10^3</f>
        <v>#DIV/0!</v>
      </c>
    </row>
  </sheetData>
  <mergeCells count="20">
    <mergeCell ref="U6:V6"/>
    <mergeCell ref="D20:E20"/>
    <mergeCell ref="H20:I20"/>
    <mergeCell ref="L20:M20"/>
    <mergeCell ref="Q20:R20"/>
    <mergeCell ref="D6:E6"/>
    <mergeCell ref="H6:I6"/>
    <mergeCell ref="L6:M6"/>
    <mergeCell ref="P6:Q6"/>
    <mergeCell ref="U20:V20"/>
    <mergeCell ref="AC44:AE44"/>
    <mergeCell ref="AD45:AE45"/>
    <mergeCell ref="Y44:AA44"/>
    <mergeCell ref="G31:I31"/>
    <mergeCell ref="K31:M31"/>
    <mergeCell ref="O31:Q31"/>
    <mergeCell ref="Z45:AA45"/>
    <mergeCell ref="H32:I32"/>
    <mergeCell ref="L32:M32"/>
    <mergeCell ref="P32:Q32"/>
  </mergeCells>
  <phoneticPr fontId="1" type="noConversion"/>
  <conditionalFormatting sqref="AB2">
    <cfRule type="cellIs" dxfId="3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E49"/>
  <sheetViews>
    <sheetView view="pageBreakPreview" zoomScaleSheetLayoutView="100" workbookViewId="0">
      <selection activeCell="AB2" sqref="AB2:AB8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s="214" customFormat="1" ht="14.25" customHeight="1">
      <c r="A1" s="218"/>
      <c r="B1" s="219"/>
      <c r="C1" s="220" t="s">
        <v>150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1"/>
      <c r="X1" s="211"/>
      <c r="Y1" s="213"/>
      <c r="Z1" s="59"/>
      <c r="AA1" s="113" t="s">
        <v>91</v>
      </c>
      <c r="AB1" s="113" t="s">
        <v>90</v>
      </c>
      <c r="AC1" s="52"/>
      <c r="AD1" s="52"/>
    </row>
    <row r="2" spans="1:30" s="52" customFormat="1" ht="16.5" customHeight="1">
      <c r="A2" s="175"/>
      <c r="B2" s="76"/>
      <c r="C2" s="217" t="s">
        <v>149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142</v>
      </c>
      <c r="V2" s="76"/>
      <c r="W2" s="201"/>
      <c r="X2" s="57"/>
      <c r="Z2" s="113" t="s">
        <v>83</v>
      </c>
      <c r="AA2" s="156">
        <f>P31-L31</f>
        <v>794.91561234019514</v>
      </c>
      <c r="AB2" s="156">
        <v>794.91563233937529</v>
      </c>
      <c r="AC2" s="53"/>
      <c r="AD2" s="132">
        <f>AA2-AB2</f>
        <v>-1.9999180153718044E-5</v>
      </c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1"/>
      <c r="X3" s="76"/>
      <c r="Z3" s="113" t="s">
        <v>85</v>
      </c>
      <c r="AA3" s="156">
        <f>L31-H31</f>
        <v>468.21995884038529</v>
      </c>
      <c r="AB3" s="156">
        <v>468.21996683487657</v>
      </c>
      <c r="AC3" s="53"/>
      <c r="AD3" s="132">
        <f t="shared" ref="AD3:AD8" si="0">AA3-AB3</f>
        <v>-7.9944912840801408E-6</v>
      </c>
    </row>
    <row r="4" spans="1:30" s="52" customFormat="1" ht="12" customHeight="1" thickBot="1">
      <c r="A4" s="175"/>
      <c r="B4" s="76"/>
      <c r="C4" s="77" t="s">
        <v>97</v>
      </c>
      <c r="D4" s="101"/>
      <c r="E4" s="102"/>
      <c r="F4" s="76"/>
      <c r="G4" s="103" t="s">
        <v>76</v>
      </c>
      <c r="H4" s="104"/>
      <c r="I4" s="105"/>
      <c r="J4" s="124"/>
      <c r="K4" s="109" t="s">
        <v>112</v>
      </c>
      <c r="L4" s="110"/>
      <c r="M4" s="111"/>
      <c r="N4" s="59"/>
      <c r="O4" s="103" t="s">
        <v>143</v>
      </c>
      <c r="P4" s="131"/>
      <c r="Q4" s="102"/>
      <c r="R4" s="76"/>
      <c r="S4" s="76"/>
      <c r="T4" s="103" t="s">
        <v>79</v>
      </c>
      <c r="U4" s="104"/>
      <c r="V4" s="105"/>
      <c r="W4" s="201"/>
      <c r="X4" s="57"/>
      <c r="Z4" s="113" t="s">
        <v>92</v>
      </c>
      <c r="AA4" s="157">
        <f>D20/$D$19*10^3</f>
        <v>2071.6213742085938</v>
      </c>
      <c r="AB4" s="157">
        <v>2071.6210893985267</v>
      </c>
      <c r="AC4" s="53"/>
      <c r="AD4" s="132">
        <f t="shared" si="0"/>
        <v>2.8481006711444934E-4</v>
      </c>
    </row>
    <row r="5" spans="1:30" s="53" customFormat="1" ht="12" customHeight="1" thickTop="1">
      <c r="A5" s="58"/>
      <c r="B5" s="59"/>
      <c r="C5" s="112" t="s">
        <v>74</v>
      </c>
      <c r="D5" s="225">
        <v>136856</v>
      </c>
      <c r="E5" s="226"/>
      <c r="F5" s="123"/>
      <c r="G5" s="130" t="s">
        <v>74</v>
      </c>
      <c r="H5" s="225">
        <f>D5+D19</f>
        <v>138119.13559917425</v>
      </c>
      <c r="I5" s="226"/>
      <c r="J5" s="125"/>
      <c r="K5" s="79" t="s">
        <v>74</v>
      </c>
      <c r="L5" s="225">
        <f>L8/M8*10^3</f>
        <v>542.740885405418</v>
      </c>
      <c r="M5" s="226"/>
      <c r="N5" s="116" t="s">
        <v>77</v>
      </c>
      <c r="O5" s="130" t="s">
        <v>74</v>
      </c>
      <c r="P5" s="225">
        <f t="shared" ref="P5:P10" si="1">H5-L5</f>
        <v>137576.39471376882</v>
      </c>
      <c r="Q5" s="226"/>
      <c r="R5" s="116" t="s">
        <v>77</v>
      </c>
      <c r="S5" s="59"/>
      <c r="T5" s="90" t="s">
        <v>74</v>
      </c>
      <c r="U5" s="225">
        <f>P5-Q19</f>
        <v>136772.63556410375</v>
      </c>
      <c r="V5" s="226"/>
      <c r="W5" s="100"/>
      <c r="X5" s="59"/>
      <c r="Z5" s="59"/>
      <c r="AA5" s="157">
        <f>D21/$D$19*10^3</f>
        <v>1876.7989404848427</v>
      </c>
      <c r="AB5" s="157">
        <v>1876.798688570261</v>
      </c>
      <c r="AD5" s="132">
        <f t="shared" si="0"/>
        <v>2.5191458166773373E-4</v>
      </c>
    </row>
    <row r="6" spans="1:30" s="53" customFormat="1" ht="12" customHeight="1">
      <c r="A6" s="58"/>
      <c r="B6" s="59"/>
      <c r="C6" s="80" t="s">
        <v>2</v>
      </c>
      <c r="D6" s="91">
        <f>$D$5*E6/10^3</f>
        <v>29834.608</v>
      </c>
      <c r="E6" s="97">
        <v>218</v>
      </c>
      <c r="F6" s="123"/>
      <c r="G6" s="93" t="s">
        <v>2</v>
      </c>
      <c r="H6" s="91">
        <f>$H$5*I6/10^3</f>
        <v>32451.346346019425</v>
      </c>
      <c r="I6" s="97">
        <f>($D$5*E6+$D$19*E20)/$H$5</f>
        <v>234.95184939611971</v>
      </c>
      <c r="J6" s="126"/>
      <c r="K6" s="80" t="s">
        <v>2</v>
      </c>
      <c r="L6" s="91">
        <f>H6*N6</f>
        <v>9735.4039038058272</v>
      </c>
      <c r="M6" s="82">
        <f>L6/$L$5*10^3</f>
        <v>17937.480233378126</v>
      </c>
      <c r="N6" s="117">
        <v>0.3</v>
      </c>
      <c r="O6" s="93" t="s">
        <v>2</v>
      </c>
      <c r="P6" s="91">
        <f t="shared" si="1"/>
        <v>22715.9424422136</v>
      </c>
      <c r="Q6" s="97">
        <f>P6/$P$5*10^3</f>
        <v>165.11511651017383</v>
      </c>
      <c r="R6" s="120">
        <v>0.94499999999999995</v>
      </c>
      <c r="S6" s="59"/>
      <c r="T6" s="93" t="s">
        <v>2</v>
      </c>
      <c r="U6" s="91">
        <f>P6*(1-R6)</f>
        <v>1249.3768343217491</v>
      </c>
      <c r="V6" s="97">
        <f>U6/$U$5*10^3</f>
        <v>9.13469883188864</v>
      </c>
      <c r="W6" s="100"/>
      <c r="X6" s="59"/>
      <c r="Z6" s="59"/>
      <c r="AA6" s="157">
        <f>D22/$D$19*10^3</f>
        <v>3461.3209433402858</v>
      </c>
      <c r="AB6" s="157">
        <v>3461.3204846599692</v>
      </c>
      <c r="AD6" s="132">
        <f t="shared" si="0"/>
        <v>4.5868031656937092E-4</v>
      </c>
    </row>
    <row r="7" spans="1:30" s="53" customFormat="1" ht="12" customHeight="1">
      <c r="A7" s="58"/>
      <c r="B7" s="59"/>
      <c r="C7" s="80" t="s">
        <v>50</v>
      </c>
      <c r="D7" s="91">
        <f>$D$5*E7/10^3</f>
        <v>23676.088</v>
      </c>
      <c r="E7" s="97">
        <v>173</v>
      </c>
      <c r="F7" s="123"/>
      <c r="G7" s="93" t="s">
        <v>50</v>
      </c>
      <c r="H7" s="91">
        <f>$H$5*I7/10^3</f>
        <v>26046.739236016645</v>
      </c>
      <c r="I7" s="97">
        <f>($D$5*E7+$D$19*E21)/$H$5</f>
        <v>188.58168437721071</v>
      </c>
      <c r="J7" s="126"/>
      <c r="K7" s="80" t="s">
        <v>50</v>
      </c>
      <c r="L7" s="91">
        <f>H7*N7</f>
        <v>7814.0217708049931</v>
      </c>
      <c r="M7" s="82">
        <f>L7/$L$5*10^3</f>
        <v>14397.333941348557</v>
      </c>
      <c r="N7" s="118">
        <v>0.3</v>
      </c>
      <c r="O7" s="93" t="s">
        <v>50</v>
      </c>
      <c r="P7" s="91">
        <f t="shared" si="1"/>
        <v>18232.717465211652</v>
      </c>
      <c r="Q7" s="97">
        <f>P7/$P$5*10^3</f>
        <v>132.52794931241863</v>
      </c>
      <c r="R7" s="120">
        <v>0.9</v>
      </c>
      <c r="S7" s="59"/>
      <c r="T7" s="93" t="s">
        <v>50</v>
      </c>
      <c r="U7" s="91">
        <f>P7*(1-R7)</f>
        <v>1823.2717465211647</v>
      </c>
      <c r="V7" s="97">
        <f>U7/$U$5*10^3</f>
        <v>13.330676410535485</v>
      </c>
      <c r="W7" s="100"/>
      <c r="X7" s="59"/>
      <c r="Z7" s="59"/>
      <c r="AA7" s="157">
        <f>D23/$D$19*10^3</f>
        <v>242.00959777511505</v>
      </c>
      <c r="AB7" s="157">
        <v>242.00956487401621</v>
      </c>
      <c r="AD7" s="132">
        <f t="shared" si="0"/>
        <v>3.2901098848014954E-5</v>
      </c>
    </row>
    <row r="8" spans="1:30" s="53" customFormat="1" ht="12" customHeight="1">
      <c r="A8" s="58"/>
      <c r="B8" s="59"/>
      <c r="C8" s="80" t="s">
        <v>3</v>
      </c>
      <c r="D8" s="91">
        <f>$D$5*E8/10^3</f>
        <v>28192.335999999999</v>
      </c>
      <c r="E8" s="97">
        <v>206</v>
      </c>
      <c r="F8" s="123"/>
      <c r="G8" s="93" t="s">
        <v>3</v>
      </c>
      <c r="H8" s="91">
        <f>$H$5*I8/10^3</f>
        <v>32564.453124325082</v>
      </c>
      <c r="I8" s="97">
        <f>($D$5*E8+$D$19*E22)/$H$5</f>
        <v>235.77075676775209</v>
      </c>
      <c r="J8" s="126"/>
      <c r="K8" s="80" t="s">
        <v>3</v>
      </c>
      <c r="L8" s="91">
        <f>H8*N8</f>
        <v>16282.226562162541</v>
      </c>
      <c r="M8" s="82">
        <f>참조!D20*10^6</f>
        <v>30000</v>
      </c>
      <c r="N8" s="118">
        <v>0.5</v>
      </c>
      <c r="O8" s="93" t="s">
        <v>3</v>
      </c>
      <c r="P8" s="91">
        <f t="shared" si="1"/>
        <v>16282.226562162541</v>
      </c>
      <c r="Q8" s="97">
        <f>P8/$P$5*10^3</f>
        <v>118.35043792242213</v>
      </c>
      <c r="R8" s="120">
        <v>0.95</v>
      </c>
      <c r="S8" s="59"/>
      <c r="T8" s="93" t="s">
        <v>3</v>
      </c>
      <c r="U8" s="91">
        <f>P8*(1-R8)</f>
        <v>814.11132810812774</v>
      </c>
      <c r="V8" s="97">
        <f>U8/$U$5*10^3</f>
        <v>5.9522968520012407</v>
      </c>
      <c r="W8" s="100"/>
      <c r="X8" s="59"/>
      <c r="Z8" s="59"/>
      <c r="AA8" s="157">
        <f>D24/$D$19*10^3</f>
        <v>136.70849870703631</v>
      </c>
      <c r="AB8" s="157">
        <v>136.70847933775721</v>
      </c>
      <c r="AD8" s="132">
        <f t="shared" si="0"/>
        <v>1.9369279101510983E-5</v>
      </c>
    </row>
    <row r="9" spans="1:30" s="53" customFormat="1" ht="12" customHeight="1">
      <c r="A9" s="58"/>
      <c r="B9" s="59"/>
      <c r="C9" s="80" t="s">
        <v>4</v>
      </c>
      <c r="D9" s="91">
        <f>$D$5*E9/10^3</f>
        <v>5994.2928000000002</v>
      </c>
      <c r="E9" s="98">
        <v>43.8</v>
      </c>
      <c r="F9" s="123"/>
      <c r="G9" s="93" t="s">
        <v>4</v>
      </c>
      <c r="H9" s="91">
        <f>$H$5*I9/10^3</f>
        <v>6299.9836967330411</v>
      </c>
      <c r="I9" s="97">
        <f>($D$5*E9+$D$19*E23)/$H$5</f>
        <v>45.61267828243421</v>
      </c>
      <c r="J9" s="127"/>
      <c r="K9" s="80" t="s">
        <v>4</v>
      </c>
      <c r="L9" s="91">
        <f>H9*N9</f>
        <v>944.9975545099561</v>
      </c>
      <c r="M9" s="114">
        <f>L9/$L$5*10^3</f>
        <v>1741.1578525248922</v>
      </c>
      <c r="N9" s="118">
        <v>0.15</v>
      </c>
      <c r="O9" s="93" t="s">
        <v>4</v>
      </c>
      <c r="P9" s="91">
        <f t="shared" si="1"/>
        <v>5354.9861422230852</v>
      </c>
      <c r="Q9" s="98">
        <f>P9/$P$5*10^3</f>
        <v>38.923727819472731</v>
      </c>
      <c r="R9" s="120">
        <v>0.75</v>
      </c>
      <c r="S9" s="59"/>
      <c r="T9" s="93" t="s">
        <v>4</v>
      </c>
      <c r="U9" s="91">
        <f>P9*(1-R9)</f>
        <v>1338.7465355557713</v>
      </c>
      <c r="V9" s="98">
        <f>U9/$U$5*10^3</f>
        <v>9.7881168263977507</v>
      </c>
      <c r="W9" s="100"/>
      <c r="X9" s="59"/>
    </row>
    <row r="10" spans="1:30" s="53" customFormat="1" ht="12" customHeight="1">
      <c r="A10" s="58"/>
      <c r="B10" s="59"/>
      <c r="C10" s="83" t="s">
        <v>5</v>
      </c>
      <c r="D10" s="94">
        <f>$D$5*E10/10^3</f>
        <v>875.87840000000006</v>
      </c>
      <c r="E10" s="99">
        <v>6.4</v>
      </c>
      <c r="F10" s="123"/>
      <c r="G10" s="96" t="s">
        <v>5</v>
      </c>
      <c r="H10" s="94">
        <f>$H$5*I10/10^3</f>
        <v>1048.5597469604988</v>
      </c>
      <c r="I10" s="122">
        <f>($D$5*E10+$D$19*E24)/$H$5</f>
        <v>7.5917051059706147</v>
      </c>
      <c r="J10" s="127"/>
      <c r="K10" s="83" t="s">
        <v>5</v>
      </c>
      <c r="L10" s="94">
        <f>H10*N10</f>
        <v>157.28396204407483</v>
      </c>
      <c r="M10" s="115">
        <f>L10/L5*10^3</f>
        <v>289.79567648858159</v>
      </c>
      <c r="N10" s="119">
        <v>0.15</v>
      </c>
      <c r="O10" s="96" t="s">
        <v>5</v>
      </c>
      <c r="P10" s="94">
        <f t="shared" si="1"/>
        <v>891.27578491642407</v>
      </c>
      <c r="Q10" s="99">
        <f>P10/$P$5*10^3</f>
        <v>6.4784063194179931</v>
      </c>
      <c r="R10" s="121">
        <f>Q24/P10</f>
        <v>0.83000361482713148</v>
      </c>
      <c r="S10" s="59"/>
      <c r="T10" s="96" t="s">
        <v>5</v>
      </c>
      <c r="U10" s="94">
        <f>P10-Q24</f>
        <v>151.51366162790316</v>
      </c>
      <c r="V10" s="99">
        <f>U10/$U$5*10^3</f>
        <v>1.107777597492376</v>
      </c>
      <c r="W10" s="100"/>
      <c r="X10" s="59"/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2"/>
      <c r="X11" s="59"/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5" t="s">
        <v>146</v>
      </c>
      <c r="J12" s="166"/>
      <c r="K12" s="86"/>
      <c r="L12" s="87"/>
      <c r="M12" s="59"/>
      <c r="N12" s="85" t="s">
        <v>81</v>
      </c>
      <c r="O12" s="86"/>
      <c r="P12" s="87"/>
      <c r="Q12" s="59"/>
      <c r="R12" s="190" t="s">
        <v>133</v>
      </c>
      <c r="S12" s="191"/>
      <c r="T12" s="176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4"/>
      <c r="J13" s="167"/>
      <c r="K13" s="61"/>
      <c r="L13" s="88"/>
      <c r="M13" s="59"/>
      <c r="N13" s="60"/>
      <c r="O13" s="61"/>
      <c r="P13" s="88"/>
      <c r="Q13" s="59"/>
      <c r="R13" s="192"/>
      <c r="S13" s="193"/>
      <c r="T13" s="176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140</v>
      </c>
      <c r="M15" s="24"/>
      <c r="N15" s="24"/>
      <c r="O15" s="24"/>
      <c r="P15" s="76"/>
      <c r="Q15" s="24"/>
      <c r="R15" s="24"/>
      <c r="S15" s="76"/>
      <c r="T15" s="197" t="s">
        <v>137</v>
      </c>
      <c r="U15" s="198"/>
      <c r="V15" s="198"/>
      <c r="W15" s="203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7" t="s">
        <v>131</v>
      </c>
      <c r="U16" s="188">
        <f>U10*W16</f>
        <v>53.029781569766101</v>
      </c>
      <c r="V16" s="196">
        <f>U16/$U$19*10^3</f>
        <v>0.3877221591223316</v>
      </c>
      <c r="W16" s="204">
        <v>0.35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85</v>
      </c>
      <c r="H18" s="107"/>
      <c r="I18" s="108"/>
      <c r="J18" s="59"/>
      <c r="K18" s="106" t="s">
        <v>83</v>
      </c>
      <c r="L18" s="107"/>
      <c r="M18" s="108"/>
      <c r="N18" s="59"/>
      <c r="O18" s="59"/>
      <c r="P18" s="109" t="s">
        <v>125</v>
      </c>
      <c r="Q18" s="110"/>
      <c r="R18" s="111"/>
      <c r="S18" s="59"/>
      <c r="T18" s="181" t="s">
        <v>134</v>
      </c>
      <c r="U18" s="182"/>
      <c r="V18" s="183"/>
      <c r="W18" s="205" t="s">
        <v>77</v>
      </c>
      <c r="X18" s="59"/>
      <c r="Y18" s="177" t="s">
        <v>80</v>
      </c>
    </row>
    <row r="19" spans="1:29" s="53" customFormat="1" ht="12" customHeight="1" thickTop="1">
      <c r="A19" s="58"/>
      <c r="B19" s="59"/>
      <c r="C19" s="112" t="s">
        <v>74</v>
      </c>
      <c r="D19" s="229">
        <f t="shared" ref="D19:D24" si="2">H19+L19</f>
        <v>1263.1355991742519</v>
      </c>
      <c r="E19" s="226"/>
      <c r="F19" s="59"/>
      <c r="G19" s="112" t="s">
        <v>74</v>
      </c>
      <c r="H19" s="229">
        <f>AB3</f>
        <v>468.21996683487657</v>
      </c>
      <c r="I19" s="226"/>
      <c r="J19" s="59"/>
      <c r="K19" s="79" t="s">
        <v>74</v>
      </c>
      <c r="L19" s="229">
        <f>AB2</f>
        <v>794.91563233937529</v>
      </c>
      <c r="M19" s="226"/>
      <c r="N19" s="59"/>
      <c r="O19" s="59"/>
      <c r="P19" s="79" t="s">
        <v>74</v>
      </c>
      <c r="Q19" s="225">
        <f>Q22/R22*10^3</f>
        <v>803.75914966508367</v>
      </c>
      <c r="R19" s="226"/>
      <c r="S19" s="59"/>
      <c r="T19" s="184" t="s">
        <v>126</v>
      </c>
      <c r="U19" s="225">
        <f>U5</f>
        <v>136772.63556410375</v>
      </c>
      <c r="V19" s="230"/>
      <c r="W19" s="206"/>
      <c r="X19" s="59"/>
      <c r="Y19" s="178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2616.7387057731594</v>
      </c>
      <c r="E20" s="114">
        <f>AB4</f>
        <v>2071.6210893985267</v>
      </c>
      <c r="F20" s="59"/>
      <c r="G20" s="80" t="s">
        <v>2</v>
      </c>
      <c r="H20" s="81">
        <f>L32-H32</f>
        <v>577.72153244342553</v>
      </c>
      <c r="I20" s="114">
        <f>H20/$H$19*10^3</f>
        <v>1233.8677830182453</v>
      </c>
      <c r="J20" s="59"/>
      <c r="K20" s="80" t="s">
        <v>2</v>
      </c>
      <c r="L20" s="81">
        <f>P32-L32</f>
        <v>2039.0171733297339</v>
      </c>
      <c r="M20" s="92">
        <f>L20/$L$19*10^3</f>
        <v>2565.0736888002361</v>
      </c>
      <c r="N20" s="59"/>
      <c r="O20" s="59"/>
      <c r="P20" s="80" t="s">
        <v>2</v>
      </c>
      <c r="Q20" s="91">
        <f>Q22*0.6</f>
        <v>3858.0439183924013</v>
      </c>
      <c r="R20" s="82">
        <f>Q20/$Q$19*10^3</f>
        <v>4800</v>
      </c>
      <c r="S20" s="59"/>
      <c r="T20" s="185" t="s">
        <v>127</v>
      </c>
      <c r="U20" s="91">
        <f>U6-AD45</f>
        <v>874.56378402522432</v>
      </c>
      <c r="V20" s="186">
        <f>U20/$U$19*10^3</f>
        <v>6.3942891823220469</v>
      </c>
      <c r="W20" s="206">
        <v>0.3</v>
      </c>
      <c r="X20" s="59"/>
      <c r="Y20" s="179">
        <f>1-(U20/D6)</f>
        <v>0.97068626529213242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2370.6515542189227</v>
      </c>
      <c r="E21" s="114">
        <f>AB5</f>
        <v>1876.798688570261</v>
      </c>
      <c r="F21" s="59"/>
      <c r="G21" s="80" t="s">
        <v>50</v>
      </c>
      <c r="H21" s="81">
        <f>L33-H33</f>
        <v>523.39060287950269</v>
      </c>
      <c r="I21" s="114">
        <f>H21/$H$19*10^3</f>
        <v>1117.8305923550729</v>
      </c>
      <c r="J21" s="59"/>
      <c r="K21" s="80" t="s">
        <v>50</v>
      </c>
      <c r="L21" s="81">
        <f>P33-L33</f>
        <v>1847.26095133942</v>
      </c>
      <c r="M21" s="92">
        <f>L21/$L$19*10^3</f>
        <v>2323.8452940006646</v>
      </c>
      <c r="N21" s="59"/>
      <c r="O21" s="59"/>
      <c r="P21" s="80" t="s">
        <v>50</v>
      </c>
      <c r="Q21" s="91">
        <f>Q22*0.7</f>
        <v>4501.051238124468</v>
      </c>
      <c r="R21" s="82">
        <f>Q21/$Q$19*10^3</f>
        <v>5600</v>
      </c>
      <c r="S21" s="59"/>
      <c r="T21" s="185" t="s">
        <v>128</v>
      </c>
      <c r="U21" s="91">
        <f>U7-AD46</f>
        <v>1549.7809845429899</v>
      </c>
      <c r="V21" s="186">
        <f>U21/$U$19*10^3</f>
        <v>11.331074948955163</v>
      </c>
      <c r="W21" s="206">
        <v>0.15</v>
      </c>
      <c r="X21" s="59"/>
      <c r="Y21" s="179">
        <f>1-(U21/D7)</f>
        <v>0.93454235410246023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4372.1177037005182</v>
      </c>
      <c r="E22" s="114">
        <f>AB6</f>
        <v>3461.3204846599692</v>
      </c>
      <c r="F22" s="59"/>
      <c r="G22" s="80" t="s">
        <v>3</v>
      </c>
      <c r="H22" s="81">
        <f>L34-H34</f>
        <v>965.27273977803634</v>
      </c>
      <c r="I22" s="114">
        <f>H22/$H$19*10^3</f>
        <v>2061.57961674123</v>
      </c>
      <c r="J22" s="59"/>
      <c r="K22" s="80" t="s">
        <v>3</v>
      </c>
      <c r="L22" s="81">
        <f>P34-L34</f>
        <v>3406.8449639224818</v>
      </c>
      <c r="M22" s="92">
        <f>L22/$L$19*10^3</f>
        <v>4285.7943979493775</v>
      </c>
      <c r="N22" s="59"/>
      <c r="O22" s="59"/>
      <c r="P22" s="80" t="s">
        <v>3</v>
      </c>
      <c r="Q22" s="91">
        <f>I41</f>
        <v>6430.0731973206694</v>
      </c>
      <c r="R22" s="82">
        <f>참조!D52*10^6</f>
        <v>8000</v>
      </c>
      <c r="S22" s="59"/>
      <c r="T22" s="185" t="s">
        <v>129</v>
      </c>
      <c r="U22" s="91">
        <f>U8-AD47</f>
        <v>407.05566405406387</v>
      </c>
      <c r="V22" s="186">
        <f>U22/$U$19*10^3</f>
        <v>2.9761484260006204</v>
      </c>
      <c r="W22" s="206">
        <v>0.5</v>
      </c>
      <c r="X22" s="59"/>
      <c r="Y22" s="179">
        <f>1-(U22/D8)</f>
        <v>0.98556147798273741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305.69093829158965</v>
      </c>
      <c r="E23" s="114">
        <f>AB7</f>
        <v>242.00956487401621</v>
      </c>
      <c r="F23" s="59"/>
      <c r="G23" s="80" t="s">
        <v>4</v>
      </c>
      <c r="H23" s="81">
        <f>L35-H35</f>
        <v>67.490207155286043</v>
      </c>
      <c r="I23" s="114">
        <f>H23/$H$19*10^3</f>
        <v>144.14209545892191</v>
      </c>
      <c r="J23" s="59"/>
      <c r="K23" s="80" t="s">
        <v>4</v>
      </c>
      <c r="L23" s="81">
        <f>P35-L35</f>
        <v>238.2007311363036</v>
      </c>
      <c r="M23" s="92">
        <f>L23/$L$19*10^3</f>
        <v>299.65536145678414</v>
      </c>
      <c r="N23" s="59"/>
      <c r="O23" s="59"/>
      <c r="P23" s="80" t="s">
        <v>4</v>
      </c>
      <c r="Q23" s="91">
        <f>Q22*AC30</f>
        <v>643.007319732067</v>
      </c>
      <c r="R23" s="114">
        <f>Q23/$Q$19*10^3</f>
        <v>800</v>
      </c>
      <c r="S23" s="59"/>
      <c r="T23" s="185" t="s">
        <v>130</v>
      </c>
      <c r="U23" s="91">
        <f>U9*(1-W23)</f>
        <v>937.12257488903981</v>
      </c>
      <c r="V23" s="186">
        <f>U23/$U$19*10^3</f>
        <v>6.8516817784784241</v>
      </c>
      <c r="W23" s="206">
        <v>0.3</v>
      </c>
      <c r="X23" s="59"/>
      <c r="Y23" s="179">
        <f>1-(U23/D9)</f>
        <v>0.84366419756988853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172.68137142652472</v>
      </c>
      <c r="E24" s="115">
        <f>AB8</f>
        <v>136.70847933775721</v>
      </c>
      <c r="F24" s="59"/>
      <c r="G24" s="83" t="s">
        <v>5</v>
      </c>
      <c r="H24" s="84">
        <f>L36-H36</f>
        <v>38.124458626635374</v>
      </c>
      <c r="I24" s="115">
        <f>H24/$H$19*10^3</f>
        <v>81.424247847338009</v>
      </c>
      <c r="J24" s="59"/>
      <c r="K24" s="83" t="s">
        <v>5</v>
      </c>
      <c r="L24" s="84">
        <f>P36-L36</f>
        <v>134.55691279988935</v>
      </c>
      <c r="M24" s="95">
        <f>L24/$L$19*10^3</f>
        <v>169.27194198445784</v>
      </c>
      <c r="N24" s="59"/>
      <c r="O24" s="59"/>
      <c r="P24" s="83" t="s">
        <v>5</v>
      </c>
      <c r="Q24" s="94">
        <f>U43</f>
        <v>739.76212328852091</v>
      </c>
      <c r="R24" s="115">
        <f>Q24/Q19*10^3</f>
        <v>920.37785647201713</v>
      </c>
      <c r="S24" s="59"/>
      <c r="T24" s="187" t="s">
        <v>131</v>
      </c>
      <c r="U24" s="188">
        <f>U10-U16</f>
        <v>98.483880058137061</v>
      </c>
      <c r="V24" s="189">
        <f>U24/$U$19*10^3</f>
        <v>0.72005543837004438</v>
      </c>
      <c r="W24" s="207">
        <f>W16</f>
        <v>0.35</v>
      </c>
      <c r="X24" s="59"/>
      <c r="Y24" s="180">
        <f>1-(U24/D10)</f>
        <v>0.88755987125822822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95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P31/D5*100</f>
        <v>0.98388089310698978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82</v>
      </c>
      <c r="H27" s="87"/>
      <c r="I27" s="58"/>
      <c r="J27" s="59"/>
      <c r="K27" s="85" t="s">
        <v>145</v>
      </c>
      <c r="L27" s="87"/>
      <c r="M27" s="59"/>
      <c r="N27" s="59"/>
      <c r="O27" s="85" t="s">
        <v>88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 thickBot="1">
      <c r="A28" s="58"/>
      <c r="B28" s="59"/>
      <c r="C28" s="59"/>
      <c r="D28" s="59"/>
      <c r="E28" s="59"/>
      <c r="F28" s="59"/>
      <c r="G28" s="60" t="s">
        <v>89</v>
      </c>
      <c r="H28" s="215">
        <f>참조!G47</f>
        <v>0.95</v>
      </c>
      <c r="I28" s="58"/>
      <c r="J28" s="59"/>
      <c r="K28" s="60"/>
      <c r="L28" s="215">
        <f>참조!D56</f>
        <v>0.85</v>
      </c>
      <c r="M28" s="59"/>
      <c r="N28" s="59"/>
      <c r="O28" s="60" t="s">
        <v>141</v>
      </c>
      <c r="P28" s="61"/>
      <c r="Q28" s="88"/>
      <c r="R28" s="59"/>
      <c r="S28" s="59"/>
      <c r="T28" s="59"/>
      <c r="U28" s="59"/>
      <c r="V28" s="59"/>
      <c r="W28" s="100"/>
      <c r="X28" s="59"/>
    </row>
    <row r="29" spans="1:29" s="53" customFormat="1" ht="12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00"/>
      <c r="X29" s="59"/>
      <c r="AA29" s="53" t="s">
        <v>93</v>
      </c>
      <c r="AC29" s="53" t="s">
        <v>111</v>
      </c>
    </row>
    <row r="30" spans="1:29" s="53" customFormat="1" ht="12" customHeight="1" thickBot="1">
      <c r="A30" s="58"/>
      <c r="B30" s="59"/>
      <c r="C30" s="59"/>
      <c r="D30" s="59"/>
      <c r="E30" s="59"/>
      <c r="F30" s="59"/>
      <c r="G30" s="222" t="s">
        <v>86</v>
      </c>
      <c r="H30" s="223"/>
      <c r="I30" s="224"/>
      <c r="J30" s="59"/>
      <c r="K30" s="222" t="s">
        <v>84</v>
      </c>
      <c r="L30" s="223"/>
      <c r="M30" s="224"/>
      <c r="N30" s="59"/>
      <c r="O30" s="222" t="s">
        <v>87</v>
      </c>
      <c r="P30" s="223"/>
      <c r="Q30" s="224"/>
      <c r="R30" s="59"/>
      <c r="S30" s="59"/>
      <c r="T30" s="59"/>
      <c r="U30" s="59"/>
      <c r="V30" s="59"/>
      <c r="W30" s="100"/>
      <c r="X30" s="59"/>
      <c r="Z30" s="53" t="s">
        <v>12</v>
      </c>
      <c r="AA30" s="53">
        <f>P36/P34*100</f>
        <v>3.9496048169144404</v>
      </c>
      <c r="AC30" s="163">
        <v>0.1</v>
      </c>
    </row>
    <row r="31" spans="1:29" s="53" customFormat="1" ht="12" customHeight="1" thickTop="1">
      <c r="A31" s="58"/>
      <c r="B31" s="59"/>
      <c r="C31" s="59"/>
      <c r="D31" s="59"/>
      <c r="E31" s="59"/>
      <c r="F31" s="59"/>
      <c r="G31" s="112" t="s">
        <v>74</v>
      </c>
      <c r="H31" s="227">
        <f>H34/I34*10^3</f>
        <v>83.364463889921325</v>
      </c>
      <c r="I31" s="228"/>
      <c r="J31" s="59"/>
      <c r="K31" s="112" t="s">
        <v>74</v>
      </c>
      <c r="L31" s="229">
        <f>L34/M34*10^3</f>
        <v>551.58442273030664</v>
      </c>
      <c r="M31" s="226"/>
      <c r="N31" s="59"/>
      <c r="O31" s="79" t="s">
        <v>74</v>
      </c>
      <c r="P31" s="229">
        <f t="shared" ref="P31:P36" si="3">Q19+L5</f>
        <v>1346.5000350705018</v>
      </c>
      <c r="Q31" s="226"/>
      <c r="R31" s="59"/>
      <c r="S31" s="59"/>
      <c r="T31" s="59"/>
      <c r="U31" s="59"/>
      <c r="V31" s="59"/>
      <c r="W31" s="100"/>
      <c r="X31" s="59"/>
      <c r="Z31" s="53" t="s">
        <v>94</v>
      </c>
      <c r="AA31" s="53">
        <f>P36/P34/0.8*100</f>
        <v>4.9370060211430502</v>
      </c>
    </row>
    <row r="32" spans="1:29" s="53" customFormat="1" ht="12" customHeight="1">
      <c r="A32" s="58"/>
      <c r="B32" s="59"/>
      <c r="C32" s="59"/>
      <c r="D32" s="59"/>
      <c r="E32" s="59"/>
      <c r="F32" s="59"/>
      <c r="G32" s="80" t="s">
        <v>2</v>
      </c>
      <c r="H32" s="81">
        <f>L32*$H$28</f>
        <v>10976.709116425069</v>
      </c>
      <c r="I32" s="154">
        <f>H32/$H$31*10^3</f>
        <v>131671.32137884642</v>
      </c>
      <c r="J32" s="59"/>
      <c r="K32" s="80" t="s">
        <v>2</v>
      </c>
      <c r="L32" s="81">
        <f>P32*$L$28</f>
        <v>11554.430648868494</v>
      </c>
      <c r="M32" s="92">
        <f>L32/L31*10^3</f>
        <v>20947.710219361928</v>
      </c>
      <c r="N32" s="59"/>
      <c r="O32" s="80" t="s">
        <v>2</v>
      </c>
      <c r="P32" s="81">
        <f t="shared" si="3"/>
        <v>13593.447822198228</v>
      </c>
      <c r="Q32" s="92">
        <f>P32/$P$31*10^3</f>
        <v>10095.393589415306</v>
      </c>
      <c r="R32" s="59"/>
      <c r="S32" s="59"/>
      <c r="T32" s="59"/>
      <c r="U32" s="59"/>
      <c r="V32" s="59"/>
      <c r="W32" s="100"/>
      <c r="X32" s="59"/>
    </row>
    <row r="33" spans="1:31" s="53" customFormat="1" ht="12" customHeight="1">
      <c r="A33" s="58"/>
      <c r="B33" s="59"/>
      <c r="C33" s="59"/>
      <c r="D33" s="59"/>
      <c r="E33" s="59"/>
      <c r="F33" s="59"/>
      <c r="G33" s="80" t="s">
        <v>50</v>
      </c>
      <c r="H33" s="81">
        <f>L33*$H$28</f>
        <v>9944.4214547105385</v>
      </c>
      <c r="I33" s="154">
        <f>H33/$H$31*10^3</f>
        <v>119288.49524950652</v>
      </c>
      <c r="J33" s="59"/>
      <c r="K33" s="80" t="s">
        <v>50</v>
      </c>
      <c r="L33" s="81">
        <f>P33*$L$28</f>
        <v>10467.812057590041</v>
      </c>
      <c r="M33" s="92">
        <f>L33/$L$31*10^3</f>
        <v>18977.715153330581</v>
      </c>
      <c r="N33" s="59"/>
      <c r="O33" s="80" t="s">
        <v>50</v>
      </c>
      <c r="P33" s="81">
        <f t="shared" si="3"/>
        <v>12315.073008929461</v>
      </c>
      <c r="Q33" s="92">
        <f>P33/$P$31*10^3</f>
        <v>9145.987885759434</v>
      </c>
      <c r="R33" s="59"/>
      <c r="S33" s="59"/>
      <c r="T33" s="59"/>
      <c r="U33" s="59"/>
      <c r="V33" s="59"/>
      <c r="W33" s="100"/>
      <c r="X33" s="59"/>
    </row>
    <row r="34" spans="1:31" s="53" customFormat="1" ht="12" customHeight="1">
      <c r="A34" s="58"/>
      <c r="B34" s="59"/>
      <c r="C34" s="59"/>
      <c r="D34" s="59"/>
      <c r="E34" s="59"/>
      <c r="F34" s="59"/>
      <c r="G34" s="80" t="s">
        <v>3</v>
      </c>
      <c r="H34" s="81">
        <f>L34*$H$28</f>
        <v>18340.182055782694</v>
      </c>
      <c r="I34" s="154">
        <f>참조!G48*10^6</f>
        <v>220000</v>
      </c>
      <c r="J34" s="59"/>
      <c r="K34" s="80" t="s">
        <v>3</v>
      </c>
      <c r="L34" s="81">
        <f>P34*$L$28</f>
        <v>19305.45479556073</v>
      </c>
      <c r="M34" s="92">
        <f>참조!D57*10^6</f>
        <v>35000</v>
      </c>
      <c r="N34" s="59"/>
      <c r="O34" s="80" t="s">
        <v>3</v>
      </c>
      <c r="P34" s="81">
        <f t="shared" si="3"/>
        <v>22712.299759483212</v>
      </c>
      <c r="Q34" s="92">
        <f>P34/$P$31*10^3</f>
        <v>16867.656270275562</v>
      </c>
      <c r="R34" s="59"/>
      <c r="S34" s="59"/>
      <c r="T34" s="59"/>
      <c r="U34" s="59"/>
      <c r="V34" s="59"/>
      <c r="W34" s="100"/>
      <c r="X34" s="59"/>
    </row>
    <row r="35" spans="1:31" s="53" customFormat="1" ht="12" customHeight="1">
      <c r="A35" s="58"/>
      <c r="B35" s="59"/>
      <c r="C35" s="59"/>
      <c r="D35" s="59"/>
      <c r="E35" s="59"/>
      <c r="F35" s="59"/>
      <c r="G35" s="80" t="s">
        <v>4</v>
      </c>
      <c r="H35" s="81">
        <f>L35*$H$28</f>
        <v>1282.3139359504335</v>
      </c>
      <c r="I35" s="154">
        <f>H35/$H$31*10^3</f>
        <v>15382.021020895258</v>
      </c>
      <c r="J35" s="59"/>
      <c r="K35" s="80" t="s">
        <v>4</v>
      </c>
      <c r="L35" s="81">
        <f>P35*$L$28</f>
        <v>1349.8041431057195</v>
      </c>
      <c r="M35" s="92">
        <f>L35/$L$31*10^3</f>
        <v>2447.1397078696996</v>
      </c>
      <c r="N35" s="59"/>
      <c r="O35" s="80" t="s">
        <v>4</v>
      </c>
      <c r="P35" s="81">
        <f t="shared" si="3"/>
        <v>1588.0048742420231</v>
      </c>
      <c r="Q35" s="92">
        <f>P35/$P$31*10^3</f>
        <v>1179.3574696482472</v>
      </c>
      <c r="R35" s="59"/>
      <c r="S35" s="59"/>
      <c r="T35" s="59"/>
      <c r="U35" s="59"/>
      <c r="V35" s="59"/>
      <c r="W35" s="100"/>
      <c r="X35" s="59"/>
    </row>
    <row r="36" spans="1:31" s="53" customFormat="1" ht="12.75" customHeight="1">
      <c r="A36" s="58"/>
      <c r="B36" s="59"/>
      <c r="C36" s="59"/>
      <c r="D36" s="59"/>
      <c r="E36" s="59"/>
      <c r="F36" s="59"/>
      <c r="G36" s="83" t="s">
        <v>5</v>
      </c>
      <c r="H36" s="84">
        <f>L36*$H$28</f>
        <v>724.36471390607107</v>
      </c>
      <c r="I36" s="155">
        <f>H36/$H$31*10^3</f>
        <v>8689.1305972117698</v>
      </c>
      <c r="J36" s="59"/>
      <c r="K36" s="83" t="s">
        <v>5</v>
      </c>
      <c r="L36" s="84">
        <f>P36*$L$28</f>
        <v>762.48917253270645</v>
      </c>
      <c r="M36" s="95">
        <f>L36/$L$31*10^3</f>
        <v>1382.361685920054</v>
      </c>
      <c r="N36" s="59"/>
      <c r="O36" s="83" t="s">
        <v>5</v>
      </c>
      <c r="P36" s="84">
        <f t="shared" si="3"/>
        <v>897.04608533259579</v>
      </c>
      <c r="Q36" s="95">
        <f>P36/$P$31*10^3</f>
        <v>666.20576455137416</v>
      </c>
      <c r="R36" s="59"/>
      <c r="S36" s="59"/>
      <c r="T36" s="59"/>
      <c r="U36" s="59"/>
      <c r="V36" s="59"/>
      <c r="W36" s="100"/>
      <c r="X36" s="59"/>
    </row>
    <row r="37" spans="1:31" s="53" customFormat="1" ht="12" customHeight="1" thickBot="1">
      <c r="A37" s="60"/>
      <c r="B37" s="61"/>
      <c r="C37" s="61"/>
      <c r="D37" s="21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88"/>
      <c r="X37" s="59"/>
    </row>
    <row r="38" spans="1:31" s="53" customFormat="1" ht="12" customHeight="1" thickBot="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88"/>
      <c r="X38" s="59"/>
    </row>
    <row r="39" spans="1:31" s="53" customFormat="1" ht="12" customHeight="1"/>
    <row r="40" spans="1:31" s="53" customFormat="1" ht="12" customHeight="1">
      <c r="T40" s="53" t="s">
        <v>123</v>
      </c>
      <c r="U40" s="53" t="s">
        <v>124</v>
      </c>
    </row>
    <row r="41" spans="1:31" ht="12" customHeight="1" thickBot="1">
      <c r="D41" s="49" t="s">
        <v>110</v>
      </c>
      <c r="I41" s="49">
        <f>(F43*F44)-(F45*G46)+(F47*F48)</f>
        <v>6430.0731973206694</v>
      </c>
      <c r="N41" s="49" t="s">
        <v>114</v>
      </c>
      <c r="R41" s="49" t="s">
        <v>122</v>
      </c>
      <c r="T41" s="49">
        <f>(P43/(1+(P44*P45))*P42*P46)</f>
        <v>4.5059502766222339</v>
      </c>
      <c r="U41" s="49">
        <f>P5*T41/10^3</f>
        <v>619.91239381719629</v>
      </c>
    </row>
    <row r="42" spans="1:31" ht="12" customHeight="1" thickBot="1">
      <c r="K42" s="133" t="s">
        <v>1</v>
      </c>
      <c r="L42" s="160"/>
      <c r="N42" s="49" t="s">
        <v>115</v>
      </c>
      <c r="P42" s="49">
        <f>L48*참조!H6</f>
        <v>67.589254149333499</v>
      </c>
      <c r="T42" s="49">
        <f>L48*참조!H7*(P43/(1+P44*P45))*P47</f>
        <v>0.87115038681363188</v>
      </c>
      <c r="U42" s="49">
        <f>P5*T42/10^3</f>
        <v>119.84972947132461</v>
      </c>
    </row>
    <row r="43" spans="1:31" ht="20.100000000000001" customHeight="1" thickTop="1" thickBot="1">
      <c r="C43" s="49" t="s">
        <v>103</v>
      </c>
      <c r="D43" s="49" t="s">
        <v>101</v>
      </c>
      <c r="F43" s="49">
        <v>0.4</v>
      </c>
      <c r="K43" s="169" t="s">
        <v>2</v>
      </c>
      <c r="L43" s="172">
        <f>Q6</f>
        <v>165.11511651017383</v>
      </c>
      <c r="N43" s="49" t="s">
        <v>116</v>
      </c>
      <c r="P43" s="49">
        <f>0.4</f>
        <v>0.4</v>
      </c>
      <c r="U43" s="49">
        <f>SUM(U41:U42)</f>
        <v>739.76212328852091</v>
      </c>
      <c r="Y43" s="222" t="s">
        <v>139</v>
      </c>
      <c r="Z43" s="223"/>
      <c r="AA43" s="224"/>
      <c r="AC43" s="222" t="s">
        <v>132</v>
      </c>
      <c r="AD43" s="223"/>
      <c r="AE43" s="224"/>
    </row>
    <row r="44" spans="1:31" ht="20.100000000000001" customHeight="1" thickTop="1">
      <c r="C44" s="49" t="s">
        <v>104</v>
      </c>
      <c r="D44" s="49" t="s">
        <v>98</v>
      </c>
      <c r="F44" s="162">
        <f>P6-U6</f>
        <v>21466.565607891851</v>
      </c>
      <c r="K44" s="170" t="s">
        <v>43</v>
      </c>
      <c r="L44" s="173">
        <f>Q7</f>
        <v>132.52794931241863</v>
      </c>
      <c r="N44" s="49" t="s">
        <v>117</v>
      </c>
      <c r="P44" s="49">
        <f>0.08</f>
        <v>0.08</v>
      </c>
      <c r="Y44" s="112" t="s">
        <v>74</v>
      </c>
      <c r="Z44" s="225">
        <v>180</v>
      </c>
      <c r="AA44" s="226"/>
      <c r="AC44" s="112" t="s">
        <v>74</v>
      </c>
      <c r="AD44" s="225">
        <f t="shared" ref="AD44:AD49" si="4">U5*W19</f>
        <v>0</v>
      </c>
      <c r="AE44" s="226"/>
    </row>
    <row r="45" spans="1:31" ht="20.100000000000001" customHeight="1">
      <c r="C45" s="49" t="s">
        <v>105</v>
      </c>
      <c r="D45" s="49" t="s">
        <v>99</v>
      </c>
      <c r="F45" s="49">
        <v>0.05</v>
      </c>
      <c r="K45" s="170" t="s">
        <v>3</v>
      </c>
      <c r="L45" s="173">
        <f>Q8</f>
        <v>118.35043792242213</v>
      </c>
      <c r="N45" s="49" t="s">
        <v>118</v>
      </c>
      <c r="P45" s="49">
        <f>참조!I24</f>
        <v>10</v>
      </c>
      <c r="Y45" s="80" t="s">
        <v>2</v>
      </c>
      <c r="Z45" s="91">
        <v>677</v>
      </c>
      <c r="AA45" s="114">
        <f>Z45/$Z$44*10^3</f>
        <v>3761.1111111111109</v>
      </c>
      <c r="AC45" s="80" t="s">
        <v>2</v>
      </c>
      <c r="AD45" s="91">
        <f t="shared" si="4"/>
        <v>374.81305029652475</v>
      </c>
      <c r="AE45" s="114" t="e">
        <f>AD45/$AD$44*10^3</f>
        <v>#DIV/0!</v>
      </c>
    </row>
    <row r="46" spans="1:31" ht="20.100000000000001" customHeight="1">
      <c r="C46" s="49" t="s">
        <v>106</v>
      </c>
      <c r="D46" s="49" t="s">
        <v>100</v>
      </c>
      <c r="F46" s="49">
        <f>참조!$I$25*참조!$I$26</f>
        <v>2000</v>
      </c>
      <c r="G46" s="49">
        <f>F46*P5/10^3</f>
        <v>275152.78942753765</v>
      </c>
      <c r="K46" s="170" t="s">
        <v>4</v>
      </c>
      <c r="L46" s="173">
        <f>Q9</f>
        <v>38.923727819472731</v>
      </c>
      <c r="N46" s="49" t="s">
        <v>119</v>
      </c>
      <c r="P46" s="49">
        <f>0.3</f>
        <v>0.3</v>
      </c>
      <c r="Y46" s="80" t="s">
        <v>50</v>
      </c>
      <c r="Z46" s="91">
        <v>572</v>
      </c>
      <c r="AA46" s="114">
        <f>Z46/$Z$44*10^3</f>
        <v>3177.7777777777774</v>
      </c>
      <c r="AC46" s="80" t="s">
        <v>50</v>
      </c>
      <c r="AD46" s="91">
        <f t="shared" si="4"/>
        <v>273.4907619781747</v>
      </c>
      <c r="AE46" s="114" t="e">
        <f>AD46/$AD$44*10^3</f>
        <v>#DIV/0!</v>
      </c>
    </row>
    <row r="47" spans="1:31" ht="20.100000000000001" customHeight="1" thickBot="1">
      <c r="C47" s="49" t="s">
        <v>107</v>
      </c>
      <c r="D47" s="49" t="s">
        <v>102</v>
      </c>
      <c r="F47" s="49">
        <v>0.75</v>
      </c>
      <c r="K47" s="171" t="s">
        <v>5</v>
      </c>
      <c r="L47" s="174">
        <f>Q10</f>
        <v>6.4784063194179931</v>
      </c>
      <c r="N47" s="49" t="s">
        <v>120</v>
      </c>
      <c r="P47" s="49">
        <v>0.02</v>
      </c>
      <c r="Y47" s="80" t="s">
        <v>3</v>
      </c>
      <c r="Z47" s="91">
        <v>2866</v>
      </c>
      <c r="AA47" s="114">
        <f>Z47/$Z$44*10^3</f>
        <v>15922.222222222223</v>
      </c>
      <c r="AC47" s="80" t="s">
        <v>3</v>
      </c>
      <c r="AD47" s="91">
        <f t="shared" si="4"/>
        <v>407.05566405406387</v>
      </c>
      <c r="AE47" s="114" t="e">
        <f>AD47/$AD$44*10^3</f>
        <v>#DIV/0!</v>
      </c>
    </row>
    <row r="48" spans="1:31" ht="20.100000000000001" customHeight="1">
      <c r="C48" s="49" t="s">
        <v>108</v>
      </c>
      <c r="D48" s="49" t="s">
        <v>109</v>
      </c>
      <c r="F48" s="162">
        <f>P8-U8</f>
        <v>15468.115234054414</v>
      </c>
      <c r="K48" s="170" t="s">
        <v>44</v>
      </c>
      <c r="L48" s="173">
        <f>L44*1.7</f>
        <v>225.29751383111167</v>
      </c>
      <c r="N48" s="49" t="s">
        <v>121</v>
      </c>
      <c r="P48" s="168">
        <f>V8</f>
        <v>5.9522968520012407</v>
      </c>
      <c r="Y48" s="80" t="s">
        <v>4</v>
      </c>
      <c r="Z48" s="91">
        <v>247</v>
      </c>
      <c r="AA48" s="114">
        <f>Z48/$Z$44*10^3</f>
        <v>1372.2222222222222</v>
      </c>
      <c r="AC48" s="80" t="s">
        <v>4</v>
      </c>
      <c r="AD48" s="91">
        <f t="shared" si="4"/>
        <v>401.62396066673136</v>
      </c>
      <c r="AE48" s="114" t="e">
        <f>AD48/$AD$44*10^3</f>
        <v>#DIV/0!</v>
      </c>
    </row>
    <row r="49" spans="25:31">
      <c r="Y49" s="83" t="s">
        <v>5</v>
      </c>
      <c r="Z49" s="94">
        <v>19</v>
      </c>
      <c r="AA49" s="115">
        <f>Z49/$Z$44*10^3</f>
        <v>105.55555555555556</v>
      </c>
      <c r="AC49" s="83" t="s">
        <v>5</v>
      </c>
      <c r="AD49" s="94">
        <f t="shared" si="4"/>
        <v>53.029781569766101</v>
      </c>
      <c r="AE49" s="115" t="e">
        <f>AD49/$AD$44*10^3</f>
        <v>#DIV/0!</v>
      </c>
    </row>
  </sheetData>
  <mergeCells count="20">
    <mergeCell ref="Y43:AA43"/>
    <mergeCell ref="AC43:AE43"/>
    <mergeCell ref="Z44:AA44"/>
    <mergeCell ref="AD44:AE44"/>
    <mergeCell ref="G30:I30"/>
    <mergeCell ref="K30:M30"/>
    <mergeCell ref="O30:Q30"/>
    <mergeCell ref="H31:I31"/>
    <mergeCell ref="L31:M31"/>
    <mergeCell ref="P31:Q31"/>
    <mergeCell ref="D5:E5"/>
    <mergeCell ref="H5:I5"/>
    <mergeCell ref="L5:M5"/>
    <mergeCell ref="P5:Q5"/>
    <mergeCell ref="U5:V5"/>
    <mergeCell ref="D19:E19"/>
    <mergeCell ref="H19:I19"/>
    <mergeCell ref="L19:M19"/>
    <mergeCell ref="Q19:R19"/>
    <mergeCell ref="U19:V19"/>
  </mergeCells>
  <phoneticPr fontId="1" type="noConversion"/>
  <conditionalFormatting sqref="AB2">
    <cfRule type="cellIs" dxfId="2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E49"/>
  <sheetViews>
    <sheetView view="pageBreakPreview" zoomScaleSheetLayoutView="100" workbookViewId="0">
      <selection activeCell="AB2" sqref="AB2:AB8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s="214" customFormat="1" ht="14.25" customHeight="1">
      <c r="A1" s="218"/>
      <c r="B1" s="219"/>
      <c r="C1" s="220" t="s">
        <v>151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1"/>
      <c r="X1" s="211"/>
      <c r="Y1" s="213"/>
      <c r="Z1" s="59"/>
      <c r="AA1" s="113" t="s">
        <v>91</v>
      </c>
      <c r="AB1" s="113" t="s">
        <v>90</v>
      </c>
      <c r="AC1" s="52"/>
      <c r="AD1" s="52"/>
    </row>
    <row r="2" spans="1:30" s="52" customFormat="1" ht="16.5" customHeight="1">
      <c r="A2" s="175"/>
      <c r="B2" s="76"/>
      <c r="C2" s="217" t="s">
        <v>149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142</v>
      </c>
      <c r="V2" s="76"/>
      <c r="W2" s="201"/>
      <c r="X2" s="57"/>
      <c r="Z2" s="113" t="s">
        <v>83</v>
      </c>
      <c r="AA2" s="156">
        <f>P31-L31</f>
        <v>957.02135066469668</v>
      </c>
      <c r="AB2" s="156">
        <v>957.02192455156137</v>
      </c>
      <c r="AC2" s="53"/>
      <c r="AD2" s="132">
        <f>AA2-AB2</f>
        <v>-5.7388686468584638E-4</v>
      </c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1"/>
      <c r="X3" s="76"/>
      <c r="Z3" s="113" t="s">
        <v>85</v>
      </c>
      <c r="AA3" s="156">
        <f>L31-H31</f>
        <v>515.7459712322559</v>
      </c>
      <c r="AB3" s="156">
        <v>515.74617929947465</v>
      </c>
      <c r="AC3" s="53"/>
      <c r="AD3" s="132">
        <f t="shared" ref="AD3:AD8" si="0">AA3-AB3</f>
        <v>-2.0806721875032963E-4</v>
      </c>
    </row>
    <row r="4" spans="1:30" s="52" customFormat="1" ht="12" customHeight="1" thickBot="1">
      <c r="A4" s="175"/>
      <c r="B4" s="76"/>
      <c r="C4" s="77" t="s">
        <v>97</v>
      </c>
      <c r="D4" s="101"/>
      <c r="E4" s="102"/>
      <c r="F4" s="76"/>
      <c r="G4" s="103" t="s">
        <v>76</v>
      </c>
      <c r="H4" s="104"/>
      <c r="I4" s="105"/>
      <c r="J4" s="124"/>
      <c r="K4" s="109" t="s">
        <v>112</v>
      </c>
      <c r="L4" s="110"/>
      <c r="M4" s="111"/>
      <c r="N4" s="59"/>
      <c r="O4" s="103" t="s">
        <v>143</v>
      </c>
      <c r="P4" s="131"/>
      <c r="Q4" s="102"/>
      <c r="R4" s="76"/>
      <c r="S4" s="76"/>
      <c r="T4" s="103" t="s">
        <v>79</v>
      </c>
      <c r="U4" s="104"/>
      <c r="V4" s="105"/>
      <c r="W4" s="201"/>
      <c r="X4" s="57"/>
      <c r="Z4" s="113" t="s">
        <v>92</v>
      </c>
      <c r="AA4" s="157">
        <f>D20/$D$19*10^3</f>
        <v>2006.0192112689936</v>
      </c>
      <c r="AB4" s="157">
        <v>2006.0197884266206</v>
      </c>
      <c r="AC4" s="53"/>
      <c r="AD4" s="132">
        <f t="shared" si="0"/>
        <v>-5.7715762704901863E-4</v>
      </c>
    </row>
    <row r="5" spans="1:30" s="53" customFormat="1" ht="12" customHeight="1" thickTop="1">
      <c r="A5" s="58"/>
      <c r="B5" s="59"/>
      <c r="C5" s="112" t="s">
        <v>74</v>
      </c>
      <c r="D5" s="225">
        <v>142124</v>
      </c>
      <c r="E5" s="226"/>
      <c r="F5" s="123"/>
      <c r="G5" s="130" t="s">
        <v>74</v>
      </c>
      <c r="H5" s="225">
        <f>D5+D19</f>
        <v>143596.76810385103</v>
      </c>
      <c r="I5" s="226"/>
      <c r="J5" s="125"/>
      <c r="K5" s="79" t="s">
        <v>74</v>
      </c>
      <c r="L5" s="225">
        <f>L8/M8*10^3</f>
        <v>568.22415288700392</v>
      </c>
      <c r="M5" s="226"/>
      <c r="N5" s="116" t="s">
        <v>77</v>
      </c>
      <c r="O5" s="130" t="s">
        <v>74</v>
      </c>
      <c r="P5" s="225">
        <f t="shared" ref="P5:P10" si="1">H5-L5</f>
        <v>143028.54395096403</v>
      </c>
      <c r="Q5" s="226"/>
      <c r="R5" s="116" t="s">
        <v>77</v>
      </c>
      <c r="S5" s="59"/>
      <c r="T5" s="90" t="s">
        <v>74</v>
      </c>
      <c r="U5" s="225">
        <f>P5-Q19</f>
        <v>142032.17452469317</v>
      </c>
      <c r="V5" s="226"/>
      <c r="W5" s="100"/>
      <c r="X5" s="59"/>
      <c r="Z5" s="59"/>
      <c r="AA5" s="157">
        <f>D21/$D$19*10^3</f>
        <v>1809.0354436859079</v>
      </c>
      <c r="AB5" s="157">
        <v>1809.0360725959815</v>
      </c>
      <c r="AD5" s="132">
        <f t="shared" si="0"/>
        <v>-6.2891007360121876E-4</v>
      </c>
    </row>
    <row r="6" spans="1:30" s="53" customFormat="1" ht="12" customHeight="1">
      <c r="A6" s="58"/>
      <c r="B6" s="59"/>
      <c r="C6" s="80" t="s">
        <v>2</v>
      </c>
      <c r="D6" s="91">
        <f>$D$5*E6/10^3</f>
        <v>32262.148000000001</v>
      </c>
      <c r="E6" s="97">
        <v>227</v>
      </c>
      <c r="F6" s="123"/>
      <c r="G6" s="93" t="s">
        <v>2</v>
      </c>
      <c r="H6" s="91">
        <f>$H$5*I6/10^3</f>
        <v>35216.549960088727</v>
      </c>
      <c r="I6" s="97">
        <f>($D$5*E6+$D$19*E20)/$H$5</f>
        <v>245.24611817600007</v>
      </c>
      <c r="J6" s="126"/>
      <c r="K6" s="80" t="s">
        <v>2</v>
      </c>
      <c r="L6" s="91">
        <f>H6*N6</f>
        <v>10564.964988026617</v>
      </c>
      <c r="M6" s="82">
        <f>L6/$L$5*10^3</f>
        <v>18592.953035080765</v>
      </c>
      <c r="N6" s="117">
        <v>0.3</v>
      </c>
      <c r="O6" s="93" t="s">
        <v>2</v>
      </c>
      <c r="P6" s="91">
        <f t="shared" si="1"/>
        <v>24651.584972062112</v>
      </c>
      <c r="Q6" s="97">
        <f>P6/$P$5*10^3</f>
        <v>172.35430279227111</v>
      </c>
      <c r="R6" s="120">
        <v>0.94499999999999995</v>
      </c>
      <c r="S6" s="59"/>
      <c r="T6" s="93" t="s">
        <v>2</v>
      </c>
      <c r="U6" s="91">
        <f>P6*(1-R6)</f>
        <v>1355.8371734634175</v>
      </c>
      <c r="V6" s="97">
        <f>U6/$U$5*10^3</f>
        <v>9.5459861682797573</v>
      </c>
      <c r="W6" s="100"/>
      <c r="X6" s="59"/>
      <c r="Z6" s="59"/>
      <c r="AA6" s="157">
        <f>D22/$D$19*10^3</f>
        <v>3269.9672044680979</v>
      </c>
      <c r="AB6" s="157">
        <v>3269.9684088944314</v>
      </c>
      <c r="AD6" s="132">
        <f t="shared" si="0"/>
        <v>-1.2044263335155847E-3</v>
      </c>
    </row>
    <row r="7" spans="1:30" s="53" customFormat="1" ht="12" customHeight="1">
      <c r="A7" s="58"/>
      <c r="B7" s="59"/>
      <c r="C7" s="80" t="s">
        <v>50</v>
      </c>
      <c r="D7" s="91">
        <f>$D$5*E7/10^3</f>
        <v>24871.7</v>
      </c>
      <c r="E7" s="97">
        <v>175</v>
      </c>
      <c r="F7" s="123"/>
      <c r="G7" s="93" t="s">
        <v>50</v>
      </c>
      <c r="H7" s="91">
        <f>$H$5*I7/10^3</f>
        <v>27535.990626435312</v>
      </c>
      <c r="I7" s="97">
        <f>($D$5*E7+$D$19*E21)/$H$5</f>
        <v>191.75912515329682</v>
      </c>
      <c r="J7" s="126"/>
      <c r="K7" s="80" t="s">
        <v>50</v>
      </c>
      <c r="L7" s="91">
        <f>H7*N7</f>
        <v>8260.7971879305933</v>
      </c>
      <c r="M7" s="82">
        <f>L7/$L$5*10^3</f>
        <v>14537.919843708793</v>
      </c>
      <c r="N7" s="118">
        <v>0.3</v>
      </c>
      <c r="O7" s="93" t="s">
        <v>50</v>
      </c>
      <c r="P7" s="91">
        <f t="shared" si="1"/>
        <v>19275.193438504721</v>
      </c>
      <c r="Q7" s="97">
        <f>P7/$P$5*10^3</f>
        <v>134.76466239573156</v>
      </c>
      <c r="R7" s="120">
        <v>0.9</v>
      </c>
      <c r="S7" s="59"/>
      <c r="T7" s="93" t="s">
        <v>50</v>
      </c>
      <c r="U7" s="91">
        <f>P7*(1-R7)</f>
        <v>1927.5193438504716</v>
      </c>
      <c r="V7" s="97">
        <f>U7/$U$5*10^3</f>
        <v>13.57100495222905</v>
      </c>
      <c r="W7" s="100"/>
      <c r="X7" s="59"/>
      <c r="Z7" s="59"/>
      <c r="AA7" s="157">
        <f>D23/$D$19*10^3</f>
        <v>235.82898483422733</v>
      </c>
      <c r="AB7" s="157">
        <v>235.8290591312267</v>
      </c>
      <c r="AD7" s="132">
        <f t="shared" si="0"/>
        <v>-7.4296999372336359E-5</v>
      </c>
    </row>
    <row r="8" spans="1:30" s="53" customFormat="1" ht="12" customHeight="1">
      <c r="A8" s="58"/>
      <c r="B8" s="59"/>
      <c r="C8" s="80" t="s">
        <v>3</v>
      </c>
      <c r="D8" s="91">
        <f>$D$5*E8/10^3</f>
        <v>29277.544000000002</v>
      </c>
      <c r="E8" s="97">
        <v>206</v>
      </c>
      <c r="F8" s="123"/>
      <c r="G8" s="93" t="s">
        <v>3</v>
      </c>
      <c r="H8" s="91">
        <f>$H$5*I8/10^3</f>
        <v>34093.449173220237</v>
      </c>
      <c r="I8" s="97">
        <f>($D$5*E8+$D$19*E22)/$H$5</f>
        <v>237.42490602966367</v>
      </c>
      <c r="J8" s="126"/>
      <c r="K8" s="80" t="s">
        <v>3</v>
      </c>
      <c r="L8" s="91">
        <f>H8*N8</f>
        <v>17046.724586610118</v>
      </c>
      <c r="M8" s="82">
        <f>참조!D20*10^6</f>
        <v>30000</v>
      </c>
      <c r="N8" s="118">
        <v>0.5</v>
      </c>
      <c r="O8" s="93" t="s">
        <v>3</v>
      </c>
      <c r="P8" s="91">
        <f t="shared" si="1"/>
        <v>17046.724586610118</v>
      </c>
      <c r="Q8" s="97">
        <f>P8/$P$5*10^3</f>
        <v>119.18407414155335</v>
      </c>
      <c r="R8" s="120">
        <v>0.95</v>
      </c>
      <c r="S8" s="59"/>
      <c r="T8" s="93" t="s">
        <v>3</v>
      </c>
      <c r="U8" s="91">
        <f>P8*(1-R8)</f>
        <v>852.33622933050663</v>
      </c>
      <c r="V8" s="97">
        <f>U8/$U$5*10^3</f>
        <v>6.0010080968120549</v>
      </c>
      <c r="W8" s="100"/>
      <c r="X8" s="59"/>
      <c r="Z8" s="59"/>
      <c r="AA8" s="157">
        <f>D24/$D$19*10^3</f>
        <v>123.90996548649024</v>
      </c>
      <c r="AB8" s="157">
        <v>123.90998829914572</v>
      </c>
      <c r="AD8" s="132">
        <f t="shared" si="0"/>
        <v>-2.281265548731426E-5</v>
      </c>
    </row>
    <row r="9" spans="1:30" s="53" customFormat="1" ht="12" customHeight="1">
      <c r="A9" s="58"/>
      <c r="B9" s="59"/>
      <c r="C9" s="80" t="s">
        <v>4</v>
      </c>
      <c r="D9" s="91">
        <f>$D$5*E9/10^3</f>
        <v>6367.1551999999992</v>
      </c>
      <c r="E9" s="98">
        <v>44.8</v>
      </c>
      <c r="F9" s="123"/>
      <c r="G9" s="93" t="s">
        <v>4</v>
      </c>
      <c r="H9" s="91">
        <f>$H$5*I9/10^3</f>
        <v>6714.4767162496701</v>
      </c>
      <c r="I9" s="97">
        <f>($D$5*E9+$D$19*E23)/$H$5</f>
        <v>46.759246777710722</v>
      </c>
      <c r="J9" s="127"/>
      <c r="K9" s="80" t="s">
        <v>4</v>
      </c>
      <c r="L9" s="91">
        <f>H9*N9</f>
        <v>1007.1715074374505</v>
      </c>
      <c r="M9" s="114">
        <f>L9/$L$5*10^3</f>
        <v>1772.4897865046137</v>
      </c>
      <c r="N9" s="118">
        <v>0.15</v>
      </c>
      <c r="O9" s="93" t="s">
        <v>4</v>
      </c>
      <c r="P9" s="91">
        <f t="shared" si="1"/>
        <v>5707.3052088122195</v>
      </c>
      <c r="Q9" s="98">
        <f>P9/$P$5*10^3</f>
        <v>39.903260224538919</v>
      </c>
      <c r="R9" s="120">
        <v>0.75</v>
      </c>
      <c r="S9" s="59"/>
      <c r="T9" s="93" t="s">
        <v>4</v>
      </c>
      <c r="U9" s="91">
        <f>P9*(1-R9)</f>
        <v>1426.8263022030549</v>
      </c>
      <c r="V9" s="98">
        <f>U9/$U$5*10^3</f>
        <v>10.045796362534691</v>
      </c>
      <c r="W9" s="100"/>
      <c r="X9" s="59"/>
    </row>
    <row r="10" spans="1:30" s="53" customFormat="1" ht="12" customHeight="1">
      <c r="A10" s="58"/>
      <c r="B10" s="59"/>
      <c r="C10" s="83" t="s">
        <v>5</v>
      </c>
      <c r="D10" s="94">
        <f>$D$5*E10/10^3</f>
        <v>923.80600000000004</v>
      </c>
      <c r="E10" s="99">
        <v>6.5</v>
      </c>
      <c r="F10" s="123"/>
      <c r="G10" s="96" t="s">
        <v>5</v>
      </c>
      <c r="H10" s="94">
        <f>$H$5*I10/10^3</f>
        <v>1106.296678515537</v>
      </c>
      <c r="I10" s="122">
        <f>($D$5*E10+$D$19*E24)/$H$5</f>
        <v>7.7041892594368759</v>
      </c>
      <c r="J10" s="127"/>
      <c r="K10" s="83" t="s">
        <v>5</v>
      </c>
      <c r="L10" s="94">
        <f>H10*N10</f>
        <v>165.94450177733054</v>
      </c>
      <c r="M10" s="115">
        <f>L10/L5*10^3</f>
        <v>292.04056345406701</v>
      </c>
      <c r="N10" s="119">
        <v>0.15</v>
      </c>
      <c r="O10" s="96" t="s">
        <v>5</v>
      </c>
      <c r="P10" s="94">
        <f t="shared" si="1"/>
        <v>940.35217673820648</v>
      </c>
      <c r="Q10" s="99">
        <f>P10/$P$5*10^3</f>
        <v>6.5745770093317688</v>
      </c>
      <c r="R10" s="121">
        <f>Q24/P10</f>
        <v>0.83166590963574305</v>
      </c>
      <c r="S10" s="59"/>
      <c r="T10" s="96" t="s">
        <v>5</v>
      </c>
      <c r="U10" s="94">
        <f>P10-Q24</f>
        <v>158.29332829327495</v>
      </c>
      <c r="V10" s="99">
        <f>U10/$U$5*10^3</f>
        <v>1.1144892262827018</v>
      </c>
      <c r="W10" s="100"/>
      <c r="X10" s="59"/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2"/>
      <c r="X11" s="59"/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5" t="s">
        <v>146</v>
      </c>
      <c r="J12" s="166"/>
      <c r="K12" s="86"/>
      <c r="L12" s="87"/>
      <c r="M12" s="59"/>
      <c r="N12" s="85" t="s">
        <v>81</v>
      </c>
      <c r="O12" s="86"/>
      <c r="P12" s="87"/>
      <c r="Q12" s="59"/>
      <c r="R12" s="190" t="s">
        <v>133</v>
      </c>
      <c r="S12" s="191"/>
      <c r="T12" s="176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4"/>
      <c r="J13" s="167"/>
      <c r="K13" s="61"/>
      <c r="L13" s="88"/>
      <c r="M13" s="59"/>
      <c r="N13" s="60"/>
      <c r="O13" s="61"/>
      <c r="P13" s="88"/>
      <c r="Q13" s="59"/>
      <c r="R13" s="192"/>
      <c r="S13" s="193"/>
      <c r="T13" s="176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140</v>
      </c>
      <c r="M15" s="24"/>
      <c r="N15" s="24"/>
      <c r="O15" s="24"/>
      <c r="P15" s="76"/>
      <c r="Q15" s="24"/>
      <c r="R15" s="24"/>
      <c r="S15" s="76"/>
      <c r="T15" s="197" t="s">
        <v>137</v>
      </c>
      <c r="U15" s="198"/>
      <c r="V15" s="198"/>
      <c r="W15" s="203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7" t="s">
        <v>131</v>
      </c>
      <c r="U16" s="188">
        <f>U10*W16</f>
        <v>58.568531468511729</v>
      </c>
      <c r="V16" s="196">
        <f>U16/$U$19*10^3</f>
        <v>0.4123610137245996</v>
      </c>
      <c r="W16" s="204">
        <v>0.37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85</v>
      </c>
      <c r="H18" s="107"/>
      <c r="I18" s="108"/>
      <c r="J18" s="59"/>
      <c r="K18" s="106" t="s">
        <v>83</v>
      </c>
      <c r="L18" s="107"/>
      <c r="M18" s="108"/>
      <c r="N18" s="59"/>
      <c r="O18" s="59"/>
      <c r="P18" s="109" t="s">
        <v>125</v>
      </c>
      <c r="Q18" s="110"/>
      <c r="R18" s="111"/>
      <c r="S18" s="59"/>
      <c r="T18" s="181" t="s">
        <v>134</v>
      </c>
      <c r="U18" s="182"/>
      <c r="V18" s="183"/>
      <c r="W18" s="205" t="s">
        <v>77</v>
      </c>
      <c r="X18" s="59"/>
      <c r="Y18" s="177" t="s">
        <v>80</v>
      </c>
    </row>
    <row r="19" spans="1:29" s="53" customFormat="1" ht="12" customHeight="1" thickTop="1">
      <c r="A19" s="58"/>
      <c r="B19" s="59"/>
      <c r="C19" s="112" t="s">
        <v>74</v>
      </c>
      <c r="D19" s="229">
        <f t="shared" ref="D19:D24" si="2">H19+L19</f>
        <v>1472.7681038510359</v>
      </c>
      <c r="E19" s="226"/>
      <c r="F19" s="59"/>
      <c r="G19" s="112" t="s">
        <v>74</v>
      </c>
      <c r="H19" s="229">
        <f>AB3</f>
        <v>515.74617929947465</v>
      </c>
      <c r="I19" s="226"/>
      <c r="J19" s="59"/>
      <c r="K19" s="79" t="s">
        <v>74</v>
      </c>
      <c r="L19" s="229">
        <f>AB2</f>
        <v>957.02192455156137</v>
      </c>
      <c r="M19" s="226"/>
      <c r="N19" s="59"/>
      <c r="O19" s="59"/>
      <c r="P19" s="79" t="s">
        <v>74</v>
      </c>
      <c r="Q19" s="225">
        <f>Q22/R22*10^3</f>
        <v>996.36942627084568</v>
      </c>
      <c r="R19" s="226"/>
      <c r="S19" s="59"/>
      <c r="T19" s="184" t="s">
        <v>126</v>
      </c>
      <c r="U19" s="225">
        <f>U5</f>
        <v>142032.17452469317</v>
      </c>
      <c r="V19" s="230"/>
      <c r="W19" s="206"/>
      <c r="X19" s="59"/>
      <c r="Y19" s="178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2954.401110069386</v>
      </c>
      <c r="E20" s="114">
        <f>AB4</f>
        <v>2006.0197884266206</v>
      </c>
      <c r="F20" s="59"/>
      <c r="G20" s="80" t="s">
        <v>2</v>
      </c>
      <c r="H20" s="81">
        <f>L32-H32</f>
        <v>652.27037495038348</v>
      </c>
      <c r="I20" s="114">
        <f>H20/$H$19*10^3</f>
        <v>1264.711986497595</v>
      </c>
      <c r="J20" s="59"/>
      <c r="K20" s="80" t="s">
        <v>2</v>
      </c>
      <c r="L20" s="81">
        <f>P32-L32</f>
        <v>2302.1307351190026</v>
      </c>
      <c r="M20" s="92">
        <f>L20/$L$19*10^3</f>
        <v>2405.5151465811282</v>
      </c>
      <c r="N20" s="59"/>
      <c r="O20" s="59"/>
      <c r="P20" s="80" t="s">
        <v>2</v>
      </c>
      <c r="Q20" s="91">
        <f>Q22*0.6</f>
        <v>4782.5732461000589</v>
      </c>
      <c r="R20" s="82">
        <f>Q20/$Q$19*10^3</f>
        <v>4800</v>
      </c>
      <c r="S20" s="59"/>
      <c r="T20" s="185" t="s">
        <v>127</v>
      </c>
      <c r="U20" s="91">
        <f>U6-AD45</f>
        <v>949.08602142439224</v>
      </c>
      <c r="V20" s="186">
        <f>U20/$U$19*10^3</f>
        <v>6.6821903177958299</v>
      </c>
      <c r="W20" s="206">
        <v>0.3</v>
      </c>
      <c r="X20" s="59"/>
      <c r="Y20" s="179">
        <f>1-(U20/D6)</f>
        <v>0.97058205729437508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2664.2897001966121</v>
      </c>
      <c r="E21" s="114">
        <f>AB5</f>
        <v>1809.0360725959815</v>
      </c>
      <c r="F21" s="59"/>
      <c r="G21" s="80" t="s">
        <v>50</v>
      </c>
      <c r="H21" s="81">
        <f>L33-H33</f>
        <v>588.21980393951162</v>
      </c>
      <c r="I21" s="114">
        <f>H21/$H$19*10^3</f>
        <v>1140.5218837267512</v>
      </c>
      <c r="J21" s="59"/>
      <c r="K21" s="80" t="s">
        <v>50</v>
      </c>
      <c r="L21" s="81">
        <f>P33-L33</f>
        <v>2076.0698962571005</v>
      </c>
      <c r="M21" s="92">
        <f>L21/$L$19*10^3</f>
        <v>2169.3023357117963</v>
      </c>
      <c r="N21" s="59"/>
      <c r="O21" s="59"/>
      <c r="P21" s="80" t="s">
        <v>50</v>
      </c>
      <c r="Q21" s="91">
        <f>Q22*0.7</f>
        <v>5579.6687871167351</v>
      </c>
      <c r="R21" s="82">
        <f>Q21/$Q$19*10^3</f>
        <v>5600</v>
      </c>
      <c r="S21" s="59"/>
      <c r="T21" s="185" t="s">
        <v>128</v>
      </c>
      <c r="U21" s="91">
        <f>U7-AD46</f>
        <v>1638.3914422729008</v>
      </c>
      <c r="V21" s="186">
        <f>U21/$U$19*10^3</f>
        <v>11.535354209394692</v>
      </c>
      <c r="W21" s="206">
        <v>0.15</v>
      </c>
      <c r="X21" s="59"/>
      <c r="Y21" s="179">
        <f>1-(U21/D7)</f>
        <v>0.9341262783696771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4815.9033993795529</v>
      </c>
      <c r="E22" s="114">
        <f>AB6</f>
        <v>3269.9684088944314</v>
      </c>
      <c r="F22" s="59"/>
      <c r="G22" s="80" t="s">
        <v>3</v>
      </c>
      <c r="H22" s="81">
        <f>L34-H34</f>
        <v>1063.2513998630202</v>
      </c>
      <c r="I22" s="114">
        <f>H22/$H$19*10^3</f>
        <v>2061.5788202390727</v>
      </c>
      <c r="J22" s="59"/>
      <c r="K22" s="80" t="s">
        <v>3</v>
      </c>
      <c r="L22" s="81">
        <f>P34-L34</f>
        <v>3752.6519995165327</v>
      </c>
      <c r="M22" s="92">
        <f>L22/$L$19*10^3</f>
        <v>3921.1766243233556</v>
      </c>
      <c r="N22" s="59"/>
      <c r="O22" s="59"/>
      <c r="P22" s="80" t="s">
        <v>3</v>
      </c>
      <c r="Q22" s="91">
        <f>I41</f>
        <v>7970.9554101667654</v>
      </c>
      <c r="R22" s="82">
        <f>참조!D52*10^6</f>
        <v>8000</v>
      </c>
      <c r="S22" s="59"/>
      <c r="T22" s="185" t="s">
        <v>129</v>
      </c>
      <c r="U22" s="91">
        <f>U8-AD47</f>
        <v>426.16811466525331</v>
      </c>
      <c r="V22" s="186">
        <f>U22/$U$19*10^3</f>
        <v>3.0005040484060275</v>
      </c>
      <c r="W22" s="206">
        <v>0.5</v>
      </c>
      <c r="X22" s="59"/>
      <c r="Y22" s="179">
        <f>1-(U22/D8)</f>
        <v>0.98544385708496407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347.32140682741965</v>
      </c>
      <c r="E23" s="114">
        <f>AB7</f>
        <v>235.8290591312267</v>
      </c>
      <c r="F23" s="59"/>
      <c r="G23" s="80" t="s">
        <v>4</v>
      </c>
      <c r="H23" s="81">
        <f>L35-H35</f>
        <v>76.681349559300543</v>
      </c>
      <c r="I23" s="114">
        <f>H23/$H$19*10^3</f>
        <v>148.68040256440665</v>
      </c>
      <c r="J23" s="59"/>
      <c r="K23" s="80" t="s">
        <v>4</v>
      </c>
      <c r="L23" s="81">
        <f>P35-L35</f>
        <v>270.64005726811911</v>
      </c>
      <c r="M23" s="92">
        <f>L23/$L$19*10^3</f>
        <v>282.79399909770603</v>
      </c>
      <c r="N23" s="59"/>
      <c r="O23" s="59"/>
      <c r="P23" s="80" t="s">
        <v>4</v>
      </c>
      <c r="Q23" s="91">
        <f>Q22*AC30</f>
        <v>797.09554101667663</v>
      </c>
      <c r="R23" s="114">
        <f>Q23/$Q$19*10^3</f>
        <v>800</v>
      </c>
      <c r="S23" s="59"/>
      <c r="T23" s="185" t="s">
        <v>130</v>
      </c>
      <c r="U23" s="91">
        <f>U9*(1-W23)</f>
        <v>998.77841154213831</v>
      </c>
      <c r="V23" s="186">
        <f>U23/$U$19*10^3</f>
        <v>7.0320574537742822</v>
      </c>
      <c r="W23" s="206">
        <v>0.3</v>
      </c>
      <c r="X23" s="59"/>
      <c r="Y23" s="179">
        <f>1-(U23/D9)</f>
        <v>0.84313584636006067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182.49064491778552</v>
      </c>
      <c r="E24" s="115">
        <f>AB8</f>
        <v>123.90998829914572</v>
      </c>
      <c r="F24" s="59"/>
      <c r="G24" s="83" t="s">
        <v>5</v>
      </c>
      <c r="H24" s="84">
        <f>L36-H36</f>
        <v>40.290142384446199</v>
      </c>
      <c r="I24" s="115">
        <f>H24/$H$19*10^3</f>
        <v>78.120098609690743</v>
      </c>
      <c r="J24" s="59"/>
      <c r="K24" s="83" t="s">
        <v>5</v>
      </c>
      <c r="L24" s="84">
        <f>P36-L36</f>
        <v>142.20050253333932</v>
      </c>
      <c r="M24" s="95">
        <f>L24/$L$19*10^3</f>
        <v>148.58646273957748</v>
      </c>
      <c r="N24" s="59"/>
      <c r="O24" s="59"/>
      <c r="P24" s="83" t="s">
        <v>5</v>
      </c>
      <c r="Q24" s="94">
        <f>U43</f>
        <v>782.05884844493153</v>
      </c>
      <c r="R24" s="115">
        <f>Q24/Q19*10^3</f>
        <v>784.90851668539904</v>
      </c>
      <c r="S24" s="59"/>
      <c r="T24" s="187" t="s">
        <v>131</v>
      </c>
      <c r="U24" s="188">
        <f>U10-U16</f>
        <v>99.724796824763217</v>
      </c>
      <c r="V24" s="189">
        <f>U24/$U$19*10^3</f>
        <v>0.70212821255810209</v>
      </c>
      <c r="W24" s="207">
        <f>W16</f>
        <v>0.37</v>
      </c>
      <c r="X24" s="59"/>
      <c r="Y24" s="180">
        <f>1-(U24/D10)</f>
        <v>0.89205006589612623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95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P31/D5*100</f>
        <v>1.1008651453363609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82</v>
      </c>
      <c r="H27" s="87"/>
      <c r="I27" s="58"/>
      <c r="J27" s="59"/>
      <c r="K27" s="85" t="s">
        <v>144</v>
      </c>
      <c r="L27" s="87"/>
      <c r="M27" s="59"/>
      <c r="N27" s="59"/>
      <c r="O27" s="85" t="s">
        <v>88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 thickBot="1">
      <c r="A28" s="58"/>
      <c r="B28" s="59"/>
      <c r="C28" s="59"/>
      <c r="D28" s="59"/>
      <c r="E28" s="59"/>
      <c r="F28" s="59"/>
      <c r="G28" s="60" t="s">
        <v>89</v>
      </c>
      <c r="H28" s="215">
        <f>참조!G47</f>
        <v>0.95</v>
      </c>
      <c r="I28" s="58"/>
      <c r="J28" s="59"/>
      <c r="K28" s="60" t="s">
        <v>89</v>
      </c>
      <c r="L28" s="215">
        <f>참조!D56</f>
        <v>0.85</v>
      </c>
      <c r="M28" s="59"/>
      <c r="N28" s="59"/>
      <c r="O28" s="60" t="s">
        <v>141</v>
      </c>
      <c r="P28" s="61"/>
      <c r="Q28" s="88"/>
      <c r="R28" s="59"/>
      <c r="S28" s="59"/>
      <c r="T28" s="59"/>
      <c r="U28" s="59"/>
      <c r="V28" s="59"/>
      <c r="W28" s="100"/>
      <c r="X28" s="59"/>
    </row>
    <row r="29" spans="1:29" s="53" customFormat="1" ht="12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00"/>
      <c r="X29" s="59"/>
      <c r="AA29" s="53" t="s">
        <v>93</v>
      </c>
      <c r="AC29" s="53" t="s">
        <v>111</v>
      </c>
    </row>
    <row r="30" spans="1:29" s="53" customFormat="1" ht="12" customHeight="1" thickBot="1">
      <c r="A30" s="58"/>
      <c r="B30" s="59"/>
      <c r="C30" s="59"/>
      <c r="D30" s="59"/>
      <c r="E30" s="59"/>
      <c r="F30" s="59"/>
      <c r="G30" s="222" t="s">
        <v>86</v>
      </c>
      <c r="H30" s="223"/>
      <c r="I30" s="224"/>
      <c r="J30" s="59"/>
      <c r="K30" s="222" t="s">
        <v>84</v>
      </c>
      <c r="L30" s="223"/>
      <c r="M30" s="224"/>
      <c r="N30" s="59"/>
      <c r="O30" s="222" t="s">
        <v>87</v>
      </c>
      <c r="P30" s="223"/>
      <c r="Q30" s="224"/>
      <c r="R30" s="59"/>
      <c r="S30" s="59"/>
      <c r="T30" s="59"/>
      <c r="U30" s="59"/>
      <c r="V30" s="59"/>
      <c r="W30" s="100"/>
      <c r="X30" s="59"/>
      <c r="Z30" s="53" t="s">
        <v>12</v>
      </c>
      <c r="AA30" s="53">
        <f>P36/P34*100</f>
        <v>3.7893335846665108</v>
      </c>
      <c r="AC30" s="163">
        <v>0.1</v>
      </c>
    </row>
    <row r="31" spans="1:29" s="53" customFormat="1" ht="12" customHeight="1" thickTop="1">
      <c r="A31" s="58"/>
      <c r="B31" s="59"/>
      <c r="C31" s="59"/>
      <c r="D31" s="59"/>
      <c r="E31" s="59"/>
      <c r="F31" s="59"/>
      <c r="G31" s="112" t="s">
        <v>74</v>
      </c>
      <c r="H31" s="227">
        <f>H34/I34*10^3</f>
        <v>91.826257260896952</v>
      </c>
      <c r="I31" s="228"/>
      <c r="J31" s="59"/>
      <c r="K31" s="112" t="s">
        <v>74</v>
      </c>
      <c r="L31" s="229">
        <f>L34/M34*10^3</f>
        <v>607.57222849315281</v>
      </c>
      <c r="M31" s="226"/>
      <c r="N31" s="59"/>
      <c r="O31" s="79" t="s">
        <v>74</v>
      </c>
      <c r="P31" s="229">
        <f t="shared" ref="P31:P36" si="3">Q19+L5</f>
        <v>1564.5935791578495</v>
      </c>
      <c r="Q31" s="226"/>
      <c r="R31" s="59"/>
      <c r="S31" s="59"/>
      <c r="T31" s="59"/>
      <c r="U31" s="59"/>
      <c r="V31" s="59"/>
      <c r="W31" s="100"/>
      <c r="X31" s="59"/>
      <c r="Z31" s="53" t="s">
        <v>94</v>
      </c>
      <c r="AA31" s="53">
        <f>P36/P34/0.8*100</f>
        <v>4.7366669808331379</v>
      </c>
    </row>
    <row r="32" spans="1:29" s="53" customFormat="1" ht="12" customHeight="1">
      <c r="A32" s="58"/>
      <c r="B32" s="59"/>
      <c r="C32" s="59"/>
      <c r="D32" s="59"/>
      <c r="E32" s="59"/>
      <c r="F32" s="59"/>
      <c r="G32" s="80" t="s">
        <v>2</v>
      </c>
      <c r="H32" s="81">
        <f>L32*$H$28</f>
        <v>12393.13712405729</v>
      </c>
      <c r="I32" s="154">
        <f>H32/$H$31*10^3</f>
        <v>134962.89072139663</v>
      </c>
      <c r="J32" s="59"/>
      <c r="K32" s="80" t="s">
        <v>2</v>
      </c>
      <c r="L32" s="81">
        <f>P32*$L$28</f>
        <v>13045.407499007673</v>
      </c>
      <c r="M32" s="92">
        <f>L32/L31*10^3</f>
        <v>21471.368978404007</v>
      </c>
      <c r="N32" s="59"/>
      <c r="O32" s="80" t="s">
        <v>2</v>
      </c>
      <c r="P32" s="81">
        <f t="shared" si="3"/>
        <v>15347.538234126676</v>
      </c>
      <c r="Q32" s="92">
        <f>P32/$P$31*10^3</f>
        <v>9809.2811056961928</v>
      </c>
      <c r="R32" s="59"/>
      <c r="S32" s="59"/>
      <c r="T32" s="59"/>
      <c r="U32" s="59"/>
      <c r="V32" s="59"/>
      <c r="W32" s="100"/>
      <c r="X32" s="59"/>
    </row>
    <row r="33" spans="1:31" s="53" customFormat="1" ht="12" customHeight="1">
      <c r="A33" s="58"/>
      <c r="B33" s="59"/>
      <c r="C33" s="59"/>
      <c r="D33" s="59"/>
      <c r="E33" s="59"/>
      <c r="F33" s="59"/>
      <c r="G33" s="80" t="s">
        <v>50</v>
      </c>
      <c r="H33" s="81">
        <f>L33*$H$28</f>
        <v>11176.176274850717</v>
      </c>
      <c r="I33" s="154">
        <f>H33/$H$31*10^3</f>
        <v>121710.02726482625</v>
      </c>
      <c r="J33" s="59"/>
      <c r="K33" s="80" t="s">
        <v>50</v>
      </c>
      <c r="L33" s="81">
        <f>P33*$L$28</f>
        <v>11764.396078790229</v>
      </c>
      <c r="M33" s="92">
        <f>L33/$L$31*10^3</f>
        <v>19362.958883040537</v>
      </c>
      <c r="N33" s="59"/>
      <c r="O33" s="80" t="s">
        <v>50</v>
      </c>
      <c r="P33" s="81">
        <f t="shared" si="3"/>
        <v>13840.465975047329</v>
      </c>
      <c r="Q33" s="92">
        <f>P33/$P$31*10^3</f>
        <v>8846.0454902908587</v>
      </c>
      <c r="R33" s="59"/>
      <c r="S33" s="59"/>
      <c r="T33" s="59"/>
      <c r="U33" s="59"/>
      <c r="V33" s="59"/>
      <c r="W33" s="100"/>
      <c r="X33" s="59"/>
    </row>
    <row r="34" spans="1:31" s="53" customFormat="1" ht="12" customHeight="1">
      <c r="A34" s="58"/>
      <c r="B34" s="59"/>
      <c r="C34" s="59"/>
      <c r="D34" s="59"/>
      <c r="E34" s="59"/>
      <c r="F34" s="59"/>
      <c r="G34" s="80" t="s">
        <v>3</v>
      </c>
      <c r="H34" s="81">
        <f>L34*$H$28</f>
        <v>20201.776597397329</v>
      </c>
      <c r="I34" s="154">
        <f>참조!G48*10^6</f>
        <v>220000</v>
      </c>
      <c r="J34" s="59"/>
      <c r="K34" s="80" t="s">
        <v>3</v>
      </c>
      <c r="L34" s="81">
        <f>P34*$L$28</f>
        <v>21265.027997260349</v>
      </c>
      <c r="M34" s="92">
        <f>참조!D57*10^6</f>
        <v>35000</v>
      </c>
      <c r="N34" s="59"/>
      <c r="O34" s="80" t="s">
        <v>3</v>
      </c>
      <c r="P34" s="81">
        <f t="shared" si="3"/>
        <v>25017.679996776882</v>
      </c>
      <c r="Q34" s="92">
        <f>P34/$P$31*10^3</f>
        <v>15989.890492994849</v>
      </c>
      <c r="R34" s="59"/>
      <c r="S34" s="59"/>
      <c r="T34" s="59"/>
      <c r="U34" s="59"/>
      <c r="V34" s="59"/>
      <c r="W34" s="100"/>
      <c r="X34" s="59"/>
    </row>
    <row r="35" spans="1:31" s="53" customFormat="1" ht="12" customHeight="1">
      <c r="A35" s="58"/>
      <c r="B35" s="59"/>
      <c r="C35" s="59"/>
      <c r="D35" s="59"/>
      <c r="E35" s="59"/>
      <c r="F35" s="59"/>
      <c r="G35" s="80" t="s">
        <v>4</v>
      </c>
      <c r="H35" s="81">
        <f>L35*$H$28</f>
        <v>1456.9456416267076</v>
      </c>
      <c r="I35" s="154">
        <f>H35/$H$31*10^3</f>
        <v>15866.329360318265</v>
      </c>
      <c r="J35" s="59"/>
      <c r="K35" s="80" t="s">
        <v>4</v>
      </c>
      <c r="L35" s="81">
        <f>P35*$L$28</f>
        <v>1533.6269911860081</v>
      </c>
      <c r="M35" s="92">
        <f>L35/$L$31*10^3</f>
        <v>2524.1887618688147</v>
      </c>
      <c r="N35" s="59"/>
      <c r="O35" s="80" t="s">
        <v>4</v>
      </c>
      <c r="P35" s="81">
        <f t="shared" si="3"/>
        <v>1804.2670484541272</v>
      </c>
      <c r="Q35" s="92">
        <f>P35/$P$31*10^3</f>
        <v>1153.1857681694457</v>
      </c>
      <c r="R35" s="59"/>
      <c r="S35" s="59"/>
      <c r="T35" s="59"/>
      <c r="U35" s="59"/>
      <c r="V35" s="59"/>
      <c r="W35" s="100"/>
      <c r="X35" s="59"/>
    </row>
    <row r="36" spans="1:31" s="53" customFormat="1" ht="12.75" customHeight="1">
      <c r="A36" s="58"/>
      <c r="B36" s="59"/>
      <c r="C36" s="59"/>
      <c r="D36" s="59"/>
      <c r="E36" s="59"/>
      <c r="F36" s="59"/>
      <c r="G36" s="83" t="s">
        <v>5</v>
      </c>
      <c r="H36" s="84">
        <f>L36*$H$28</f>
        <v>765.51270530447653</v>
      </c>
      <c r="I36" s="155">
        <f>H36/$H$31*10^3</f>
        <v>8336.533886266323</v>
      </c>
      <c r="J36" s="59"/>
      <c r="K36" s="83" t="s">
        <v>5</v>
      </c>
      <c r="L36" s="84">
        <f>P36*$L$28</f>
        <v>805.80284768892272</v>
      </c>
      <c r="M36" s="95">
        <f>L36/$L$31*10^3</f>
        <v>1326.2667546332789</v>
      </c>
      <c r="N36" s="59"/>
      <c r="O36" s="83" t="s">
        <v>5</v>
      </c>
      <c r="P36" s="84">
        <f t="shared" si="3"/>
        <v>948.00335022226204</v>
      </c>
      <c r="Q36" s="95">
        <f>P36/$P$31*10^3</f>
        <v>605.91029060245137</v>
      </c>
      <c r="R36" s="59"/>
      <c r="S36" s="59"/>
      <c r="T36" s="59"/>
      <c r="U36" s="59"/>
      <c r="V36" s="59"/>
      <c r="W36" s="100"/>
      <c r="X36" s="59"/>
    </row>
    <row r="37" spans="1:31" s="53" customFormat="1" ht="12" customHeight="1" thickBot="1">
      <c r="A37" s="60"/>
      <c r="B37" s="61"/>
      <c r="C37" s="61"/>
      <c r="D37" s="21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88"/>
      <c r="X37" s="59"/>
    </row>
    <row r="38" spans="1:31" s="53" customFormat="1" ht="12" customHeight="1" thickBot="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88"/>
      <c r="X38" s="59"/>
    </row>
    <row r="39" spans="1:31" s="53" customFormat="1" ht="12" customHeight="1"/>
    <row r="40" spans="1:31" s="53" customFormat="1" ht="12" customHeight="1">
      <c r="T40" s="53" t="s">
        <v>123</v>
      </c>
      <c r="U40" s="53" t="s">
        <v>124</v>
      </c>
    </row>
    <row r="41" spans="1:31" ht="12" customHeight="1" thickBot="1">
      <c r="D41" s="49" t="s">
        <v>110</v>
      </c>
      <c r="I41" s="49">
        <f>(F43*F44)-(F45*G46)+(F47*F48)</f>
        <v>7970.9554101667654</v>
      </c>
      <c r="N41" s="49" t="s">
        <v>114</v>
      </c>
      <c r="R41" s="49" t="s">
        <v>122</v>
      </c>
      <c r="T41" s="49">
        <f>(P43/(1+(P44*P45))*P42*P46)</f>
        <v>4.5819985214548726</v>
      </c>
      <c r="U41" s="49">
        <f>P5*T41/10^3</f>
        <v>655.35657690916048</v>
      </c>
    </row>
    <row r="42" spans="1:31" ht="12" customHeight="1" thickBot="1">
      <c r="K42" s="133" t="s">
        <v>1</v>
      </c>
      <c r="L42" s="160"/>
      <c r="N42" s="49" t="s">
        <v>115</v>
      </c>
      <c r="P42" s="49">
        <f>L48*참조!H6</f>
        <v>68.729977821823084</v>
      </c>
      <c r="T42" s="49">
        <f>L48*참조!H7*(P43/(1+P44*P45))*P47</f>
        <v>0.88585304748127558</v>
      </c>
      <c r="U42" s="49">
        <f>P5*T42/10^3</f>
        <v>126.70227153577105</v>
      </c>
    </row>
    <row r="43" spans="1:31" ht="20.100000000000001" customHeight="1" thickTop="1" thickBot="1">
      <c r="C43" s="49" t="s">
        <v>103</v>
      </c>
      <c r="D43" s="49" t="s">
        <v>101</v>
      </c>
      <c r="F43" s="49">
        <v>0.4</v>
      </c>
      <c r="K43" s="169" t="s">
        <v>2</v>
      </c>
      <c r="L43" s="172">
        <f>Q6</f>
        <v>172.35430279227111</v>
      </c>
      <c r="N43" s="49" t="s">
        <v>116</v>
      </c>
      <c r="P43" s="49">
        <f>0.4</f>
        <v>0.4</v>
      </c>
      <c r="U43" s="49">
        <f>SUM(U41:U42)</f>
        <v>782.05884844493153</v>
      </c>
      <c r="Y43" s="222" t="s">
        <v>139</v>
      </c>
      <c r="Z43" s="223"/>
      <c r="AA43" s="224"/>
      <c r="AC43" s="222" t="s">
        <v>132</v>
      </c>
      <c r="AD43" s="223"/>
      <c r="AE43" s="224"/>
    </row>
    <row r="44" spans="1:31" ht="20.100000000000001" customHeight="1" thickTop="1">
      <c r="C44" s="49" t="s">
        <v>104</v>
      </c>
      <c r="D44" s="49" t="s">
        <v>98</v>
      </c>
      <c r="F44" s="162">
        <f>P6-U6</f>
        <v>23295.747798598695</v>
      </c>
      <c r="K44" s="170" t="s">
        <v>43</v>
      </c>
      <c r="L44" s="173">
        <f>Q7</f>
        <v>134.76466239573156</v>
      </c>
      <c r="N44" s="49" t="s">
        <v>117</v>
      </c>
      <c r="P44" s="49">
        <f>0.08</f>
        <v>0.08</v>
      </c>
      <c r="Y44" s="112" t="s">
        <v>74</v>
      </c>
      <c r="Z44" s="225">
        <v>180</v>
      </c>
      <c r="AA44" s="226"/>
      <c r="AC44" s="112" t="s">
        <v>74</v>
      </c>
      <c r="AD44" s="225">
        <f t="shared" ref="AD44:AD49" si="4">U5*W19</f>
        <v>0</v>
      </c>
      <c r="AE44" s="226"/>
    </row>
    <row r="45" spans="1:31" ht="20.100000000000001" customHeight="1">
      <c r="C45" s="49" t="s">
        <v>105</v>
      </c>
      <c r="D45" s="49" t="s">
        <v>99</v>
      </c>
      <c r="F45" s="49">
        <v>0.05</v>
      </c>
      <c r="K45" s="170" t="s">
        <v>3</v>
      </c>
      <c r="L45" s="173">
        <f>Q8</f>
        <v>119.18407414155335</v>
      </c>
      <c r="N45" s="49" t="s">
        <v>118</v>
      </c>
      <c r="P45" s="49">
        <f>참조!I24</f>
        <v>10</v>
      </c>
      <c r="Y45" s="80" t="s">
        <v>2</v>
      </c>
      <c r="Z45" s="91">
        <v>677</v>
      </c>
      <c r="AA45" s="114">
        <f>Z45/$Z$44*10^3</f>
        <v>3761.1111111111109</v>
      </c>
      <c r="AC45" s="80" t="s">
        <v>2</v>
      </c>
      <c r="AD45" s="91">
        <f t="shared" si="4"/>
        <v>406.75115203902521</v>
      </c>
      <c r="AE45" s="114" t="e">
        <f>AD45/$AD$44*10^3</f>
        <v>#DIV/0!</v>
      </c>
    </row>
    <row r="46" spans="1:31" ht="20.100000000000001" customHeight="1">
      <c r="C46" s="49" t="s">
        <v>106</v>
      </c>
      <c r="D46" s="49" t="s">
        <v>100</v>
      </c>
      <c r="F46" s="49">
        <f>참조!$I$25*참조!$I$26</f>
        <v>2000</v>
      </c>
      <c r="G46" s="49">
        <f>F46*P5/10^3</f>
        <v>286057.08790192805</v>
      </c>
      <c r="K46" s="170" t="s">
        <v>4</v>
      </c>
      <c r="L46" s="173">
        <f>Q9</f>
        <v>39.903260224538919</v>
      </c>
      <c r="N46" s="49" t="s">
        <v>119</v>
      </c>
      <c r="P46" s="49">
        <f>0.3</f>
        <v>0.3</v>
      </c>
      <c r="Y46" s="80" t="s">
        <v>50</v>
      </c>
      <c r="Z46" s="91">
        <v>572</v>
      </c>
      <c r="AA46" s="114">
        <f>Z46/$Z$44*10^3</f>
        <v>3177.7777777777774</v>
      </c>
      <c r="AC46" s="80" t="s">
        <v>50</v>
      </c>
      <c r="AD46" s="91">
        <f t="shared" si="4"/>
        <v>289.12790157757075</v>
      </c>
      <c r="AE46" s="114" t="e">
        <f>AD46/$AD$44*10^3</f>
        <v>#DIV/0!</v>
      </c>
    </row>
    <row r="47" spans="1:31" ht="20.100000000000001" customHeight="1" thickBot="1">
      <c r="C47" s="49" t="s">
        <v>107</v>
      </c>
      <c r="D47" s="49" t="s">
        <v>102</v>
      </c>
      <c r="F47" s="49">
        <v>0.8</v>
      </c>
      <c r="K47" s="171" t="s">
        <v>5</v>
      </c>
      <c r="L47" s="174">
        <f>Q10</f>
        <v>6.5745770093317688</v>
      </c>
      <c r="N47" s="49" t="s">
        <v>120</v>
      </c>
      <c r="P47" s="49">
        <v>0.02</v>
      </c>
      <c r="Y47" s="80" t="s">
        <v>3</v>
      </c>
      <c r="Z47" s="91">
        <v>2866</v>
      </c>
      <c r="AA47" s="114">
        <f>Z47/$Z$44*10^3</f>
        <v>15922.222222222223</v>
      </c>
      <c r="AC47" s="80" t="s">
        <v>3</v>
      </c>
      <c r="AD47" s="91">
        <f t="shared" si="4"/>
        <v>426.16811466525331</v>
      </c>
      <c r="AE47" s="114" t="e">
        <f>AD47/$AD$44*10^3</f>
        <v>#DIV/0!</v>
      </c>
    </row>
    <row r="48" spans="1:31" ht="20.100000000000001" customHeight="1">
      <c r="C48" s="49" t="s">
        <v>108</v>
      </c>
      <c r="D48" s="49" t="s">
        <v>109</v>
      </c>
      <c r="F48" s="162">
        <f>P8-U8</f>
        <v>16194.388357279611</v>
      </c>
      <c r="K48" s="170" t="s">
        <v>44</v>
      </c>
      <c r="L48" s="173">
        <f>L44*1.7</f>
        <v>229.09992607274364</v>
      </c>
      <c r="N48" s="49" t="s">
        <v>121</v>
      </c>
      <c r="P48" s="168">
        <f>V8</f>
        <v>6.0010080968120549</v>
      </c>
      <c r="Y48" s="80" t="s">
        <v>4</v>
      </c>
      <c r="Z48" s="91">
        <v>247</v>
      </c>
      <c r="AA48" s="114">
        <f>Z48/$Z$44*10^3</f>
        <v>1372.2222222222222</v>
      </c>
      <c r="AC48" s="80" t="s">
        <v>4</v>
      </c>
      <c r="AD48" s="91">
        <f t="shared" si="4"/>
        <v>428.04789066091644</v>
      </c>
      <c r="AE48" s="114" t="e">
        <f>AD48/$AD$44*10^3</f>
        <v>#DIV/0!</v>
      </c>
    </row>
    <row r="49" spans="25:31">
      <c r="Y49" s="83" t="s">
        <v>5</v>
      </c>
      <c r="Z49" s="94">
        <v>19</v>
      </c>
      <c r="AA49" s="115">
        <f>Z49/$Z$44*10^3</f>
        <v>105.55555555555556</v>
      </c>
      <c r="AC49" s="83" t="s">
        <v>5</v>
      </c>
      <c r="AD49" s="94">
        <f t="shared" si="4"/>
        <v>58.568531468511729</v>
      </c>
      <c r="AE49" s="115" t="e">
        <f>AD49/$AD$44*10^3</f>
        <v>#DIV/0!</v>
      </c>
    </row>
  </sheetData>
  <mergeCells count="20">
    <mergeCell ref="Y43:AA43"/>
    <mergeCell ref="AC43:AE43"/>
    <mergeCell ref="Z44:AA44"/>
    <mergeCell ref="AD44:AE44"/>
    <mergeCell ref="G30:I30"/>
    <mergeCell ref="K30:M30"/>
    <mergeCell ref="O30:Q30"/>
    <mergeCell ref="H31:I31"/>
    <mergeCell ref="L31:M31"/>
    <mergeCell ref="P31:Q31"/>
    <mergeCell ref="D5:E5"/>
    <mergeCell ref="H5:I5"/>
    <mergeCell ref="L5:M5"/>
    <mergeCell ref="P5:Q5"/>
    <mergeCell ref="U5:V5"/>
    <mergeCell ref="D19:E19"/>
    <mergeCell ref="H19:I19"/>
    <mergeCell ref="L19:M19"/>
    <mergeCell ref="Q19:R19"/>
    <mergeCell ref="U19:V19"/>
  </mergeCells>
  <phoneticPr fontId="1" type="noConversion"/>
  <conditionalFormatting sqref="AB2">
    <cfRule type="cellIs" dxfId="1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E49"/>
  <sheetViews>
    <sheetView tabSelected="1" view="pageBreakPreview" zoomScaleSheetLayoutView="100" workbookViewId="0">
      <selection activeCell="AB2" sqref="AB2:AB8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s="214" customFormat="1" ht="14.25" customHeight="1">
      <c r="A1" s="218"/>
      <c r="B1" s="219"/>
      <c r="C1" s="220" t="s">
        <v>152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1"/>
      <c r="X1" s="211"/>
      <c r="Y1" s="213"/>
      <c r="Z1" s="59"/>
      <c r="AA1" s="113" t="s">
        <v>91</v>
      </c>
      <c r="AB1" s="113" t="s">
        <v>90</v>
      </c>
      <c r="AC1" s="52"/>
      <c r="AD1" s="52"/>
    </row>
    <row r="2" spans="1:30" s="52" customFormat="1" ht="16.5" customHeight="1">
      <c r="A2" s="175"/>
      <c r="B2" s="76"/>
      <c r="C2" s="217" t="s">
        <v>149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142</v>
      </c>
      <c r="V2" s="76"/>
      <c r="W2" s="201"/>
      <c r="X2" s="57"/>
      <c r="Z2" s="113" t="s">
        <v>83</v>
      </c>
      <c r="AA2" s="156">
        <f>P31-L31</f>
        <v>1064.6962469794221</v>
      </c>
      <c r="AB2" s="156">
        <v>1064.6967923476477</v>
      </c>
      <c r="AC2" s="53"/>
      <c r="AD2" s="132">
        <f>AA2-AB2</f>
        <v>-5.4536822563022724E-4</v>
      </c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1"/>
      <c r="X3" s="76"/>
      <c r="Z3" s="113" t="s">
        <v>85</v>
      </c>
      <c r="AA3" s="156">
        <f>L31-H31</f>
        <v>557.04115824962162</v>
      </c>
      <c r="AB3" s="156">
        <v>557.04135551076592</v>
      </c>
      <c r="AC3" s="53"/>
      <c r="AD3" s="132">
        <f t="shared" ref="AD3:AD8" si="0">AA3-AB3</f>
        <v>-1.972611443079586E-4</v>
      </c>
    </row>
    <row r="4" spans="1:30" s="52" customFormat="1" ht="12" customHeight="1" thickBot="1">
      <c r="A4" s="175"/>
      <c r="B4" s="76"/>
      <c r="C4" s="77" t="s">
        <v>97</v>
      </c>
      <c r="D4" s="101"/>
      <c r="E4" s="102"/>
      <c r="F4" s="76"/>
      <c r="G4" s="103" t="s">
        <v>76</v>
      </c>
      <c r="H4" s="104"/>
      <c r="I4" s="105"/>
      <c r="J4" s="124"/>
      <c r="K4" s="109" t="s">
        <v>112</v>
      </c>
      <c r="L4" s="110"/>
      <c r="M4" s="111"/>
      <c r="N4" s="59"/>
      <c r="O4" s="103" t="s">
        <v>143</v>
      </c>
      <c r="P4" s="131"/>
      <c r="Q4" s="102"/>
      <c r="R4" s="76"/>
      <c r="S4" s="76"/>
      <c r="T4" s="103" t="s">
        <v>79</v>
      </c>
      <c r="U4" s="104"/>
      <c r="V4" s="105"/>
      <c r="W4" s="201"/>
      <c r="X4" s="57"/>
      <c r="Z4" s="113" t="s">
        <v>92</v>
      </c>
      <c r="AA4" s="157">
        <f>D20/$D$19*10^3</f>
        <v>2008.838492865543</v>
      </c>
      <c r="AB4" s="157">
        <v>2008.8389756640343</v>
      </c>
      <c r="AC4" s="53"/>
      <c r="AD4" s="132">
        <f t="shared" si="0"/>
        <v>-4.8279849124810426E-4</v>
      </c>
    </row>
    <row r="5" spans="1:30" s="53" customFormat="1" ht="12" customHeight="1" thickTop="1">
      <c r="A5" s="58"/>
      <c r="B5" s="59"/>
      <c r="C5" s="112" t="s">
        <v>74</v>
      </c>
      <c r="D5" s="225">
        <v>148771</v>
      </c>
      <c r="E5" s="226"/>
      <c r="F5" s="123"/>
      <c r="G5" s="130" t="s">
        <v>74</v>
      </c>
      <c r="H5" s="225">
        <f>D5+D19</f>
        <v>150392.73814785841</v>
      </c>
      <c r="I5" s="226"/>
      <c r="J5" s="125"/>
      <c r="K5" s="79" t="s">
        <v>74</v>
      </c>
      <c r="L5" s="225">
        <f>L8/M8*10^3</f>
        <v>602.43128141556861</v>
      </c>
      <c r="M5" s="226"/>
      <c r="N5" s="116" t="s">
        <v>77</v>
      </c>
      <c r="O5" s="130" t="s">
        <v>74</v>
      </c>
      <c r="P5" s="225">
        <f t="shared" ref="P5:P10" si="1">H5-L5</f>
        <v>149790.30686644284</v>
      </c>
      <c r="Q5" s="226"/>
      <c r="R5" s="116" t="s">
        <v>77</v>
      </c>
      <c r="S5" s="59"/>
      <c r="T5" s="90" t="s">
        <v>74</v>
      </c>
      <c r="U5" s="225">
        <f>P5-Q19</f>
        <v>148671.82206251263</v>
      </c>
      <c r="V5" s="226"/>
      <c r="W5" s="100"/>
      <c r="X5" s="59"/>
      <c r="Z5" s="59"/>
      <c r="AA5" s="157">
        <f>D21/$D$19*10^3</f>
        <v>1784.2139778842538</v>
      </c>
      <c r="AB5" s="157">
        <v>1784.2145052371545</v>
      </c>
      <c r="AD5" s="132">
        <f t="shared" si="0"/>
        <v>-5.27352900689948E-4</v>
      </c>
    </row>
    <row r="6" spans="1:30" s="53" customFormat="1" ht="12" customHeight="1">
      <c r="A6" s="58"/>
      <c r="B6" s="59"/>
      <c r="C6" s="80" t="s">
        <v>2</v>
      </c>
      <c r="D6" s="91">
        <f>$D$5*E6/10^3</f>
        <v>35258.726999999999</v>
      </c>
      <c r="E6" s="97">
        <v>237</v>
      </c>
      <c r="F6" s="123"/>
      <c r="G6" s="93" t="s">
        <v>2</v>
      </c>
      <c r="H6" s="91">
        <f>$H$5*I6/10^3</f>
        <v>38516.537799739184</v>
      </c>
      <c r="I6" s="97">
        <f>($D$5*E6+$D$19*E20)/$H$5</f>
        <v>256.1063670632268</v>
      </c>
      <c r="J6" s="126"/>
      <c r="K6" s="80" t="s">
        <v>2</v>
      </c>
      <c r="L6" s="91">
        <f>H6*N6</f>
        <v>11554.961339921754</v>
      </c>
      <c r="M6" s="82">
        <f>L6/$L$5*10^3</f>
        <v>19180.546721893948</v>
      </c>
      <c r="N6" s="117">
        <v>0.3</v>
      </c>
      <c r="O6" s="93" t="s">
        <v>2</v>
      </c>
      <c r="P6" s="91">
        <f t="shared" si="1"/>
        <v>26961.576459817428</v>
      </c>
      <c r="Q6" s="97">
        <f>P6/$P$5*10^3</f>
        <v>179.99546849087579</v>
      </c>
      <c r="R6" s="120">
        <v>0.94499999999999995</v>
      </c>
      <c r="S6" s="59"/>
      <c r="T6" s="93" t="s">
        <v>2</v>
      </c>
      <c r="U6" s="91">
        <f>P6*(1-R6)</f>
        <v>1482.8867052899598</v>
      </c>
      <c r="V6" s="97">
        <f>U6/$U$5*10^3</f>
        <v>9.9742283690210272</v>
      </c>
      <c r="W6" s="100"/>
      <c r="X6" s="59"/>
      <c r="Z6" s="59"/>
      <c r="AA6" s="157">
        <f>D22/$D$19*10^3</f>
        <v>3207.3656620190386</v>
      </c>
      <c r="AB6" s="157">
        <v>3207.3666712489735</v>
      </c>
      <c r="AD6" s="132">
        <f t="shared" si="0"/>
        <v>-1.0092299348798406E-3</v>
      </c>
    </row>
    <row r="7" spans="1:30" s="53" customFormat="1" ht="12" customHeight="1">
      <c r="A7" s="58"/>
      <c r="B7" s="59"/>
      <c r="C7" s="80" t="s">
        <v>50</v>
      </c>
      <c r="D7" s="91">
        <f>$D$5*E7/10^3</f>
        <v>26332.467000000001</v>
      </c>
      <c r="E7" s="97">
        <v>177</v>
      </c>
      <c r="F7" s="123"/>
      <c r="G7" s="93" t="s">
        <v>50</v>
      </c>
      <c r="H7" s="91">
        <f>$H$5*I7/10^3</f>
        <v>29225.995727105419</v>
      </c>
      <c r="I7" s="97">
        <f>($D$5*E7+$D$19*E21)/$H$5</f>
        <v>194.33116310690428</v>
      </c>
      <c r="J7" s="126"/>
      <c r="K7" s="80" t="s">
        <v>50</v>
      </c>
      <c r="L7" s="91">
        <f>H7*N7</f>
        <v>8767.7987181316257</v>
      </c>
      <c r="M7" s="82">
        <f>L7/$L$5*10^3</f>
        <v>14554.022987533795</v>
      </c>
      <c r="N7" s="118">
        <v>0.3</v>
      </c>
      <c r="O7" s="93" t="s">
        <v>50</v>
      </c>
      <c r="P7" s="91">
        <f t="shared" si="1"/>
        <v>20458.197008973795</v>
      </c>
      <c r="Q7" s="97">
        <f>P7/$P$5*10^3</f>
        <v>136.57891112550351</v>
      </c>
      <c r="R7" s="120">
        <v>0.9</v>
      </c>
      <c r="S7" s="59"/>
      <c r="T7" s="93" t="s">
        <v>50</v>
      </c>
      <c r="U7" s="91">
        <f>P7*(1-R7)</f>
        <v>2045.8197008973791</v>
      </c>
      <c r="V7" s="97">
        <f>U7/$U$5*10^3</f>
        <v>13.760641878978015</v>
      </c>
      <c r="W7" s="100"/>
      <c r="X7" s="59"/>
      <c r="Z7" s="59"/>
      <c r="AA7" s="157">
        <f>D23/$D$19*10^3</f>
        <v>234.02156777130759</v>
      </c>
      <c r="AB7" s="157">
        <v>234.02162989652868</v>
      </c>
      <c r="AD7" s="132">
        <f t="shared" si="0"/>
        <v>-6.2125221091946514E-5</v>
      </c>
    </row>
    <row r="8" spans="1:30" s="53" customFormat="1" ht="12" customHeight="1">
      <c r="A8" s="58"/>
      <c r="B8" s="59"/>
      <c r="C8" s="80" t="s">
        <v>3</v>
      </c>
      <c r="D8" s="91">
        <f>$D$5*E8/10^3</f>
        <v>30944.367999999999</v>
      </c>
      <c r="E8" s="97">
        <v>208</v>
      </c>
      <c r="F8" s="123"/>
      <c r="G8" s="93" t="s">
        <v>3</v>
      </c>
      <c r="H8" s="91">
        <f>$H$5*I8/10^3</f>
        <v>36145.876884934114</v>
      </c>
      <c r="I8" s="97">
        <f>($D$5*E8+$D$19*E22)/$H$5</f>
        <v>240.34323285873913</v>
      </c>
      <c r="J8" s="126"/>
      <c r="K8" s="80" t="s">
        <v>3</v>
      </c>
      <c r="L8" s="91">
        <f>H8*N8</f>
        <v>18072.938442467057</v>
      </c>
      <c r="M8" s="82">
        <f>참조!D20*10^6</f>
        <v>30000</v>
      </c>
      <c r="N8" s="118">
        <v>0.5</v>
      </c>
      <c r="O8" s="93" t="s">
        <v>3</v>
      </c>
      <c r="P8" s="91">
        <f t="shared" si="1"/>
        <v>18072.938442467057</v>
      </c>
      <c r="Q8" s="97">
        <f>P8/$P$5*10^3</f>
        <v>120.65492634701246</v>
      </c>
      <c r="R8" s="120">
        <v>0.95</v>
      </c>
      <c r="S8" s="59"/>
      <c r="T8" s="93" t="s">
        <v>3</v>
      </c>
      <c r="U8" s="91">
        <f>P8*(1-R8)</f>
        <v>903.64692212335365</v>
      </c>
      <c r="V8" s="97">
        <f>U8/$U$5*10^3</f>
        <v>6.0781317507724744</v>
      </c>
      <c r="W8" s="100"/>
      <c r="X8" s="59"/>
      <c r="Z8" s="59"/>
      <c r="AA8" s="157">
        <f>D24/$D$19*10^3</f>
        <v>119.45952426569765</v>
      </c>
      <c r="AB8" s="157">
        <v>119.45954284423949</v>
      </c>
      <c r="AD8" s="132">
        <f t="shared" si="0"/>
        <v>-1.8578541840952312E-5</v>
      </c>
    </row>
    <row r="9" spans="1:30" s="53" customFormat="1" ht="12" customHeight="1">
      <c r="A9" s="58"/>
      <c r="B9" s="59"/>
      <c r="C9" s="80" t="s">
        <v>4</v>
      </c>
      <c r="D9" s="91">
        <f>$D$5*E9/10^3</f>
        <v>6798.8347000000003</v>
      </c>
      <c r="E9" s="98">
        <v>45.7</v>
      </c>
      <c r="F9" s="123"/>
      <c r="G9" s="93" t="s">
        <v>4</v>
      </c>
      <c r="H9" s="91">
        <f>$H$5*I9/10^3</f>
        <v>7178.3565046272033</v>
      </c>
      <c r="I9" s="97">
        <f>($D$5*E9+$D$19*E23)/$H$5</f>
        <v>47.730738817786616</v>
      </c>
      <c r="J9" s="127"/>
      <c r="K9" s="80" t="s">
        <v>4</v>
      </c>
      <c r="L9" s="91">
        <f>H9*N9</f>
        <v>1076.7534756940804</v>
      </c>
      <c r="M9" s="114">
        <f>L9/$L$5*10^3</f>
        <v>1787.3465553846552</v>
      </c>
      <c r="N9" s="118">
        <v>0.15</v>
      </c>
      <c r="O9" s="93" t="s">
        <v>4</v>
      </c>
      <c r="P9" s="91">
        <f t="shared" si="1"/>
        <v>6101.6030289331229</v>
      </c>
      <c r="Q9" s="98">
        <f>P9/$P$5*10^3</f>
        <v>40.734298210454163</v>
      </c>
      <c r="R9" s="120">
        <v>0.75</v>
      </c>
      <c r="S9" s="59"/>
      <c r="T9" s="93" t="s">
        <v>4</v>
      </c>
      <c r="U9" s="91">
        <f>P9*(1-R9)</f>
        <v>1525.4007572332807</v>
      </c>
      <c r="V9" s="98">
        <f>U9/$U$5*10^3</f>
        <v>10.260187411921875</v>
      </c>
      <c r="W9" s="100"/>
      <c r="X9" s="59"/>
    </row>
    <row r="10" spans="1:30" s="53" customFormat="1" ht="12" customHeight="1">
      <c r="A10" s="58"/>
      <c r="B10" s="59"/>
      <c r="C10" s="83" t="s">
        <v>5</v>
      </c>
      <c r="D10" s="94">
        <f>$D$5*E10/10^3</f>
        <v>981.8886</v>
      </c>
      <c r="E10" s="99">
        <v>6.6</v>
      </c>
      <c r="F10" s="123"/>
      <c r="G10" s="96" t="s">
        <v>5</v>
      </c>
      <c r="H10" s="94">
        <f>$H$5*I10/10^3</f>
        <v>1175.6206977562297</v>
      </c>
      <c r="I10" s="122">
        <f>($D$5*E10+$D$19*E24)/$H$5</f>
        <v>7.8170044128089469</v>
      </c>
      <c r="J10" s="127"/>
      <c r="K10" s="83" t="s">
        <v>5</v>
      </c>
      <c r="L10" s="94">
        <f>H10*N10</f>
        <v>176.34310466343445</v>
      </c>
      <c r="M10" s="115">
        <f>L10/L5*10^3</f>
        <v>292.71903718059025</v>
      </c>
      <c r="N10" s="119">
        <v>0.15</v>
      </c>
      <c r="O10" s="96" t="s">
        <v>5</v>
      </c>
      <c r="P10" s="94">
        <f t="shared" si="1"/>
        <v>999.2775930927952</v>
      </c>
      <c r="Q10" s="99">
        <f>P10/$P$5*10^3</f>
        <v>6.67117662015192</v>
      </c>
      <c r="R10" s="121">
        <f>Q24/P10</f>
        <v>0.83065731922902786</v>
      </c>
      <c r="S10" s="59"/>
      <c r="T10" s="96" t="s">
        <v>5</v>
      </c>
      <c r="U10" s="94">
        <f>P10-Q24</f>
        <v>169.22034644869859</v>
      </c>
      <c r="V10" s="99">
        <f>U10/$U$5*10^3</f>
        <v>1.1382139809758023</v>
      </c>
      <c r="W10" s="100"/>
      <c r="X10" s="59"/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2"/>
      <c r="X11" s="59"/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5" t="s">
        <v>146</v>
      </c>
      <c r="J12" s="166"/>
      <c r="K12" s="86"/>
      <c r="L12" s="87"/>
      <c r="M12" s="59"/>
      <c r="N12" s="85" t="s">
        <v>81</v>
      </c>
      <c r="O12" s="86"/>
      <c r="P12" s="87"/>
      <c r="Q12" s="59"/>
      <c r="R12" s="190" t="s">
        <v>133</v>
      </c>
      <c r="S12" s="191"/>
      <c r="T12" s="176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4"/>
      <c r="J13" s="167"/>
      <c r="K13" s="61"/>
      <c r="L13" s="88"/>
      <c r="M13" s="59"/>
      <c r="N13" s="60"/>
      <c r="O13" s="61"/>
      <c r="P13" s="88"/>
      <c r="Q13" s="59"/>
      <c r="R13" s="192"/>
      <c r="S13" s="193"/>
      <c r="T13" s="176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140</v>
      </c>
      <c r="M15" s="24"/>
      <c r="N15" s="24"/>
      <c r="O15" s="24"/>
      <c r="P15" s="76"/>
      <c r="Q15" s="24"/>
      <c r="R15" s="24"/>
      <c r="S15" s="76"/>
      <c r="T15" s="197" t="s">
        <v>137</v>
      </c>
      <c r="U15" s="198"/>
      <c r="V15" s="198"/>
      <c r="W15" s="203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7" t="s">
        <v>131</v>
      </c>
      <c r="U16" s="188">
        <f>U10*W16</f>
        <v>59.227121257044502</v>
      </c>
      <c r="V16" s="196">
        <f>U16/$U$19*10^3</f>
        <v>0.39837489334153076</v>
      </c>
      <c r="W16" s="204">
        <v>0.35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85</v>
      </c>
      <c r="H18" s="107"/>
      <c r="I18" s="108"/>
      <c r="J18" s="59"/>
      <c r="K18" s="106" t="s">
        <v>83</v>
      </c>
      <c r="L18" s="107"/>
      <c r="M18" s="108"/>
      <c r="N18" s="59"/>
      <c r="O18" s="59"/>
      <c r="P18" s="109" t="s">
        <v>125</v>
      </c>
      <c r="Q18" s="110"/>
      <c r="R18" s="111"/>
      <c r="S18" s="59"/>
      <c r="T18" s="181" t="s">
        <v>134</v>
      </c>
      <c r="U18" s="182"/>
      <c r="V18" s="183"/>
      <c r="W18" s="205" t="s">
        <v>77</v>
      </c>
      <c r="X18" s="59"/>
      <c r="Y18" s="177" t="s">
        <v>80</v>
      </c>
    </row>
    <row r="19" spans="1:29" s="53" customFormat="1" ht="12" customHeight="1" thickTop="1">
      <c r="A19" s="58"/>
      <c r="B19" s="59"/>
      <c r="C19" s="112" t="s">
        <v>74</v>
      </c>
      <c r="D19" s="229">
        <f t="shared" ref="D19:D24" si="2">H19+L19</f>
        <v>1621.7381478584136</v>
      </c>
      <c r="E19" s="226"/>
      <c r="F19" s="59"/>
      <c r="G19" s="112" t="s">
        <v>74</v>
      </c>
      <c r="H19" s="229">
        <f>AB3</f>
        <v>557.04135551076592</v>
      </c>
      <c r="I19" s="226"/>
      <c r="J19" s="59"/>
      <c r="K19" s="79" t="s">
        <v>74</v>
      </c>
      <c r="L19" s="229">
        <f>AB2</f>
        <v>1064.6967923476477</v>
      </c>
      <c r="M19" s="226"/>
      <c r="N19" s="59"/>
      <c r="O19" s="59"/>
      <c r="P19" s="79" t="s">
        <v>74</v>
      </c>
      <c r="Q19" s="225">
        <f>Q22/R22*10^3</f>
        <v>1118.4848039302085</v>
      </c>
      <c r="R19" s="226"/>
      <c r="S19" s="59"/>
      <c r="T19" s="184" t="s">
        <v>126</v>
      </c>
      <c r="U19" s="225">
        <f>U5</f>
        <v>148671.82206251263</v>
      </c>
      <c r="V19" s="230"/>
      <c r="W19" s="206"/>
      <c r="X19" s="59"/>
      <c r="Y19" s="178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3257.8100167664525</v>
      </c>
      <c r="E20" s="114">
        <f>AB4</f>
        <v>2008.8389756640343</v>
      </c>
      <c r="F20" s="59"/>
      <c r="G20" s="80" t="s">
        <v>2</v>
      </c>
      <c r="H20" s="81">
        <f>L32-H32</f>
        <v>719.25675694843812</v>
      </c>
      <c r="I20" s="114">
        <f>H20/$H$19*10^3</f>
        <v>1291.2089018757551</v>
      </c>
      <c r="J20" s="59"/>
      <c r="K20" s="80" t="s">
        <v>2</v>
      </c>
      <c r="L20" s="81">
        <f>P32-L32</f>
        <v>2538.5532598180143</v>
      </c>
      <c r="M20" s="92">
        <f>L20/$L$19*10^3</f>
        <v>2384.2968984817971</v>
      </c>
      <c r="N20" s="59"/>
      <c r="O20" s="59"/>
      <c r="P20" s="80" t="s">
        <v>2</v>
      </c>
      <c r="Q20" s="91">
        <f>Q22*0.6</f>
        <v>5368.7270588650008</v>
      </c>
      <c r="R20" s="82">
        <f>Q20/$Q$19*10^3</f>
        <v>4800</v>
      </c>
      <c r="S20" s="59"/>
      <c r="T20" s="185" t="s">
        <v>127</v>
      </c>
      <c r="U20" s="91">
        <f>U6-AD45</f>
        <v>1038.0206937029718</v>
      </c>
      <c r="V20" s="186">
        <f>U20/$U$19*10^3</f>
        <v>6.9819598583147187</v>
      </c>
      <c r="W20" s="206">
        <v>0.3</v>
      </c>
      <c r="X20" s="59"/>
      <c r="Y20" s="179">
        <f>1-(U20/D6)</f>
        <v>0.97055989305277612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2893.5278718771024</v>
      </c>
      <c r="E21" s="114">
        <f>AB5</f>
        <v>1784.2145052371545</v>
      </c>
      <c r="F21" s="59"/>
      <c r="G21" s="80" t="s">
        <v>50</v>
      </c>
      <c r="H21" s="81">
        <f>L33-H33</f>
        <v>638.83082885598378</v>
      </c>
      <c r="I21" s="114">
        <f>H21/$H$19*10^3</f>
        <v>1146.8283683717216</v>
      </c>
      <c r="J21" s="59"/>
      <c r="K21" s="80" t="s">
        <v>50</v>
      </c>
      <c r="L21" s="81">
        <f>P33-L33</f>
        <v>2254.6970430211186</v>
      </c>
      <c r="M21" s="92">
        <f>L21/$L$19*10^3</f>
        <v>2117.6893358056714</v>
      </c>
      <c r="N21" s="59"/>
      <c r="O21" s="59"/>
      <c r="P21" s="80" t="s">
        <v>50</v>
      </c>
      <c r="Q21" s="91">
        <f>Q22*0.7</f>
        <v>6263.5149020091676</v>
      </c>
      <c r="R21" s="82">
        <f>Q21/$Q$19*10^3</f>
        <v>5600</v>
      </c>
      <c r="S21" s="59"/>
      <c r="T21" s="185" t="s">
        <v>128</v>
      </c>
      <c r="U21" s="91">
        <f>U7-AD46</f>
        <v>1738.9467457627723</v>
      </c>
      <c r="V21" s="186">
        <f>U21/$U$19*10^3</f>
        <v>11.696545597131314</v>
      </c>
      <c r="W21" s="206">
        <v>0.15</v>
      </c>
      <c r="X21" s="59"/>
      <c r="Y21" s="179">
        <f>1-(U21/D7)</f>
        <v>0.93396187505854378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5201.50724822743</v>
      </c>
      <c r="E22" s="114">
        <f>AB6</f>
        <v>3207.3666712489735</v>
      </c>
      <c r="F22" s="59"/>
      <c r="G22" s="80" t="s">
        <v>3</v>
      </c>
      <c r="H22" s="81">
        <f>L34-H34</f>
        <v>1148.3847171411217</v>
      </c>
      <c r="I22" s="114">
        <f>H22/$H$19*10^3</f>
        <v>2061.578921888371</v>
      </c>
      <c r="J22" s="59"/>
      <c r="K22" s="80" t="s">
        <v>3</v>
      </c>
      <c r="L22" s="81">
        <f>P34-L34</f>
        <v>4053.1225310863083</v>
      </c>
      <c r="M22" s="92">
        <f>L22/$L$19*10^3</f>
        <v>3806.8326684343683</v>
      </c>
      <c r="N22" s="59"/>
      <c r="O22" s="59"/>
      <c r="P22" s="80" t="s">
        <v>3</v>
      </c>
      <c r="Q22" s="91">
        <f>I41</f>
        <v>8947.878431441668</v>
      </c>
      <c r="R22" s="82">
        <f>참조!D52*10^6</f>
        <v>8000</v>
      </c>
      <c r="S22" s="59"/>
      <c r="T22" s="185" t="s">
        <v>129</v>
      </c>
      <c r="U22" s="91">
        <f>U8-AD47</f>
        <v>451.82346106167682</v>
      </c>
      <c r="V22" s="186">
        <f>U22/$U$19*10^3</f>
        <v>3.0390658753862372</v>
      </c>
      <c r="W22" s="206">
        <v>0.5</v>
      </c>
      <c r="X22" s="59"/>
      <c r="Y22" s="179">
        <f>1-(U22/D8)</f>
        <v>0.98539884669605537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379.52170387636261</v>
      </c>
      <c r="E23" s="114">
        <f>AB7</f>
        <v>234.02162989652868</v>
      </c>
      <c r="F23" s="59"/>
      <c r="G23" s="80" t="s">
        <v>4</v>
      </c>
      <c r="H23" s="81">
        <f>L35-H35</f>
        <v>83.790506050625481</v>
      </c>
      <c r="I23" s="114">
        <f>H23/$H$19*10^3</f>
        <v>150.42061998035271</v>
      </c>
      <c r="J23" s="59"/>
      <c r="K23" s="80" t="s">
        <v>4</v>
      </c>
      <c r="L23" s="81">
        <f>P35-L35</f>
        <v>295.73119782573713</v>
      </c>
      <c r="M23" s="92">
        <f>L23/$L$19*10^3</f>
        <v>277.76095499795042</v>
      </c>
      <c r="N23" s="59"/>
      <c r="O23" s="59"/>
      <c r="P23" s="80" t="s">
        <v>4</v>
      </c>
      <c r="Q23" s="91">
        <f>Q22*AC30</f>
        <v>894.7878431441668</v>
      </c>
      <c r="R23" s="114">
        <f>Q23/$Q$19*10^3</f>
        <v>800</v>
      </c>
      <c r="S23" s="59"/>
      <c r="T23" s="185" t="s">
        <v>130</v>
      </c>
      <c r="U23" s="91">
        <f>U9*(1-W23)</f>
        <v>1067.7805300632965</v>
      </c>
      <c r="V23" s="186">
        <f>U23/$U$19*10^3</f>
        <v>7.1821311883453109</v>
      </c>
      <c r="W23" s="206">
        <v>0.3</v>
      </c>
      <c r="X23" s="59"/>
      <c r="Y23" s="179">
        <f>1-(U23/D9)</f>
        <v>0.84294653757896243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193.73206762669975</v>
      </c>
      <c r="E24" s="115">
        <f>AB8</f>
        <v>119.45954284423949</v>
      </c>
      <c r="F24" s="59"/>
      <c r="G24" s="83" t="s">
        <v>5</v>
      </c>
      <c r="H24" s="84">
        <f>L36-H36</f>
        <v>42.772014930570094</v>
      </c>
      <c r="I24" s="115">
        <f>H24/$H$19*10^3</f>
        <v>76.784271952934816</v>
      </c>
      <c r="J24" s="59"/>
      <c r="K24" s="83" t="s">
        <v>5</v>
      </c>
      <c r="L24" s="84">
        <f>P36-L36</f>
        <v>150.96005269612965</v>
      </c>
      <c r="M24" s="95">
        <f>L24/$L$19*10^3</f>
        <v>141.78689536883451</v>
      </c>
      <c r="N24" s="59"/>
      <c r="O24" s="59"/>
      <c r="P24" s="83" t="s">
        <v>5</v>
      </c>
      <c r="Q24" s="94">
        <f>U43</f>
        <v>830.05724664409661</v>
      </c>
      <c r="R24" s="115">
        <f>Q24/Q19*10^3</f>
        <v>742.1265302196191</v>
      </c>
      <c r="S24" s="59"/>
      <c r="T24" s="187" t="s">
        <v>131</v>
      </c>
      <c r="U24" s="188">
        <f>U10-U16</f>
        <v>109.99322519165409</v>
      </c>
      <c r="V24" s="189">
        <f>U24/$U$19*10^3</f>
        <v>0.73983908763427142</v>
      </c>
      <c r="W24" s="207">
        <f>W16</f>
        <v>0.35</v>
      </c>
      <c r="X24" s="59"/>
      <c r="Y24" s="180">
        <f>1-(U24/D10)</f>
        <v>0.88797789770483726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95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P31/D5*100</f>
        <v>1.156755070104911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82</v>
      </c>
      <c r="H27" s="87"/>
      <c r="I27" s="58"/>
      <c r="J27" s="59"/>
      <c r="K27" s="85" t="s">
        <v>145</v>
      </c>
      <c r="L27" s="87"/>
      <c r="M27" s="59"/>
      <c r="N27" s="59"/>
      <c r="O27" s="85" t="s">
        <v>88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 thickBot="1">
      <c r="A28" s="58"/>
      <c r="B28" s="59"/>
      <c r="C28" s="59"/>
      <c r="D28" s="59"/>
      <c r="E28" s="59"/>
      <c r="F28" s="59"/>
      <c r="G28" s="60" t="s">
        <v>89</v>
      </c>
      <c r="H28" s="215">
        <f>참조!G47</f>
        <v>0.95</v>
      </c>
      <c r="I28" s="58"/>
      <c r="J28" s="59"/>
      <c r="K28" s="60" t="s">
        <v>89</v>
      </c>
      <c r="L28" s="215">
        <f>참조!D56</f>
        <v>0.85</v>
      </c>
      <c r="M28" s="59"/>
      <c r="N28" s="59"/>
      <c r="O28" s="60" t="s">
        <v>141</v>
      </c>
      <c r="P28" s="61"/>
      <c r="Q28" s="88"/>
      <c r="R28" s="59"/>
      <c r="S28" s="59"/>
      <c r="T28" s="59"/>
      <c r="U28" s="59"/>
      <c r="V28" s="59"/>
      <c r="W28" s="100"/>
      <c r="X28" s="59"/>
    </row>
    <row r="29" spans="1:29" s="53" customFormat="1" ht="12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100"/>
      <c r="X29" s="59"/>
      <c r="AA29" s="53" t="s">
        <v>93</v>
      </c>
      <c r="AC29" s="53" t="s">
        <v>111</v>
      </c>
    </row>
    <row r="30" spans="1:29" s="53" customFormat="1" ht="12" customHeight="1" thickBot="1">
      <c r="A30" s="58"/>
      <c r="B30" s="59"/>
      <c r="C30" s="59"/>
      <c r="D30" s="59"/>
      <c r="E30" s="59"/>
      <c r="F30" s="59"/>
      <c r="G30" s="222" t="s">
        <v>86</v>
      </c>
      <c r="H30" s="223"/>
      <c r="I30" s="224"/>
      <c r="J30" s="59"/>
      <c r="K30" s="222" t="s">
        <v>84</v>
      </c>
      <c r="L30" s="223"/>
      <c r="M30" s="224"/>
      <c r="N30" s="59"/>
      <c r="O30" s="222" t="s">
        <v>87</v>
      </c>
      <c r="P30" s="223"/>
      <c r="Q30" s="224"/>
      <c r="R30" s="59"/>
      <c r="S30" s="59"/>
      <c r="T30" s="59"/>
      <c r="U30" s="59"/>
      <c r="V30" s="59"/>
      <c r="W30" s="100"/>
      <c r="X30" s="59"/>
      <c r="Z30" s="53" t="s">
        <v>12</v>
      </c>
      <c r="AA30" s="53">
        <f>P36/P34*100</f>
        <v>3.7245371078300384</v>
      </c>
      <c r="AC30" s="163">
        <v>0.1</v>
      </c>
    </row>
    <row r="31" spans="1:29" s="53" customFormat="1" ht="12" customHeight="1" thickTop="1">
      <c r="A31" s="58"/>
      <c r="B31" s="59"/>
      <c r="C31" s="59"/>
      <c r="D31" s="59"/>
      <c r="E31" s="59"/>
      <c r="F31" s="59"/>
      <c r="G31" s="112" t="s">
        <v>74</v>
      </c>
      <c r="H31" s="227">
        <f>H34/I34*10^3</f>
        <v>99.178680116733176</v>
      </c>
      <c r="I31" s="228"/>
      <c r="J31" s="59"/>
      <c r="K31" s="112" t="s">
        <v>74</v>
      </c>
      <c r="L31" s="229">
        <f>L34/M34*10^3</f>
        <v>656.21983836635479</v>
      </c>
      <c r="M31" s="226"/>
      <c r="N31" s="59"/>
      <c r="O31" s="79" t="s">
        <v>74</v>
      </c>
      <c r="P31" s="229">
        <f t="shared" ref="P31:P36" si="3">Q19+L5</f>
        <v>1720.916085345777</v>
      </c>
      <c r="Q31" s="226"/>
      <c r="R31" s="59"/>
      <c r="S31" s="59"/>
      <c r="T31" s="59"/>
      <c r="U31" s="59"/>
      <c r="V31" s="59"/>
      <c r="W31" s="100"/>
      <c r="X31" s="59"/>
      <c r="Z31" s="53" t="s">
        <v>94</v>
      </c>
      <c r="AA31" s="53">
        <f>P36/P34/0.8*100</f>
        <v>4.6556713847875475</v>
      </c>
    </row>
    <row r="32" spans="1:29" s="53" customFormat="1" ht="12" customHeight="1">
      <c r="A32" s="58"/>
      <c r="B32" s="59"/>
      <c r="C32" s="59"/>
      <c r="D32" s="59"/>
      <c r="E32" s="59"/>
      <c r="F32" s="59"/>
      <c r="G32" s="80" t="s">
        <v>2</v>
      </c>
      <c r="H32" s="81">
        <f>L32*$H$28</f>
        <v>13665.878382020303</v>
      </c>
      <c r="I32" s="154">
        <f>H32/$H$31*10^3</f>
        <v>137790.48446637506</v>
      </c>
      <c r="J32" s="59"/>
      <c r="K32" s="80" t="s">
        <v>2</v>
      </c>
      <c r="L32" s="81">
        <f>P32*$L$28</f>
        <v>14385.135138968741</v>
      </c>
      <c r="M32" s="92">
        <f>L32/L31*10^3</f>
        <v>21921.213437832397</v>
      </c>
      <c r="N32" s="59"/>
      <c r="O32" s="80" t="s">
        <v>2</v>
      </c>
      <c r="P32" s="81">
        <f t="shared" si="3"/>
        <v>16923.688398786755</v>
      </c>
      <c r="Q32" s="92">
        <f>P32/$P$31*10^3</f>
        <v>9834.115993741987</v>
      </c>
      <c r="R32" s="59"/>
      <c r="S32" s="59"/>
      <c r="T32" s="59"/>
      <c r="U32" s="59"/>
      <c r="V32" s="59"/>
      <c r="W32" s="100"/>
      <c r="X32" s="59"/>
    </row>
    <row r="33" spans="1:31" s="53" customFormat="1" ht="12" customHeight="1">
      <c r="A33" s="58"/>
      <c r="B33" s="59"/>
      <c r="C33" s="59"/>
      <c r="D33" s="59"/>
      <c r="E33" s="59"/>
      <c r="F33" s="59"/>
      <c r="G33" s="80" t="s">
        <v>50</v>
      </c>
      <c r="H33" s="81">
        <f>L33*$H$28</f>
        <v>12137.785748263692</v>
      </c>
      <c r="I33" s="154">
        <f>H33/$H$31*10^3</f>
        <v>122383.01350630533</v>
      </c>
      <c r="J33" s="59"/>
      <c r="K33" s="80" t="s">
        <v>50</v>
      </c>
      <c r="L33" s="81">
        <f>P33*$L$28</f>
        <v>12776.616577119676</v>
      </c>
      <c r="M33" s="92">
        <f>L33/$L$31*10^3</f>
        <v>19470.024876003125</v>
      </c>
      <c r="N33" s="59"/>
      <c r="O33" s="80" t="s">
        <v>50</v>
      </c>
      <c r="P33" s="81">
        <f t="shared" si="3"/>
        <v>15031.313620140794</v>
      </c>
      <c r="Q33" s="92">
        <f>P33/$P$31*10^3</f>
        <v>8734.4837718340059</v>
      </c>
      <c r="R33" s="59"/>
      <c r="S33" s="59"/>
      <c r="T33" s="59"/>
      <c r="U33" s="59"/>
      <c r="V33" s="59"/>
      <c r="W33" s="100"/>
      <c r="X33" s="59"/>
    </row>
    <row r="34" spans="1:31" s="53" customFormat="1" ht="12" customHeight="1">
      <c r="A34" s="58"/>
      <c r="B34" s="59"/>
      <c r="C34" s="59"/>
      <c r="D34" s="59"/>
      <c r="E34" s="59"/>
      <c r="F34" s="59"/>
      <c r="G34" s="80" t="s">
        <v>3</v>
      </c>
      <c r="H34" s="81">
        <f>L34*$H$28</f>
        <v>21819.309625681297</v>
      </c>
      <c r="I34" s="154">
        <f>참조!G48*10^6</f>
        <v>220000</v>
      </c>
      <c r="J34" s="59"/>
      <c r="K34" s="80" t="s">
        <v>3</v>
      </c>
      <c r="L34" s="81">
        <f>P34*$L$28</f>
        <v>22967.694342822419</v>
      </c>
      <c r="M34" s="92">
        <f>참조!D57*10^6</f>
        <v>35000</v>
      </c>
      <c r="N34" s="59"/>
      <c r="O34" s="80" t="s">
        <v>3</v>
      </c>
      <c r="P34" s="81">
        <f t="shared" si="3"/>
        <v>27020.816873908727</v>
      </c>
      <c r="Q34" s="92">
        <f>P34/$P$31*10^3</f>
        <v>15701.414557049444</v>
      </c>
      <c r="R34" s="59"/>
      <c r="S34" s="59"/>
      <c r="T34" s="59"/>
      <c r="U34" s="59"/>
      <c r="V34" s="59"/>
      <c r="W34" s="100"/>
      <c r="X34" s="59"/>
    </row>
    <row r="35" spans="1:31" s="53" customFormat="1" ht="12" customHeight="1">
      <c r="A35" s="58"/>
      <c r="B35" s="59"/>
      <c r="C35" s="59"/>
      <c r="D35" s="59"/>
      <c r="E35" s="59"/>
      <c r="F35" s="59"/>
      <c r="G35" s="80" t="s">
        <v>4</v>
      </c>
      <c r="H35" s="81">
        <f>L35*$H$28</f>
        <v>1592.0196149618846</v>
      </c>
      <c r="I35" s="154">
        <f>H35/$H$31*10^3</f>
        <v>16052.034702297708</v>
      </c>
      <c r="J35" s="59"/>
      <c r="K35" s="80" t="s">
        <v>4</v>
      </c>
      <c r="L35" s="81">
        <f>P35*$L$28</f>
        <v>1675.8101210125101</v>
      </c>
      <c r="M35" s="92">
        <f>L35/$L$31*10^3</f>
        <v>2553.7327935473627</v>
      </c>
      <c r="N35" s="59"/>
      <c r="O35" s="80" t="s">
        <v>4</v>
      </c>
      <c r="P35" s="81">
        <f t="shared" si="3"/>
        <v>1971.5413188382472</v>
      </c>
      <c r="Q35" s="92">
        <f>P35/$P$31*10^3</f>
        <v>1145.6347788405458</v>
      </c>
      <c r="R35" s="59"/>
      <c r="S35" s="59"/>
      <c r="T35" s="59"/>
      <c r="U35" s="59"/>
      <c r="V35" s="59"/>
      <c r="W35" s="100"/>
      <c r="X35" s="59"/>
    </row>
    <row r="36" spans="1:31" s="53" customFormat="1" ht="12.75" customHeight="1">
      <c r="A36" s="58"/>
      <c r="B36" s="59"/>
      <c r="C36" s="59"/>
      <c r="D36" s="59"/>
      <c r="E36" s="59"/>
      <c r="F36" s="59"/>
      <c r="G36" s="83" t="s">
        <v>5</v>
      </c>
      <c r="H36" s="84">
        <f>L36*$H$28</f>
        <v>812.66828368083134</v>
      </c>
      <c r="I36" s="155">
        <f>H36/$H$31*10^3</f>
        <v>8193.9816372260848</v>
      </c>
      <c r="J36" s="59"/>
      <c r="K36" s="83" t="s">
        <v>5</v>
      </c>
      <c r="L36" s="84">
        <f>P36*$L$28</f>
        <v>855.44029861140143</v>
      </c>
      <c r="M36" s="95">
        <f>L36/$L$31*10^3</f>
        <v>1303.5879877405134</v>
      </c>
      <c r="N36" s="59"/>
      <c r="O36" s="83" t="s">
        <v>5</v>
      </c>
      <c r="P36" s="84">
        <f t="shared" si="3"/>
        <v>1006.4003513075311</v>
      </c>
      <c r="Q36" s="95">
        <f>P36/$P$31*10^3</f>
        <v>584.80501163153394</v>
      </c>
      <c r="R36" s="59"/>
      <c r="S36" s="59"/>
      <c r="T36" s="59"/>
      <c r="U36" s="59"/>
      <c r="V36" s="59"/>
      <c r="W36" s="100"/>
      <c r="X36" s="59"/>
    </row>
    <row r="37" spans="1:31" s="53" customFormat="1" ht="12" customHeight="1" thickBot="1">
      <c r="A37" s="60"/>
      <c r="B37" s="61"/>
      <c r="C37" s="61"/>
      <c r="D37" s="21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88"/>
      <c r="X37" s="59"/>
    </row>
    <row r="38" spans="1:31" s="53" customFormat="1" ht="12" customHeight="1" thickBot="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88"/>
      <c r="X38" s="59"/>
    </row>
    <row r="39" spans="1:31" s="53" customFormat="1" ht="12" customHeight="1"/>
    <row r="40" spans="1:31" s="53" customFormat="1" ht="12" customHeight="1">
      <c r="T40" s="53" t="s">
        <v>123</v>
      </c>
      <c r="U40" s="53" t="s">
        <v>124</v>
      </c>
    </row>
    <row r="41" spans="1:31" ht="12" customHeight="1" thickBot="1">
      <c r="D41" s="49" t="s">
        <v>110</v>
      </c>
      <c r="I41" s="49">
        <f>(F43*F44)-(F45*G46)+(F47*F48)</f>
        <v>8947.878431441668</v>
      </c>
      <c r="N41" s="49" t="s">
        <v>114</v>
      </c>
      <c r="R41" s="49" t="s">
        <v>122</v>
      </c>
      <c r="T41" s="49">
        <f>(P43/(1+(P44*P45))*P42*P46)</f>
        <v>4.643682978267119</v>
      </c>
      <c r="U41" s="49">
        <f>P5*T41/10^3</f>
        <v>695.5786983051089</v>
      </c>
    </row>
    <row r="42" spans="1:31" ht="12" customHeight="1" thickBot="1">
      <c r="K42" s="133" t="s">
        <v>1</v>
      </c>
      <c r="L42" s="160"/>
      <c r="N42" s="49" t="s">
        <v>115</v>
      </c>
      <c r="P42" s="49">
        <f>L48*참조!H6</f>
        <v>69.655244674006781</v>
      </c>
      <c r="T42" s="49">
        <f>L48*참조!H7*(P43/(1+P44*P45))*P47</f>
        <v>0.89777870913164304</v>
      </c>
      <c r="U42" s="49">
        <f>P5*T42/10^3</f>
        <v>134.47854833898774</v>
      </c>
    </row>
    <row r="43" spans="1:31" ht="20.100000000000001" customHeight="1" thickTop="1" thickBot="1">
      <c r="C43" s="49" t="s">
        <v>103</v>
      </c>
      <c r="D43" s="49" t="s">
        <v>101</v>
      </c>
      <c r="F43" s="49">
        <v>0.4</v>
      </c>
      <c r="K43" s="169" t="s">
        <v>2</v>
      </c>
      <c r="L43" s="172">
        <f>Q6</f>
        <v>179.99546849087579</v>
      </c>
      <c r="N43" s="49" t="s">
        <v>116</v>
      </c>
      <c r="P43" s="49">
        <f>0.4</f>
        <v>0.4</v>
      </c>
      <c r="U43" s="49">
        <f>SUM(U41:U42)</f>
        <v>830.05724664409661</v>
      </c>
      <c r="Y43" s="222" t="s">
        <v>139</v>
      </c>
      <c r="Z43" s="223"/>
      <c r="AA43" s="224"/>
      <c r="AC43" s="222" t="s">
        <v>132</v>
      </c>
      <c r="AD43" s="223"/>
      <c r="AE43" s="224"/>
    </row>
    <row r="44" spans="1:31" ht="20.100000000000001" customHeight="1" thickTop="1">
      <c r="C44" s="49" t="s">
        <v>104</v>
      </c>
      <c r="D44" s="49" t="s">
        <v>98</v>
      </c>
      <c r="F44" s="162">
        <f>P6-U6</f>
        <v>25478.68975452747</v>
      </c>
      <c r="K44" s="170" t="s">
        <v>43</v>
      </c>
      <c r="L44" s="173">
        <f>Q7</f>
        <v>136.57891112550351</v>
      </c>
      <c r="N44" s="49" t="s">
        <v>117</v>
      </c>
      <c r="P44" s="49">
        <f>0.08</f>
        <v>0.08</v>
      </c>
      <c r="Y44" s="112" t="s">
        <v>74</v>
      </c>
      <c r="Z44" s="225">
        <v>180</v>
      </c>
      <c r="AA44" s="226"/>
      <c r="AC44" s="112" t="s">
        <v>74</v>
      </c>
      <c r="AD44" s="225">
        <f t="shared" ref="AD44:AD49" si="4">U5*W19</f>
        <v>0</v>
      </c>
      <c r="AE44" s="226"/>
    </row>
    <row r="45" spans="1:31" ht="20.100000000000001" customHeight="1">
      <c r="C45" s="49" t="s">
        <v>105</v>
      </c>
      <c r="D45" s="49" t="s">
        <v>99</v>
      </c>
      <c r="F45" s="49">
        <v>0.05</v>
      </c>
      <c r="K45" s="170" t="s">
        <v>3</v>
      </c>
      <c r="L45" s="173">
        <f>Q8</f>
        <v>120.65492634701246</v>
      </c>
      <c r="N45" s="49" t="s">
        <v>118</v>
      </c>
      <c r="P45" s="49">
        <f>참조!I24</f>
        <v>10</v>
      </c>
      <c r="Y45" s="80" t="s">
        <v>2</v>
      </c>
      <c r="Z45" s="91">
        <v>677</v>
      </c>
      <c r="AA45" s="114">
        <f>Z45/$Z$44*10^3</f>
        <v>3761.1111111111109</v>
      </c>
      <c r="AC45" s="80" t="s">
        <v>2</v>
      </c>
      <c r="AD45" s="91">
        <f t="shared" si="4"/>
        <v>444.8660115869879</v>
      </c>
      <c r="AE45" s="114" t="e">
        <f>AD45/$AD$44*10^3</f>
        <v>#DIV/0!</v>
      </c>
    </row>
    <row r="46" spans="1:31" ht="20.100000000000001" customHeight="1">
      <c r="C46" s="49" t="s">
        <v>106</v>
      </c>
      <c r="D46" s="49" t="s">
        <v>100</v>
      </c>
      <c r="F46" s="49">
        <f>참조!$I$25*참조!$I$26</f>
        <v>2000</v>
      </c>
      <c r="G46" s="49">
        <f>F46*P5/10^3</f>
        <v>299580.61373288569</v>
      </c>
      <c r="K46" s="170" t="s">
        <v>4</v>
      </c>
      <c r="L46" s="173">
        <f>Q9</f>
        <v>40.734298210454163</v>
      </c>
      <c r="N46" s="49" t="s">
        <v>119</v>
      </c>
      <c r="P46" s="49">
        <f>0.3</f>
        <v>0.3</v>
      </c>
      <c r="Y46" s="80" t="s">
        <v>50</v>
      </c>
      <c r="Z46" s="91">
        <v>572</v>
      </c>
      <c r="AA46" s="114">
        <f>Z46/$Z$44*10^3</f>
        <v>3177.7777777777774</v>
      </c>
      <c r="AC46" s="80" t="s">
        <v>50</v>
      </c>
      <c r="AD46" s="91">
        <f t="shared" si="4"/>
        <v>306.87295513460685</v>
      </c>
      <c r="AE46" s="114" t="e">
        <f>AD46/$AD$44*10^3</f>
        <v>#DIV/0!</v>
      </c>
    </row>
    <row r="47" spans="1:31" ht="20.100000000000001" customHeight="1" thickBot="1">
      <c r="C47" s="49" t="s">
        <v>107</v>
      </c>
      <c r="D47" s="49" t="s">
        <v>102</v>
      </c>
      <c r="F47" s="49">
        <v>0.8</v>
      </c>
      <c r="K47" s="171" t="s">
        <v>5</v>
      </c>
      <c r="L47" s="174">
        <f>Q10</f>
        <v>6.67117662015192</v>
      </c>
      <c r="N47" s="49" t="s">
        <v>120</v>
      </c>
      <c r="P47" s="49">
        <v>0.02</v>
      </c>
      <c r="Y47" s="80" t="s">
        <v>3</v>
      </c>
      <c r="Z47" s="91">
        <v>2866</v>
      </c>
      <c r="AA47" s="114">
        <f>Z47/$Z$44*10^3</f>
        <v>15922.222222222223</v>
      </c>
      <c r="AC47" s="80" t="s">
        <v>3</v>
      </c>
      <c r="AD47" s="91">
        <f t="shared" si="4"/>
        <v>451.82346106167682</v>
      </c>
      <c r="AE47" s="114" t="e">
        <f>AD47/$AD$44*10^3</f>
        <v>#DIV/0!</v>
      </c>
    </row>
    <row r="48" spans="1:31" ht="20.100000000000001" customHeight="1">
      <c r="C48" s="49" t="s">
        <v>108</v>
      </c>
      <c r="D48" s="49" t="s">
        <v>109</v>
      </c>
      <c r="F48" s="162">
        <f>P8-U8</f>
        <v>17169.291520343704</v>
      </c>
      <c r="K48" s="170" t="s">
        <v>44</v>
      </c>
      <c r="L48" s="173">
        <f>L44*1.7</f>
        <v>232.18414891335595</v>
      </c>
      <c r="N48" s="49" t="s">
        <v>121</v>
      </c>
      <c r="P48" s="168">
        <f>V8</f>
        <v>6.0781317507724744</v>
      </c>
      <c r="Y48" s="80" t="s">
        <v>4</v>
      </c>
      <c r="Z48" s="91">
        <v>247</v>
      </c>
      <c r="AA48" s="114">
        <f>Z48/$Z$44*10^3</f>
        <v>1372.2222222222222</v>
      </c>
      <c r="AC48" s="80" t="s">
        <v>4</v>
      </c>
      <c r="AD48" s="91">
        <f t="shared" si="4"/>
        <v>457.62022716998422</v>
      </c>
      <c r="AE48" s="114" t="e">
        <f>AD48/$AD$44*10^3</f>
        <v>#DIV/0!</v>
      </c>
    </row>
    <row r="49" spans="25:31">
      <c r="Y49" s="83" t="s">
        <v>5</v>
      </c>
      <c r="Z49" s="94">
        <v>19</v>
      </c>
      <c r="AA49" s="115">
        <f>Z49/$Z$44*10^3</f>
        <v>105.55555555555556</v>
      </c>
      <c r="AC49" s="83" t="s">
        <v>5</v>
      </c>
      <c r="AD49" s="94">
        <f t="shared" si="4"/>
        <v>59.227121257044502</v>
      </c>
      <c r="AE49" s="115" t="e">
        <f>AD49/$AD$44*10^3</f>
        <v>#DIV/0!</v>
      </c>
    </row>
  </sheetData>
  <mergeCells count="20">
    <mergeCell ref="Y43:AA43"/>
    <mergeCell ref="AC43:AE43"/>
    <mergeCell ref="Z44:AA44"/>
    <mergeCell ref="AD44:AE44"/>
    <mergeCell ref="G30:I30"/>
    <mergeCell ref="K30:M30"/>
    <mergeCell ref="O30:Q30"/>
    <mergeCell ref="H31:I31"/>
    <mergeCell ref="L31:M31"/>
    <mergeCell ref="P31:Q31"/>
    <mergeCell ref="D5:E5"/>
    <mergeCell ref="H5:I5"/>
    <mergeCell ref="L5:M5"/>
    <mergeCell ref="P5:Q5"/>
    <mergeCell ref="U5:V5"/>
    <mergeCell ref="D19:E19"/>
    <mergeCell ref="H19:I19"/>
    <mergeCell ref="L19:M19"/>
    <mergeCell ref="Q19:R19"/>
    <mergeCell ref="U19:V19"/>
  </mergeCells>
  <phoneticPr fontId="1" type="noConversion"/>
  <conditionalFormatting sqref="AB2">
    <cfRule type="cellIs" dxfId="0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topLeftCell="A3" workbookViewId="0">
      <selection activeCell="E32" sqref="E32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참조</vt:lpstr>
      <vt:lpstr>물질수지 (2010년)</vt:lpstr>
      <vt:lpstr>물질수지 (2015년)</vt:lpstr>
      <vt:lpstr>물질수지 (2020년)</vt:lpstr>
      <vt:lpstr>물질수지 (2025년)</vt:lpstr>
      <vt:lpstr>Sheet3</vt:lpstr>
      <vt:lpstr>'물질수지 (2010년)'!Print_Area</vt:lpstr>
      <vt:lpstr>'물질수지 (2015년)'!Print_Area</vt:lpstr>
      <vt:lpstr>'물질수지 (2020년)'!Print_Area</vt:lpstr>
      <vt:lpstr>'물질수지 (2025년)'!Print_Area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2008-11-13T07:33:53Z</cp:lastPrinted>
  <dcterms:created xsi:type="dcterms:W3CDTF">2008-10-30T00:45:32Z</dcterms:created>
  <dcterms:modified xsi:type="dcterms:W3CDTF">2009-11-27T09:38:42Z</dcterms:modified>
</cp:coreProperties>
</file>