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8340" yWindow="270" windowWidth="10215" windowHeight="8415" tabRatio="830"/>
  </bookViews>
  <sheets>
    <sheet name="내역서" sheetId="4" r:id="rId1"/>
    <sheet name="일위대가" sheetId="9" r:id="rId2"/>
    <sheet name="중기기준" sheetId="14" r:id="rId3"/>
    <sheet name="중기사용료" sheetId="12" r:id="rId4"/>
    <sheet name="작업과정 및 Q산출" sheetId="11" r:id="rId5"/>
    <sheet name="Asp포장" sheetId="23" r:id="rId6"/>
    <sheet name="운반비" sheetId="21" r:id="rId7"/>
    <sheet name="자재운반비" sheetId="22" r:id="rId8"/>
    <sheet name="관급자재" sheetId="19" r:id="rId9"/>
    <sheet name="사급자재" sheetId="20" r:id="rId10"/>
    <sheet name="노임(2015)" sheetId="24" r:id="rId11"/>
    <sheet name="기계경비산출표" sheetId="18" r:id="rId12"/>
  </sheets>
  <definedNames>
    <definedName name="_xlnm._FilterDatabase" localSheetId="1" hidden="1">일위대가!$B$4:$Q$2253</definedName>
    <definedName name="_xlnm._FilterDatabase" localSheetId="4" hidden="1">'작업과정 및 Q산출'!$A$1:$R$1296</definedName>
    <definedName name="_xlnm._FilterDatabase" localSheetId="3" hidden="1">중기사용료!$A$1:$Q$1767</definedName>
    <definedName name="_xlnm.Print_Area" localSheetId="5">Asp포장!$B$1:$L$336,Asp포장!$N$1:$X$288,Asp포장!$Z$1:$AM$240</definedName>
    <definedName name="_xlnm.Print_Area" localSheetId="8">관급자재!$A$1:$I$47</definedName>
    <definedName name="_xlnm.Print_Area" localSheetId="11">기계경비산출표!$A$1:$K$627</definedName>
    <definedName name="_xlnm.Print_Area" localSheetId="0">내역서!$A$1:$M$415</definedName>
    <definedName name="_xlnm.Print_Area" localSheetId="10">'노임(2015)'!$A$1:$F$87</definedName>
    <definedName name="_xlnm.Print_Area" localSheetId="9">사급자재!$A$1:$M$226</definedName>
    <definedName name="_xlnm.Print_Area" localSheetId="6">운반비!$A$1:$Q$1127</definedName>
    <definedName name="_xlnm.Print_Area" localSheetId="1">일위대가!$B$1:$O$2262</definedName>
    <definedName name="_xlnm.Print_Area" localSheetId="4">'작업과정 및 Q산출'!$A$2:$Q$1296</definedName>
    <definedName name="_xlnm.Print_Area" localSheetId="2">중기기준!$A$1:$S$51</definedName>
    <definedName name="_xlnm.Print_Area" localSheetId="3">중기사용료!$A$1:$N$1767</definedName>
    <definedName name="_xlnm.Print_Titles" localSheetId="8">관급자재!$1:$4</definedName>
    <definedName name="_xlnm.Print_Titles" localSheetId="11">기계경비산출표!$2:$3</definedName>
    <definedName name="_xlnm.Print_Titles" localSheetId="0">내역서!$1:$4</definedName>
    <definedName name="_xlnm.Print_Titles" localSheetId="9">사급자재!$3:$5</definedName>
    <definedName name="_xlnm.Print_Titles" localSheetId="1">일위대가!$1:$4</definedName>
  </definedNames>
  <calcPr calcId="144525"/>
</workbook>
</file>

<file path=xl/calcChain.xml><?xml version="1.0" encoding="utf-8"?>
<calcChain xmlns="http://schemas.openxmlformats.org/spreadsheetml/2006/main">
  <c r="L760" i="9" l="1"/>
  <c r="I760" i="9"/>
  <c r="J760" i="9" s="1"/>
  <c r="L758" i="9"/>
  <c r="I758" i="9"/>
  <c r="M758" i="9" s="1"/>
  <c r="H758" i="9"/>
  <c r="M213" i="20"/>
  <c r="G760" i="9" s="1"/>
  <c r="I753" i="9"/>
  <c r="M753" i="9" s="1"/>
  <c r="L755" i="9"/>
  <c r="I755" i="9"/>
  <c r="L753" i="9"/>
  <c r="H753" i="9"/>
  <c r="I765" i="9"/>
  <c r="H765" i="9"/>
  <c r="H160" i="20"/>
  <c r="H158" i="20"/>
  <c r="H156" i="20"/>
  <c r="H154" i="20"/>
  <c r="H82" i="20"/>
  <c r="H80" i="20"/>
  <c r="H74" i="20"/>
  <c r="H68" i="20"/>
  <c r="H66" i="20"/>
  <c r="H64" i="20"/>
  <c r="H62" i="20"/>
  <c r="H44" i="20"/>
  <c r="H42" i="20"/>
  <c r="H40" i="20"/>
  <c r="H32" i="20"/>
  <c r="H30" i="20"/>
  <c r="H28" i="20"/>
  <c r="H26" i="20"/>
  <c r="H24" i="20"/>
  <c r="G755" i="9" l="1"/>
  <c r="H755" i="9" s="1"/>
  <c r="M760" i="9"/>
  <c r="J753" i="9"/>
  <c r="N753" i="9" s="1"/>
  <c r="J758" i="9"/>
  <c r="H760" i="9"/>
  <c r="N760" i="9" s="1"/>
  <c r="J755" i="9"/>
  <c r="J765" i="9"/>
  <c r="N755" i="9" l="1"/>
  <c r="M755" i="9"/>
  <c r="N758" i="9"/>
  <c r="J256" i="9"/>
  <c r="H256" i="9"/>
  <c r="J247" i="9"/>
  <c r="H247" i="9"/>
  <c r="L1094" i="9"/>
  <c r="J1094" i="9"/>
  <c r="L1092" i="9"/>
  <c r="I1092" i="9"/>
  <c r="M1092" i="9" s="1"/>
  <c r="H1092" i="9"/>
  <c r="L1091" i="9"/>
  <c r="I1091" i="9"/>
  <c r="M1091" i="9" s="1"/>
  <c r="H1091" i="9"/>
  <c r="L1090" i="9"/>
  <c r="I1090" i="9"/>
  <c r="M1090" i="9" s="1"/>
  <c r="H1090" i="9"/>
  <c r="L1089" i="9"/>
  <c r="J1089" i="9"/>
  <c r="L1088" i="9"/>
  <c r="J1088" i="9"/>
  <c r="L1087" i="9"/>
  <c r="J1087" i="9"/>
  <c r="L1086" i="9"/>
  <c r="J1086" i="9"/>
  <c r="L1085" i="9"/>
  <c r="J1085" i="9"/>
  <c r="L1080" i="9"/>
  <c r="J1080" i="9"/>
  <c r="L1078" i="9"/>
  <c r="I1078" i="9"/>
  <c r="M1078" i="9" s="1"/>
  <c r="H1078" i="9"/>
  <c r="L1077" i="9"/>
  <c r="I1077" i="9"/>
  <c r="M1077" i="9" s="1"/>
  <c r="H1077" i="9"/>
  <c r="L1076" i="9"/>
  <c r="I1076" i="9"/>
  <c r="M1076" i="9" s="1"/>
  <c r="H1076" i="9"/>
  <c r="L1075" i="9"/>
  <c r="J1075" i="9"/>
  <c r="L1074" i="9"/>
  <c r="J1074" i="9"/>
  <c r="L1073" i="9"/>
  <c r="J1073" i="9"/>
  <c r="L1072" i="9"/>
  <c r="J1072" i="9"/>
  <c r="L1071" i="9"/>
  <c r="J1071" i="9"/>
  <c r="M84" i="20"/>
  <c r="G1073" i="9" s="1"/>
  <c r="M1073" i="9" s="1"/>
  <c r="G1087" i="9" l="1"/>
  <c r="J1078" i="9"/>
  <c r="N1078" i="9" s="1"/>
  <c r="J1076" i="9"/>
  <c r="J1077" i="9"/>
  <c r="H1073" i="9"/>
  <c r="N1073" i="9" s="1"/>
  <c r="J1090" i="9"/>
  <c r="J1091" i="9"/>
  <c r="N1091" i="9" s="1"/>
  <c r="J1092" i="9"/>
  <c r="N1092" i="9" s="1"/>
  <c r="L2238" i="9"/>
  <c r="J2238" i="9"/>
  <c r="L2237" i="9"/>
  <c r="J2237" i="9"/>
  <c r="L2236" i="9"/>
  <c r="I2236" i="9"/>
  <c r="M2236" i="9" s="1"/>
  <c r="H2236" i="9"/>
  <c r="L2235" i="9"/>
  <c r="I2235" i="9"/>
  <c r="M2235" i="9" s="1"/>
  <c r="H2235" i="9"/>
  <c r="L2232" i="9"/>
  <c r="J2232" i="9"/>
  <c r="L2247" i="9"/>
  <c r="J2247" i="9"/>
  <c r="L2246" i="9"/>
  <c r="J2246" i="9"/>
  <c r="L2245" i="9"/>
  <c r="I2245" i="9"/>
  <c r="J2245" i="9" s="1"/>
  <c r="H2245" i="9"/>
  <c r="L2244" i="9"/>
  <c r="I2244" i="9"/>
  <c r="J2244" i="9" s="1"/>
  <c r="H2244" i="9"/>
  <c r="L2241" i="9"/>
  <c r="J2241" i="9"/>
  <c r="L2229" i="9"/>
  <c r="J2229" i="9"/>
  <c r="L2228" i="9"/>
  <c r="J2228" i="9"/>
  <c r="L2227" i="9"/>
  <c r="I2227" i="9"/>
  <c r="J2227" i="9" s="1"/>
  <c r="H2227" i="9"/>
  <c r="L2226" i="9"/>
  <c r="I2226" i="9"/>
  <c r="J2226" i="9" s="1"/>
  <c r="H2226" i="9"/>
  <c r="L2223" i="9"/>
  <c r="J2223" i="9"/>
  <c r="I2218" i="9"/>
  <c r="I2217" i="9"/>
  <c r="J2217" i="9" s="1"/>
  <c r="L2217" i="9"/>
  <c r="L2218" i="9"/>
  <c r="L2219" i="9"/>
  <c r="L2220" i="9"/>
  <c r="J2218" i="9"/>
  <c r="J2219" i="9"/>
  <c r="J2220" i="9"/>
  <c r="M187" i="20"/>
  <c r="M188" i="20"/>
  <c r="M107" i="20"/>
  <c r="M108" i="20"/>
  <c r="M109" i="20"/>
  <c r="M110" i="20"/>
  <c r="M190" i="20"/>
  <c r="L154" i="20"/>
  <c r="L156" i="20"/>
  <c r="L158" i="20"/>
  <c r="L160" i="20"/>
  <c r="M2244" i="9" l="1"/>
  <c r="M2227" i="9"/>
  <c r="M2226" i="9"/>
  <c r="M1087" i="9"/>
  <c r="H1087" i="9"/>
  <c r="N1087" i="9" s="1"/>
  <c r="G1088" i="9"/>
  <c r="G1074" i="9"/>
  <c r="G1089" i="9"/>
  <c r="G1094" i="9"/>
  <c r="N1076" i="9"/>
  <c r="G1075" i="9"/>
  <c r="G1080" i="9"/>
  <c r="N1090" i="9"/>
  <c r="G2220" i="9"/>
  <c r="H2220" i="9" s="1"/>
  <c r="N2220" i="9" s="1"/>
  <c r="N1077" i="9"/>
  <c r="G2229" i="9"/>
  <c r="H2229" i="9" s="1"/>
  <c r="N2229" i="9" s="1"/>
  <c r="G2247" i="9"/>
  <c r="H2247" i="9" s="1"/>
  <c r="N2247" i="9" s="1"/>
  <c r="M2245" i="9"/>
  <c r="J2235" i="9"/>
  <c r="J2236" i="9"/>
  <c r="N2236" i="9" s="1"/>
  <c r="M2229" i="9"/>
  <c r="N2226" i="9"/>
  <c r="N2227" i="9"/>
  <c r="N2244" i="9"/>
  <c r="N2245" i="9"/>
  <c r="F185" i="20"/>
  <c r="F160" i="20"/>
  <c r="F158" i="20"/>
  <c r="F156" i="20"/>
  <c r="F154" i="20"/>
  <c r="F82" i="20"/>
  <c r="F80" i="20"/>
  <c r="F68" i="20"/>
  <c r="F66" i="20"/>
  <c r="F64" i="20"/>
  <c r="F62" i="20"/>
  <c r="F42" i="20"/>
  <c r="F44" i="20"/>
  <c r="F40" i="20"/>
  <c r="F32" i="20"/>
  <c r="F30" i="20"/>
  <c r="F28" i="20"/>
  <c r="F26" i="20"/>
  <c r="F24" i="20"/>
  <c r="M2220" i="9" l="1"/>
  <c r="M2247" i="9"/>
  <c r="M1088" i="9"/>
  <c r="H1088" i="9"/>
  <c r="N1088" i="9" s="1"/>
  <c r="M1074" i="9"/>
  <c r="H1074" i="9"/>
  <c r="N1074" i="9" s="1"/>
  <c r="G2238" i="9"/>
  <c r="N2235" i="9"/>
  <c r="L8" i="20"/>
  <c r="M8" i="20" s="1"/>
  <c r="L9" i="20"/>
  <c r="M9" i="20" s="1"/>
  <c r="L10" i="20"/>
  <c r="M10" i="20" s="1"/>
  <c r="L7" i="20"/>
  <c r="M7" i="20" s="1"/>
  <c r="M2238" i="9" l="1"/>
  <c r="H2238" i="9"/>
  <c r="N2238" i="9" s="1"/>
  <c r="I2125" i="9"/>
  <c r="J2125" i="9" s="1"/>
  <c r="I2124" i="9"/>
  <c r="I2123" i="9"/>
  <c r="M2123" i="9" s="1"/>
  <c r="M1759" i="12"/>
  <c r="L1966" i="9"/>
  <c r="I1966" i="9"/>
  <c r="M1966" i="9" s="1"/>
  <c r="H1966" i="9"/>
  <c r="L1965" i="9"/>
  <c r="J1965" i="9"/>
  <c r="L1964" i="9"/>
  <c r="I1964" i="9"/>
  <c r="H1964" i="9"/>
  <c r="L1963" i="9"/>
  <c r="I1963" i="9"/>
  <c r="M1963" i="9" s="1"/>
  <c r="H1963" i="9"/>
  <c r="L1962" i="9"/>
  <c r="I1962" i="9"/>
  <c r="H1962" i="9"/>
  <c r="L1961" i="9"/>
  <c r="J1961" i="9"/>
  <c r="L1960" i="9"/>
  <c r="L1956" i="9"/>
  <c r="I1956" i="9"/>
  <c r="M1956" i="9" s="1"/>
  <c r="H1956" i="9"/>
  <c r="L1955" i="9"/>
  <c r="J1955" i="9"/>
  <c r="L1954" i="9"/>
  <c r="I1954" i="9"/>
  <c r="M1954" i="9" s="1"/>
  <c r="H1954" i="9"/>
  <c r="L1953" i="9"/>
  <c r="I1953" i="9"/>
  <c r="H1953" i="9"/>
  <c r="L1952" i="9"/>
  <c r="I1952" i="9"/>
  <c r="M1952" i="9" s="1"/>
  <c r="H1952" i="9"/>
  <c r="L1951" i="9"/>
  <c r="J1951" i="9"/>
  <c r="L1950" i="9"/>
  <c r="L1946" i="9"/>
  <c r="I1946" i="9"/>
  <c r="M1946" i="9" s="1"/>
  <c r="H1946" i="9"/>
  <c r="L1945" i="9"/>
  <c r="J1945" i="9"/>
  <c r="L1944" i="9"/>
  <c r="I1944" i="9"/>
  <c r="H1944" i="9"/>
  <c r="L1943" i="9"/>
  <c r="I1943" i="9"/>
  <c r="M1943" i="9" s="1"/>
  <c r="H1943" i="9"/>
  <c r="L1942" i="9"/>
  <c r="I1942" i="9"/>
  <c r="H1942" i="9"/>
  <c r="L1941" i="9"/>
  <c r="J1941" i="9"/>
  <c r="L1940" i="9"/>
  <c r="L1936" i="9"/>
  <c r="I1936" i="9"/>
  <c r="H1936" i="9"/>
  <c r="L1935" i="9"/>
  <c r="J1935" i="9"/>
  <c r="L1934" i="9"/>
  <c r="I1934" i="9"/>
  <c r="M1934" i="9" s="1"/>
  <c r="H1934" i="9"/>
  <c r="L1933" i="9"/>
  <c r="I1933" i="9"/>
  <c r="H1933" i="9"/>
  <c r="L1932" i="9"/>
  <c r="I1932" i="9"/>
  <c r="M1932" i="9" s="1"/>
  <c r="H1932" i="9"/>
  <c r="L1931" i="9"/>
  <c r="J1931" i="9"/>
  <c r="L1930" i="9"/>
  <c r="L1926" i="9"/>
  <c r="I1926" i="9"/>
  <c r="M1926" i="9" s="1"/>
  <c r="H1926" i="9"/>
  <c r="L1925" i="9"/>
  <c r="J1925" i="9"/>
  <c r="L1924" i="9"/>
  <c r="I1924" i="9"/>
  <c r="M1924" i="9" s="1"/>
  <c r="H1924" i="9"/>
  <c r="L1923" i="9"/>
  <c r="I1923" i="9"/>
  <c r="M1923" i="9" s="1"/>
  <c r="H1923" i="9"/>
  <c r="L1922" i="9"/>
  <c r="I1922" i="9"/>
  <c r="M1922" i="9" s="1"/>
  <c r="H1922" i="9"/>
  <c r="L1921" i="9"/>
  <c r="J1921" i="9"/>
  <c r="L1920" i="9"/>
  <c r="L1916" i="9"/>
  <c r="I1916" i="9"/>
  <c r="H1916" i="9"/>
  <c r="L1915" i="9"/>
  <c r="J1915" i="9"/>
  <c r="L1914" i="9"/>
  <c r="I1914" i="9"/>
  <c r="M1914" i="9" s="1"/>
  <c r="H1914" i="9"/>
  <c r="L1913" i="9"/>
  <c r="I1913" i="9"/>
  <c r="H1913" i="9"/>
  <c r="L1912" i="9"/>
  <c r="I1912" i="9"/>
  <c r="M1912" i="9" s="1"/>
  <c r="H1912" i="9"/>
  <c r="L1911" i="9"/>
  <c r="J1911" i="9"/>
  <c r="L1910" i="9"/>
  <c r="L1906" i="9"/>
  <c r="I1906" i="9"/>
  <c r="M1906" i="9" s="1"/>
  <c r="H1906" i="9"/>
  <c r="L1905" i="9"/>
  <c r="J1905" i="9"/>
  <c r="L1904" i="9"/>
  <c r="I1904" i="9"/>
  <c r="M1904" i="9" s="1"/>
  <c r="H1904" i="9"/>
  <c r="L1903" i="9"/>
  <c r="I1903" i="9"/>
  <c r="M1903" i="9" s="1"/>
  <c r="H1903" i="9"/>
  <c r="L1902" i="9"/>
  <c r="I1902" i="9"/>
  <c r="M1902" i="9" s="1"/>
  <c r="H1902" i="9"/>
  <c r="L1901" i="9"/>
  <c r="J1901" i="9"/>
  <c r="L1900" i="9"/>
  <c r="E1692" i="9"/>
  <c r="E1693" i="9"/>
  <c r="L1693" i="9" s="1"/>
  <c r="E1685" i="9"/>
  <c r="E1686" i="9"/>
  <c r="E1687" i="9"/>
  <c r="E1651" i="9"/>
  <c r="L1651" i="9" s="1"/>
  <c r="E1650" i="9"/>
  <c r="E1649" i="9"/>
  <c r="E1657" i="9"/>
  <c r="L1657" i="9" s="1"/>
  <c r="E1656" i="9"/>
  <c r="E1655" i="9"/>
  <c r="E1661" i="9"/>
  <c r="E1662" i="9"/>
  <c r="E1663" i="9"/>
  <c r="E1667" i="9"/>
  <c r="E1668" i="9"/>
  <c r="E1669" i="9"/>
  <c r="L1669" i="9" s="1"/>
  <c r="E1673" i="9"/>
  <c r="E1674" i="9"/>
  <c r="E1675" i="9"/>
  <c r="E1681" i="9"/>
  <c r="L1681" i="9" s="1"/>
  <c r="E1680" i="9"/>
  <c r="E1679" i="9"/>
  <c r="I1693" i="9"/>
  <c r="J1693" i="9" s="1"/>
  <c r="L1690" i="9"/>
  <c r="J1690" i="9"/>
  <c r="I1687" i="9"/>
  <c r="L1684" i="9"/>
  <c r="J1684" i="9"/>
  <c r="I1681" i="9"/>
  <c r="L1678" i="9"/>
  <c r="J1678" i="9"/>
  <c r="I1675" i="9"/>
  <c r="L1672" i="9"/>
  <c r="J1672" i="9"/>
  <c r="I1669" i="9"/>
  <c r="L1666" i="9"/>
  <c r="J1666" i="9"/>
  <c r="I1663" i="9"/>
  <c r="L1660" i="9"/>
  <c r="J1660" i="9"/>
  <c r="I1657" i="9"/>
  <c r="M1657" i="9" s="1"/>
  <c r="L1654" i="9"/>
  <c r="J1654" i="9"/>
  <c r="I1651" i="9"/>
  <c r="J1648" i="9"/>
  <c r="L1648" i="9"/>
  <c r="L1579" i="9"/>
  <c r="I1579" i="9"/>
  <c r="M1579" i="9" s="1"/>
  <c r="H1579" i="9"/>
  <c r="L1578" i="9"/>
  <c r="I1578" i="9"/>
  <c r="H1578" i="9"/>
  <c r="J1576" i="9"/>
  <c r="H1576" i="9"/>
  <c r="L1561" i="9"/>
  <c r="I1561" i="9"/>
  <c r="M1561" i="9" s="1"/>
  <c r="H1561" i="9"/>
  <c r="L1560" i="9"/>
  <c r="I1560" i="9"/>
  <c r="M1560" i="9" s="1"/>
  <c r="H1560" i="9"/>
  <c r="J1558" i="9"/>
  <c r="H1558" i="9"/>
  <c r="L369" i="9"/>
  <c r="J369" i="9"/>
  <c r="I368" i="9"/>
  <c r="J368" i="9" s="1"/>
  <c r="G368" i="9"/>
  <c r="H368" i="9" s="1"/>
  <c r="L367" i="9"/>
  <c r="I367" i="9"/>
  <c r="M367" i="9" s="1"/>
  <c r="H367" i="9"/>
  <c r="L366" i="9"/>
  <c r="I366" i="9"/>
  <c r="H366" i="9"/>
  <c r="L363" i="9"/>
  <c r="J363" i="9"/>
  <c r="I362" i="9"/>
  <c r="J362" i="9" s="1"/>
  <c r="G362" i="9"/>
  <c r="L361" i="9"/>
  <c r="I361" i="9"/>
  <c r="M361" i="9" s="1"/>
  <c r="H361" i="9"/>
  <c r="L360" i="9"/>
  <c r="I360" i="9"/>
  <c r="H360" i="9"/>
  <c r="L357" i="9"/>
  <c r="J357" i="9"/>
  <c r="I356" i="9"/>
  <c r="J356" i="9" s="1"/>
  <c r="G356" i="9"/>
  <c r="H356" i="9" s="1"/>
  <c r="L355" i="9"/>
  <c r="I355" i="9"/>
  <c r="M355" i="9" s="1"/>
  <c r="H355" i="9"/>
  <c r="L354" i="9"/>
  <c r="I354" i="9"/>
  <c r="H354" i="9"/>
  <c r="L351" i="9"/>
  <c r="J351" i="9"/>
  <c r="I350" i="9"/>
  <c r="J350" i="9" s="1"/>
  <c r="G350" i="9"/>
  <c r="H350" i="9" s="1"/>
  <c r="L349" i="9"/>
  <c r="I349" i="9"/>
  <c r="M349" i="9" s="1"/>
  <c r="H349" i="9"/>
  <c r="L348" i="9"/>
  <c r="I348" i="9"/>
  <c r="M348" i="9" s="1"/>
  <c r="H348" i="9"/>
  <c r="L345" i="9"/>
  <c r="J345" i="9"/>
  <c r="G344" i="9"/>
  <c r="H344" i="9" s="1"/>
  <c r="L343" i="9"/>
  <c r="I343" i="9"/>
  <c r="M343" i="9" s="1"/>
  <c r="H343" i="9"/>
  <c r="L342" i="9"/>
  <c r="I342" i="9"/>
  <c r="M342" i="9" s="1"/>
  <c r="H342" i="9"/>
  <c r="M204" i="20"/>
  <c r="G1905" i="9" s="1"/>
  <c r="M1905" i="9" s="1"/>
  <c r="F6" i="19"/>
  <c r="F7" i="19"/>
  <c r="G56" i="9" s="1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5" i="19"/>
  <c r="L185" i="20"/>
  <c r="J185" i="20"/>
  <c r="J158" i="20"/>
  <c r="M158" i="20"/>
  <c r="J156" i="20"/>
  <c r="M156" i="20" s="1"/>
  <c r="G1985" i="9" s="1"/>
  <c r="J160" i="20"/>
  <c r="M160" i="20"/>
  <c r="M154" i="20"/>
  <c r="J154" i="20"/>
  <c r="M151" i="20"/>
  <c r="J82" i="20"/>
  <c r="M82" i="20" s="1"/>
  <c r="G919" i="9" s="1"/>
  <c r="H919" i="9" s="1"/>
  <c r="J80" i="20"/>
  <c r="M80" i="20" s="1"/>
  <c r="G914" i="9" s="1"/>
  <c r="H914" i="9" s="1"/>
  <c r="J74" i="20"/>
  <c r="M74" i="20" s="1"/>
  <c r="J68" i="20"/>
  <c r="M68" i="20"/>
  <c r="J66" i="20"/>
  <c r="M66" i="20" s="1"/>
  <c r="J64" i="20"/>
  <c r="M64" i="20"/>
  <c r="G35" i="9" s="1"/>
  <c r="J62" i="20"/>
  <c r="M62" i="20" s="1"/>
  <c r="J44" i="20"/>
  <c r="M44" i="20" s="1"/>
  <c r="J42" i="20"/>
  <c r="M42" i="20" s="1"/>
  <c r="G1989" i="9" s="1"/>
  <c r="J40" i="20"/>
  <c r="M40" i="20" s="1"/>
  <c r="J32" i="20"/>
  <c r="J30" i="20"/>
  <c r="J28" i="20"/>
  <c r="M28" i="20" s="1"/>
  <c r="J26" i="20"/>
  <c r="M26" i="20" s="1"/>
  <c r="J24" i="20"/>
  <c r="M49" i="12"/>
  <c r="J784" i="9"/>
  <c r="H784" i="9"/>
  <c r="L783" i="9"/>
  <c r="J783" i="9"/>
  <c r="L779" i="9"/>
  <c r="I779" i="9"/>
  <c r="M779" i="9" s="1"/>
  <c r="H779" i="9"/>
  <c r="L778" i="9"/>
  <c r="I778" i="9"/>
  <c r="H778" i="9"/>
  <c r="L777" i="9"/>
  <c r="J777" i="9"/>
  <c r="J776" i="9"/>
  <c r="H776" i="9"/>
  <c r="H328" i="12"/>
  <c r="H233" i="12"/>
  <c r="M233" i="12" s="1"/>
  <c r="K1305" i="9" s="1"/>
  <c r="L1305" i="9" s="1"/>
  <c r="L1306" i="9" s="1"/>
  <c r="J229" i="4" s="1"/>
  <c r="K229" i="4" s="1"/>
  <c r="H214" i="12"/>
  <c r="M214" i="12" s="1"/>
  <c r="K1302" i="9" s="1"/>
  <c r="L1302" i="9" s="1"/>
  <c r="L1303" i="9" s="1"/>
  <c r="J228" i="4" s="1"/>
  <c r="K228" i="4" s="1"/>
  <c r="H195" i="12"/>
  <c r="M195" i="12" s="1"/>
  <c r="H176" i="12"/>
  <c r="M176" i="12" s="1"/>
  <c r="D236" i="12"/>
  <c r="M236" i="12" s="1"/>
  <c r="M239" i="12" s="1"/>
  <c r="I1305" i="9" s="1"/>
  <c r="J1305" i="9" s="1"/>
  <c r="J1306" i="9" s="1"/>
  <c r="H229" i="4" s="1"/>
  <c r="I229" i="4" s="1"/>
  <c r="D217" i="12"/>
  <c r="M217" i="12" s="1"/>
  <c r="M220" i="12" s="1"/>
  <c r="I1302" i="9" s="1"/>
  <c r="J1302" i="9" s="1"/>
  <c r="J1303" i="9" s="1"/>
  <c r="H228" i="4" s="1"/>
  <c r="I228" i="4" s="1"/>
  <c r="D198" i="12"/>
  <c r="M198" i="12" s="1"/>
  <c r="M201" i="12" s="1"/>
  <c r="D179" i="12"/>
  <c r="M179" i="12" s="1"/>
  <c r="M182" i="12" s="1"/>
  <c r="O1039" i="9"/>
  <c r="J1066" i="9"/>
  <c r="L1064" i="9"/>
  <c r="I1064" i="9"/>
  <c r="M1064" i="9" s="1"/>
  <c r="H1064" i="9"/>
  <c r="L1063" i="9"/>
  <c r="I1063" i="9"/>
  <c r="M1063" i="9" s="1"/>
  <c r="H1063" i="9"/>
  <c r="L1062" i="9"/>
  <c r="I1062" i="9"/>
  <c r="H1062" i="9"/>
  <c r="L1061" i="9"/>
  <c r="J1061" i="9"/>
  <c r="L1060" i="9"/>
  <c r="J1060" i="9"/>
  <c r="L1059" i="9"/>
  <c r="J1059" i="9"/>
  <c r="L1058" i="9"/>
  <c r="J1058" i="9"/>
  <c r="L1057" i="9"/>
  <c r="J1057" i="9"/>
  <c r="I1050" i="9"/>
  <c r="I1049" i="9"/>
  <c r="J1049" i="9" s="1"/>
  <c r="I1048" i="9"/>
  <c r="J1052" i="9"/>
  <c r="L1050" i="9"/>
  <c r="H1050" i="9"/>
  <c r="L1049" i="9"/>
  <c r="H1049" i="9"/>
  <c r="L1048" i="9"/>
  <c r="H1048" i="9"/>
  <c r="L1047" i="9"/>
  <c r="J1047" i="9"/>
  <c r="L1046" i="9"/>
  <c r="J1046" i="9"/>
  <c r="L1045" i="9"/>
  <c r="J1045" i="9"/>
  <c r="L1044" i="9"/>
  <c r="J1044" i="9"/>
  <c r="L1043" i="9"/>
  <c r="J1043" i="9"/>
  <c r="M186" i="20"/>
  <c r="M189" i="20"/>
  <c r="G1060" i="9"/>
  <c r="H1060" i="9" s="1"/>
  <c r="M191" i="20"/>
  <c r="M192" i="20"/>
  <c r="M193" i="20"/>
  <c r="M194" i="20"/>
  <c r="M195" i="20"/>
  <c r="M196" i="20"/>
  <c r="G688" i="9" s="1"/>
  <c r="M197" i="20"/>
  <c r="K1251" i="9" s="1"/>
  <c r="M198" i="20"/>
  <c r="M199" i="20"/>
  <c r="G2140" i="9" s="1"/>
  <c r="M2140" i="9" s="1"/>
  <c r="M200" i="20"/>
  <c r="G2135" i="9" s="1"/>
  <c r="M201" i="20"/>
  <c r="G2141" i="9" s="1"/>
  <c r="M2141" i="9" s="1"/>
  <c r="M202" i="20"/>
  <c r="M203" i="20"/>
  <c r="G1855" i="9" s="1"/>
  <c r="H1855" i="9" s="1"/>
  <c r="M205" i="20"/>
  <c r="M206" i="20"/>
  <c r="G2153" i="9" s="1"/>
  <c r="M2153" i="9" s="1"/>
  <c r="M207" i="20"/>
  <c r="G2159" i="9" s="1"/>
  <c r="M208" i="20"/>
  <c r="M209" i="20"/>
  <c r="M210" i="20"/>
  <c r="M211" i="20"/>
  <c r="M212" i="20"/>
  <c r="M182" i="20"/>
  <c r="M138" i="20"/>
  <c r="G2122" i="9" s="1"/>
  <c r="M139" i="20"/>
  <c r="M140" i="20"/>
  <c r="M141" i="20"/>
  <c r="M142" i="20"/>
  <c r="M143" i="20"/>
  <c r="M144" i="20"/>
  <c r="M145" i="20"/>
  <c r="M146" i="20"/>
  <c r="M147" i="20"/>
  <c r="M148" i="20"/>
  <c r="M149" i="20"/>
  <c r="M150" i="20"/>
  <c r="M152" i="20"/>
  <c r="M153" i="20"/>
  <c r="M155" i="20"/>
  <c r="M157" i="20"/>
  <c r="M159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H1733" i="12" s="1"/>
  <c r="M1733" i="12" s="1"/>
  <c r="M1735" i="12" s="1"/>
  <c r="K2191" i="9" s="1"/>
  <c r="L2191" i="9" s="1"/>
  <c r="M174" i="20"/>
  <c r="H1714" i="12" s="1"/>
  <c r="M1714" i="12" s="1"/>
  <c r="M175" i="20"/>
  <c r="M176" i="20"/>
  <c r="M177" i="20"/>
  <c r="M123" i="20"/>
  <c r="G2170" i="9" s="1"/>
  <c r="M124" i="20"/>
  <c r="M125" i="20"/>
  <c r="M126" i="20"/>
  <c r="G2171" i="9" s="1"/>
  <c r="M127" i="20"/>
  <c r="G2177" i="9" s="1"/>
  <c r="M2177" i="9" s="1"/>
  <c r="M128" i="20"/>
  <c r="G2146" i="9" s="1"/>
  <c r="M2146" i="9" s="1"/>
  <c r="M129" i="20"/>
  <c r="M130" i="20"/>
  <c r="G2152" i="9" s="1"/>
  <c r="M2152" i="9" s="1"/>
  <c r="M131" i="20"/>
  <c r="M132" i="20"/>
  <c r="G2158" i="9" s="1"/>
  <c r="M133" i="20"/>
  <c r="M134" i="20"/>
  <c r="M135" i="20"/>
  <c r="M111" i="20"/>
  <c r="M112" i="20"/>
  <c r="M113" i="20"/>
  <c r="M114" i="20"/>
  <c r="M115" i="20"/>
  <c r="M116" i="20"/>
  <c r="M117" i="20"/>
  <c r="M118" i="20"/>
  <c r="M101" i="20"/>
  <c r="M102" i="20"/>
  <c r="G1130" i="9" s="1"/>
  <c r="M1130" i="9" s="1"/>
  <c r="M103" i="20"/>
  <c r="M104" i="20"/>
  <c r="G1129" i="9" s="1"/>
  <c r="M105" i="20"/>
  <c r="G1132" i="9" s="1"/>
  <c r="M1132" i="9" s="1"/>
  <c r="M94" i="20"/>
  <c r="M95" i="20"/>
  <c r="M96" i="20"/>
  <c r="M97" i="20"/>
  <c r="M98" i="20"/>
  <c r="M81" i="20"/>
  <c r="M83" i="20"/>
  <c r="G1045" i="9"/>
  <c r="M85" i="20"/>
  <c r="G1032" i="9" s="1"/>
  <c r="H1032" i="9" s="1"/>
  <c r="M86" i="20"/>
  <c r="M87" i="20"/>
  <c r="M88" i="20"/>
  <c r="M89" i="20"/>
  <c r="M90" i="20"/>
  <c r="M91" i="20"/>
  <c r="G2251" i="9" s="1"/>
  <c r="H2251" i="9" s="1"/>
  <c r="M72" i="20"/>
  <c r="M73" i="20"/>
  <c r="M75" i="20"/>
  <c r="M76" i="20"/>
  <c r="M77" i="20"/>
  <c r="K1984" i="9" s="1"/>
  <c r="M63" i="20"/>
  <c r="M65" i="20"/>
  <c r="M67" i="20"/>
  <c r="M69" i="20"/>
  <c r="E14" i="22" s="1"/>
  <c r="J14" i="22" s="1"/>
  <c r="E47" i="22" s="1"/>
  <c r="M55" i="20"/>
  <c r="M56" i="20"/>
  <c r="M57" i="20"/>
  <c r="G1043" i="9" s="1"/>
  <c r="M58" i="20"/>
  <c r="M59" i="20"/>
  <c r="M48" i="20"/>
  <c r="M49" i="20"/>
  <c r="G251" i="9" s="1"/>
  <c r="H251" i="9" s="1"/>
  <c r="M50" i="20"/>
  <c r="G244" i="9" s="1"/>
  <c r="M51" i="20"/>
  <c r="M52" i="20"/>
  <c r="G243" i="9" s="1"/>
  <c r="M41" i="20"/>
  <c r="M43" i="20"/>
  <c r="M45" i="20"/>
  <c r="M35" i="20"/>
  <c r="M36" i="20"/>
  <c r="M37" i="20"/>
  <c r="M25" i="20"/>
  <c r="M27" i="20"/>
  <c r="M29" i="20"/>
  <c r="M31" i="20"/>
  <c r="M184" i="20"/>
  <c r="M181" i="20"/>
  <c r="M179" i="20"/>
  <c r="M137" i="20"/>
  <c r="M122" i="20"/>
  <c r="G2164" i="9" s="1"/>
  <c r="M2164" i="9" s="1"/>
  <c r="M120" i="20"/>
  <c r="M100" i="20"/>
  <c r="M93" i="20"/>
  <c r="G324" i="9" s="1"/>
  <c r="M79" i="20"/>
  <c r="M71" i="20"/>
  <c r="M61" i="20"/>
  <c r="M54" i="20"/>
  <c r="M47" i="20"/>
  <c r="G234" i="9" s="1"/>
  <c r="M39" i="20"/>
  <c r="M34" i="20"/>
  <c r="M23" i="20"/>
  <c r="M15" i="20"/>
  <c r="G44" i="9" s="1"/>
  <c r="M16" i="20"/>
  <c r="M17" i="20"/>
  <c r="M18" i="20"/>
  <c r="M19" i="20"/>
  <c r="M20" i="20"/>
  <c r="M21" i="20"/>
  <c r="M14" i="20"/>
  <c r="G777" i="9" s="1"/>
  <c r="M777" i="9" s="1"/>
  <c r="M12" i="20"/>
  <c r="G35" i="14"/>
  <c r="G37" i="14"/>
  <c r="I1896" i="9"/>
  <c r="H1896" i="9"/>
  <c r="I1886" i="9"/>
  <c r="H1886" i="9"/>
  <c r="I1876" i="9"/>
  <c r="H1876" i="9"/>
  <c r="I1866" i="9"/>
  <c r="H1866" i="9"/>
  <c r="I1856" i="9"/>
  <c r="H1856" i="9"/>
  <c r="I1846" i="9"/>
  <c r="I1836" i="9"/>
  <c r="M1836" i="9" s="1"/>
  <c r="G2250" i="9"/>
  <c r="H2250" i="9" s="1"/>
  <c r="I2252" i="9"/>
  <c r="J2252" i="9" s="1"/>
  <c r="L2252" i="9"/>
  <c r="H2252" i="9"/>
  <c r="L2251" i="9"/>
  <c r="J2251" i="9"/>
  <c r="L2250" i="9"/>
  <c r="J2250" i="9"/>
  <c r="G647" i="21"/>
  <c r="O1272" i="9"/>
  <c r="O994" i="9"/>
  <c r="AG177" i="23"/>
  <c r="AJ177" i="23" s="1"/>
  <c r="AG176" i="23"/>
  <c r="AG129" i="23"/>
  <c r="AJ129" i="23" s="1"/>
  <c r="AG128" i="23"/>
  <c r="AG81" i="23"/>
  <c r="AJ81" i="23" s="1"/>
  <c r="AG80" i="23"/>
  <c r="AG33" i="23"/>
  <c r="AJ33" i="23" s="1"/>
  <c r="AG32" i="23"/>
  <c r="Q286" i="23"/>
  <c r="T286" i="23" s="1"/>
  <c r="Q262" i="23"/>
  <c r="A21" i="12"/>
  <c r="O1990" i="9"/>
  <c r="O1826" i="9"/>
  <c r="O1816" i="9"/>
  <c r="O1807" i="9"/>
  <c r="O1797" i="9"/>
  <c r="O1788" i="9"/>
  <c r="O1778" i="9"/>
  <c r="O1769" i="9"/>
  <c r="O1759" i="9"/>
  <c r="O1750" i="9"/>
  <c r="O1740" i="9"/>
  <c r="O1731" i="9"/>
  <c r="O1721" i="9"/>
  <c r="O1712" i="9"/>
  <c r="O1702" i="9"/>
  <c r="O1571" i="9"/>
  <c r="O1565" i="9"/>
  <c r="O1553" i="9"/>
  <c r="O1547" i="9"/>
  <c r="O1040" i="9"/>
  <c r="O459" i="9"/>
  <c r="A41" i="11"/>
  <c r="L2149" i="9"/>
  <c r="I2149" i="9"/>
  <c r="H2149" i="9"/>
  <c r="L2148" i="9"/>
  <c r="I2148" i="9"/>
  <c r="M2148" i="9" s="1"/>
  <c r="H2148" i="9"/>
  <c r="L2147" i="9"/>
  <c r="J2147" i="9"/>
  <c r="L2146" i="9"/>
  <c r="J2146" i="9"/>
  <c r="L2161" i="9"/>
  <c r="I2161" i="9"/>
  <c r="H2161" i="9"/>
  <c r="L2160" i="9"/>
  <c r="I2160" i="9"/>
  <c r="M2160" i="9" s="1"/>
  <c r="H2160" i="9"/>
  <c r="L2159" i="9"/>
  <c r="J2159" i="9"/>
  <c r="L2158" i="9"/>
  <c r="J2158" i="9"/>
  <c r="L2167" i="9"/>
  <c r="I2167" i="9"/>
  <c r="H2167" i="9"/>
  <c r="L2166" i="9"/>
  <c r="I2166" i="9"/>
  <c r="M2166" i="9" s="1"/>
  <c r="H2166" i="9"/>
  <c r="L2165" i="9"/>
  <c r="J2165" i="9"/>
  <c r="L2164" i="9"/>
  <c r="J2164" i="9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51" i="4" s="1"/>
  <c r="L2201" i="9"/>
  <c r="L2202" i="9" s="1"/>
  <c r="I2201" i="9"/>
  <c r="H2201" i="9"/>
  <c r="H2202" i="9" s="1"/>
  <c r="B5" i="9"/>
  <c r="L333" i="9"/>
  <c r="J333" i="9"/>
  <c r="L331" i="9"/>
  <c r="I331" i="9"/>
  <c r="H331" i="9"/>
  <c r="L330" i="9"/>
  <c r="I330" i="9"/>
  <c r="M330" i="9" s="1"/>
  <c r="H330" i="9"/>
  <c r="L337" i="9"/>
  <c r="L339" i="9"/>
  <c r="L336" i="9"/>
  <c r="J339" i="9"/>
  <c r="H337" i="9"/>
  <c r="H336" i="9"/>
  <c r="H1753" i="12"/>
  <c r="M1753" i="12" s="1"/>
  <c r="M1727" i="12"/>
  <c r="M1721" i="12"/>
  <c r="D1719" i="12"/>
  <c r="D1718" i="12"/>
  <c r="I337" i="9"/>
  <c r="M337" i="9" s="1"/>
  <c r="I336" i="9"/>
  <c r="M336" i="9" s="1"/>
  <c r="H555" i="12"/>
  <c r="M555" i="12" s="1"/>
  <c r="H536" i="12"/>
  <c r="M536" i="12" s="1"/>
  <c r="M1765" i="12"/>
  <c r="I344" i="9" s="1"/>
  <c r="J344" i="9" s="1"/>
  <c r="H258" i="21"/>
  <c r="M222" i="20"/>
  <c r="E11" i="22" s="1"/>
  <c r="L11" i="22" s="1"/>
  <c r="G47" i="22" s="1"/>
  <c r="M223" i="20"/>
  <c r="M224" i="20"/>
  <c r="P23" i="22" s="1"/>
  <c r="S23" i="22" s="1"/>
  <c r="M225" i="20"/>
  <c r="P7" i="22" s="1"/>
  <c r="R7" i="22" s="1"/>
  <c r="S7" i="22" s="1"/>
  <c r="U7" i="22" s="1"/>
  <c r="M226" i="20"/>
  <c r="P14" i="22" s="1"/>
  <c r="R14" i="22" s="1"/>
  <c r="S14" i="22" s="1"/>
  <c r="U14" i="22" s="1"/>
  <c r="K1245" i="9"/>
  <c r="M1245" i="9" s="1"/>
  <c r="K1238" i="9"/>
  <c r="M1238" i="9" s="1"/>
  <c r="K1231" i="9"/>
  <c r="K1224" i="9"/>
  <c r="K1217" i="9"/>
  <c r="K1210" i="9"/>
  <c r="M1210" i="9" s="1"/>
  <c r="K1196" i="9"/>
  <c r="K1203" i="9"/>
  <c r="L1203" i="9" s="1"/>
  <c r="K1189" i="9"/>
  <c r="K1182" i="9"/>
  <c r="L1182" i="9" s="1"/>
  <c r="K1175" i="9"/>
  <c r="M1175" i="9" s="1"/>
  <c r="K1168" i="9"/>
  <c r="K1161" i="9"/>
  <c r="M1161" i="9" s="1"/>
  <c r="K1154" i="9"/>
  <c r="L1154" i="9" s="1"/>
  <c r="K1147" i="9"/>
  <c r="K1140" i="9"/>
  <c r="L1140" i="9" s="1"/>
  <c r="I2210" i="9"/>
  <c r="I2209" i="9"/>
  <c r="J2209" i="9" s="1"/>
  <c r="I2205" i="9"/>
  <c r="I2204" i="9"/>
  <c r="I2196" i="9"/>
  <c r="I2195" i="9"/>
  <c r="M2195" i="9" s="1"/>
  <c r="I2194" i="9"/>
  <c r="M2194" i="9" s="1"/>
  <c r="I2189" i="9"/>
  <c r="I2188" i="9"/>
  <c r="J2188" i="9" s="1"/>
  <c r="I2187" i="9"/>
  <c r="I2184" i="9"/>
  <c r="I2183" i="9"/>
  <c r="I2179" i="9"/>
  <c r="M2179" i="9" s="1"/>
  <c r="I2178" i="9"/>
  <c r="M2178" i="9" s="1"/>
  <c r="I2173" i="9"/>
  <c r="I2172" i="9"/>
  <c r="I2155" i="9"/>
  <c r="I2154" i="9"/>
  <c r="I2111" i="9"/>
  <c r="I2105" i="9"/>
  <c r="I2097" i="9"/>
  <c r="I2089" i="9"/>
  <c r="M2089" i="9" s="1"/>
  <c r="I2081" i="9"/>
  <c r="J2081" i="9" s="1"/>
  <c r="I2072" i="9"/>
  <c r="I2058" i="9"/>
  <c r="I2044" i="9"/>
  <c r="I2030" i="9"/>
  <c r="J2030" i="9" s="1"/>
  <c r="I2017" i="9"/>
  <c r="M2017" i="9" s="1"/>
  <c r="I2004" i="9"/>
  <c r="I1992" i="9"/>
  <c r="J1992" i="9" s="1"/>
  <c r="I1991" i="9"/>
  <c r="I1986" i="9"/>
  <c r="M1986" i="9" s="1"/>
  <c r="I1979" i="9"/>
  <c r="I1972" i="9"/>
  <c r="J1972" i="9" s="1"/>
  <c r="I1894" i="9"/>
  <c r="J1894" i="9" s="1"/>
  <c r="I1893" i="9"/>
  <c r="M1893" i="9" s="1"/>
  <c r="I1892" i="9"/>
  <c r="I1884" i="9"/>
  <c r="M1884" i="9" s="1"/>
  <c r="I1883" i="9"/>
  <c r="I1882" i="9"/>
  <c r="I1874" i="9"/>
  <c r="I1873" i="9"/>
  <c r="J1873" i="9" s="1"/>
  <c r="I1872" i="9"/>
  <c r="I1864" i="9"/>
  <c r="I1863" i="9"/>
  <c r="I1862" i="9"/>
  <c r="M1862" i="9" s="1"/>
  <c r="I1854" i="9"/>
  <c r="I1853" i="9"/>
  <c r="M1853" i="9" s="1"/>
  <c r="I1852" i="9"/>
  <c r="I1844" i="9"/>
  <c r="M1844" i="9" s="1"/>
  <c r="I1843" i="9"/>
  <c r="I1842" i="9"/>
  <c r="I1834" i="9"/>
  <c r="I1833" i="9"/>
  <c r="M1833" i="9" s="1"/>
  <c r="I1823" i="9"/>
  <c r="I1824" i="9"/>
  <c r="M1824" i="9" s="1"/>
  <c r="I1814" i="9"/>
  <c r="I1815" i="9"/>
  <c r="M1815" i="9" s="1"/>
  <c r="I1804" i="9"/>
  <c r="M1804" i="9" s="1"/>
  <c r="I1805" i="9"/>
  <c r="I1795" i="9"/>
  <c r="J1795" i="9" s="1"/>
  <c r="I1796" i="9"/>
  <c r="M1796" i="9" s="1"/>
  <c r="I1785" i="9"/>
  <c r="I1786" i="9"/>
  <c r="M1786" i="9" s="1"/>
  <c r="I1776" i="9"/>
  <c r="I1777" i="9"/>
  <c r="J1777" i="9" s="1"/>
  <c r="I1766" i="9"/>
  <c r="I1767" i="9"/>
  <c r="M1767" i="9" s="1"/>
  <c r="I1757" i="9"/>
  <c r="J1757" i="9" s="1"/>
  <c r="I1758" i="9"/>
  <c r="J1758" i="9" s="1"/>
  <c r="I1747" i="9"/>
  <c r="I1748" i="9"/>
  <c r="M1748" i="9" s="1"/>
  <c r="I1738" i="9"/>
  <c r="I1739" i="9"/>
  <c r="J1739" i="9" s="1"/>
  <c r="I1832" i="9"/>
  <c r="I1822" i="9"/>
  <c r="M1822" i="9" s="1"/>
  <c r="I1813" i="9"/>
  <c r="J1813" i="9" s="1"/>
  <c r="I1803" i="9"/>
  <c r="M1803" i="9" s="1"/>
  <c r="I1794" i="9"/>
  <c r="M1794" i="9" s="1"/>
  <c r="I1784" i="9"/>
  <c r="M1784" i="9" s="1"/>
  <c r="I1775" i="9"/>
  <c r="I1765" i="9"/>
  <c r="M1765" i="9" s="1"/>
  <c r="I1756" i="9"/>
  <c r="M1756" i="9" s="1"/>
  <c r="I1746" i="9"/>
  <c r="M1746" i="9" s="1"/>
  <c r="I1737" i="9"/>
  <c r="I1729" i="9"/>
  <c r="M1729" i="9" s="1"/>
  <c r="I1727" i="9"/>
  <c r="J1727" i="9" s="1"/>
  <c r="I1728" i="9"/>
  <c r="J1728" i="9" s="1"/>
  <c r="I1720" i="9"/>
  <c r="I1719" i="9"/>
  <c r="M1719" i="9" s="1"/>
  <c r="I1718" i="9"/>
  <c r="I1710" i="9"/>
  <c r="M1710" i="9" s="1"/>
  <c r="I1709" i="9"/>
  <c r="J1709" i="9" s="1"/>
  <c r="I1708" i="9"/>
  <c r="J1708" i="9" s="1"/>
  <c r="I1701" i="9"/>
  <c r="I1700" i="9"/>
  <c r="M1700" i="9" s="1"/>
  <c r="I1699" i="9"/>
  <c r="I1645" i="9"/>
  <c r="J1645" i="9" s="1"/>
  <c r="I1644" i="9"/>
  <c r="J1644" i="9" s="1"/>
  <c r="I1639" i="9"/>
  <c r="I1637" i="9"/>
  <c r="J1637" i="9" s="1"/>
  <c r="I1632" i="9"/>
  <c r="J1632" i="9" s="1"/>
  <c r="I1631" i="9"/>
  <c r="I1627" i="9"/>
  <c r="I1626" i="9"/>
  <c r="J1626" i="9" s="1"/>
  <c r="I1621" i="9"/>
  <c r="J1621" i="9" s="1"/>
  <c r="I1620" i="9"/>
  <c r="I1615" i="9"/>
  <c r="M1615" i="9" s="1"/>
  <c r="I1614" i="9"/>
  <c r="I1609" i="9"/>
  <c r="M1609" i="9" s="1"/>
  <c r="I1608" i="9"/>
  <c r="I1603" i="9"/>
  <c r="I1602" i="9"/>
  <c r="I1597" i="9"/>
  <c r="M1597" i="9" s="1"/>
  <c r="I1596" i="9"/>
  <c r="J1596" i="9" s="1"/>
  <c r="I1591" i="9"/>
  <c r="J1591" i="9" s="1"/>
  <c r="I1590" i="9"/>
  <c r="I1585" i="9"/>
  <c r="M1585" i="9" s="1"/>
  <c r="I1584" i="9"/>
  <c r="I1573" i="9"/>
  <c r="M1573" i="9" s="1"/>
  <c r="I1572" i="9"/>
  <c r="M1572" i="9" s="1"/>
  <c r="I1567" i="9"/>
  <c r="J1567" i="9" s="1"/>
  <c r="I1566" i="9"/>
  <c r="I1555" i="9"/>
  <c r="I1554" i="9"/>
  <c r="I1549" i="9"/>
  <c r="M1549" i="9" s="1"/>
  <c r="I1548" i="9"/>
  <c r="M1548" i="9" s="1"/>
  <c r="I1538" i="9"/>
  <c r="M1538" i="9" s="1"/>
  <c r="I1537" i="9"/>
  <c r="I1267" i="9"/>
  <c r="J1267" i="9" s="1"/>
  <c r="I1260" i="9"/>
  <c r="M1260" i="9" s="1"/>
  <c r="I1253" i="9"/>
  <c r="M1253" i="9" s="1"/>
  <c r="I1133" i="9"/>
  <c r="J1133" i="9" s="1"/>
  <c r="I1125" i="9"/>
  <c r="M1125" i="9" s="1"/>
  <c r="I1117" i="9"/>
  <c r="J1117" i="9" s="1"/>
  <c r="I1033" i="9"/>
  <c r="I1024" i="9"/>
  <c r="I1023" i="9"/>
  <c r="I1022" i="9"/>
  <c r="M1022" i="9" s="1"/>
  <c r="I1012" i="9"/>
  <c r="I1011" i="9"/>
  <c r="M1011" i="9" s="1"/>
  <c r="I1001" i="9"/>
  <c r="M1001" i="9" s="1"/>
  <c r="I1000" i="9"/>
  <c r="J1000" i="9" s="1"/>
  <c r="I987" i="9"/>
  <c r="M987" i="9" s="1"/>
  <c r="I986" i="9"/>
  <c r="I975" i="9"/>
  <c r="J975" i="9" s="1"/>
  <c r="I974" i="9"/>
  <c r="J974" i="9" s="1"/>
  <c r="I963" i="9"/>
  <c r="I962" i="9"/>
  <c r="I951" i="9"/>
  <c r="I950" i="9"/>
  <c r="J950" i="9" s="1"/>
  <c r="I939" i="9"/>
  <c r="J939" i="9" s="1"/>
  <c r="I938" i="9"/>
  <c r="I928" i="9"/>
  <c r="M928" i="9" s="1"/>
  <c r="I927" i="9"/>
  <c r="J927" i="9" s="1"/>
  <c r="I926" i="9"/>
  <c r="J926" i="9" s="1"/>
  <c r="I920" i="9"/>
  <c r="M920" i="9" s="1"/>
  <c r="I915" i="9"/>
  <c r="M915" i="9" s="1"/>
  <c r="I906" i="9"/>
  <c r="J906" i="9" s="1"/>
  <c r="I905" i="9"/>
  <c r="I896" i="9"/>
  <c r="I895" i="9"/>
  <c r="J895" i="9" s="1"/>
  <c r="I894" i="9"/>
  <c r="I885" i="9"/>
  <c r="I884" i="9"/>
  <c r="J884" i="9" s="1"/>
  <c r="I875" i="9"/>
  <c r="J875" i="9" s="1"/>
  <c r="I874" i="9"/>
  <c r="I866" i="9"/>
  <c r="I857" i="9"/>
  <c r="J857" i="9" s="1"/>
  <c r="I856" i="9"/>
  <c r="J856" i="9" s="1"/>
  <c r="I847" i="9"/>
  <c r="I846" i="9"/>
  <c r="I838" i="9"/>
  <c r="M838" i="9" s="1"/>
  <c r="I829" i="9"/>
  <c r="M829" i="9" s="1"/>
  <c r="I820" i="9"/>
  <c r="M820" i="9" s="1"/>
  <c r="I812" i="9"/>
  <c r="I804" i="9"/>
  <c r="J804" i="9" s="1"/>
  <c r="I797" i="9"/>
  <c r="J797" i="9" s="1"/>
  <c r="I796" i="9"/>
  <c r="I792" i="9"/>
  <c r="I788" i="9"/>
  <c r="J788" i="9" s="1"/>
  <c r="I767" i="9"/>
  <c r="M767" i="9" s="1"/>
  <c r="I766" i="9"/>
  <c r="I750" i="9"/>
  <c r="J750" i="9" s="1"/>
  <c r="I724" i="9"/>
  <c r="I723" i="9"/>
  <c r="J723" i="9" s="1"/>
  <c r="I715" i="9"/>
  <c r="I714" i="9"/>
  <c r="J714" i="9" s="1"/>
  <c r="I706" i="9"/>
  <c r="J706" i="9" s="1"/>
  <c r="I705" i="9"/>
  <c r="M705" i="9" s="1"/>
  <c r="I697" i="9"/>
  <c r="M697" i="9" s="1"/>
  <c r="I696" i="9"/>
  <c r="I684" i="9"/>
  <c r="I675" i="9"/>
  <c r="M675" i="9" s="1"/>
  <c r="I667" i="9"/>
  <c r="J667" i="9" s="1"/>
  <c r="I659" i="9"/>
  <c r="M659" i="9" s="1"/>
  <c r="I651" i="9"/>
  <c r="I643" i="9"/>
  <c r="J643" i="9" s="1"/>
  <c r="I635" i="9"/>
  <c r="J635" i="9" s="1"/>
  <c r="I560" i="9"/>
  <c r="I554" i="9"/>
  <c r="J554" i="9" s="1"/>
  <c r="I548" i="9"/>
  <c r="J548" i="9" s="1"/>
  <c r="I542" i="9"/>
  <c r="J542" i="9" s="1"/>
  <c r="I535" i="9"/>
  <c r="J535" i="9" s="1"/>
  <c r="I534" i="9"/>
  <c r="I516" i="9"/>
  <c r="J516" i="9" s="1"/>
  <c r="J517" i="9" s="1"/>
  <c r="H101" i="4" s="1"/>
  <c r="I101" i="4" s="1"/>
  <c r="I513" i="9"/>
  <c r="J513" i="9" s="1"/>
  <c r="J514" i="9" s="1"/>
  <c r="H100" i="4" s="1"/>
  <c r="I492" i="9"/>
  <c r="I489" i="9"/>
  <c r="M489" i="9" s="1"/>
  <c r="I455" i="9"/>
  <c r="J455" i="9" s="1"/>
  <c r="I451" i="9"/>
  <c r="I447" i="9"/>
  <c r="I446" i="9"/>
  <c r="I443" i="9"/>
  <c r="M443" i="9" s="1"/>
  <c r="I442" i="9"/>
  <c r="M442" i="9" s="1"/>
  <c r="I436" i="9"/>
  <c r="J436" i="9" s="1"/>
  <c r="I435" i="9"/>
  <c r="I431" i="9"/>
  <c r="J431" i="9" s="1"/>
  <c r="I425" i="9"/>
  <c r="J425" i="9" s="1"/>
  <c r="I424" i="9"/>
  <c r="I420" i="9"/>
  <c r="M420" i="9" s="1"/>
  <c r="I416" i="9"/>
  <c r="J416" i="9" s="1"/>
  <c r="I410" i="9"/>
  <c r="J410" i="9" s="1"/>
  <c r="I402" i="9"/>
  <c r="M402" i="9" s="1"/>
  <c r="I401" i="9"/>
  <c r="J401" i="9" s="1"/>
  <c r="I397" i="9"/>
  <c r="M397" i="9" s="1"/>
  <c r="I393" i="9"/>
  <c r="M393" i="9" s="1"/>
  <c r="I390" i="9"/>
  <c r="M390" i="9" s="1"/>
  <c r="I387" i="9"/>
  <c r="I384" i="9"/>
  <c r="M384" i="9" s="1"/>
  <c r="I381" i="9"/>
  <c r="J381" i="9" s="1"/>
  <c r="J382" i="9" s="1"/>
  <c r="H66" i="4" s="1"/>
  <c r="I66" i="4" s="1"/>
  <c r="I378" i="9"/>
  <c r="M378" i="9" s="1"/>
  <c r="I375" i="9"/>
  <c r="J375" i="9" s="1"/>
  <c r="I372" i="9"/>
  <c r="J372" i="9" s="1"/>
  <c r="J373" i="9" s="1"/>
  <c r="H63" i="4" s="1"/>
  <c r="I63" i="4" s="1"/>
  <c r="I327" i="9"/>
  <c r="M327" i="9" s="1"/>
  <c r="I325" i="9"/>
  <c r="M325" i="9" s="1"/>
  <c r="I320" i="9"/>
  <c r="M320" i="9" s="1"/>
  <c r="I318" i="9"/>
  <c r="J318" i="9" s="1"/>
  <c r="I311" i="9"/>
  <c r="M311" i="9" s="1"/>
  <c r="I310" i="9"/>
  <c r="J310" i="9" s="1"/>
  <c r="I304" i="9"/>
  <c r="I303" i="9"/>
  <c r="J303" i="9" s="1"/>
  <c r="I297" i="9"/>
  <c r="J297" i="9" s="1"/>
  <c r="I296" i="9"/>
  <c r="J296" i="9" s="1"/>
  <c r="I290" i="9"/>
  <c r="M290" i="9" s="1"/>
  <c r="I289" i="9"/>
  <c r="J289" i="9" s="1"/>
  <c r="I283" i="9"/>
  <c r="M283" i="9" s="1"/>
  <c r="I282" i="9"/>
  <c r="J282" i="9" s="1"/>
  <c r="I276" i="9"/>
  <c r="I275" i="9"/>
  <c r="J275" i="9" s="1"/>
  <c r="I271" i="9"/>
  <c r="J271" i="9" s="1"/>
  <c r="I270" i="9"/>
  <c r="J270" i="9" s="1"/>
  <c r="I266" i="9"/>
  <c r="I265" i="9"/>
  <c r="J265" i="9" s="1"/>
  <c r="I261" i="9"/>
  <c r="I260" i="9"/>
  <c r="J260" i="9" s="1"/>
  <c r="I254" i="9"/>
  <c r="I245" i="9"/>
  <c r="M245" i="9" s="1"/>
  <c r="I237" i="9"/>
  <c r="J237" i="9" s="1"/>
  <c r="G238" i="9" s="1"/>
  <c r="H238" i="9" s="1"/>
  <c r="I211" i="9"/>
  <c r="M211" i="9" s="1"/>
  <c r="I210" i="9"/>
  <c r="M210" i="9" s="1"/>
  <c r="I201" i="9"/>
  <c r="J201" i="9" s="1"/>
  <c r="I200" i="9"/>
  <c r="I141" i="9"/>
  <c r="M141" i="9" s="1"/>
  <c r="I140" i="9"/>
  <c r="M140" i="9" s="1"/>
  <c r="I131" i="9"/>
  <c r="M131" i="9" s="1"/>
  <c r="I130" i="9"/>
  <c r="J130" i="9" s="1"/>
  <c r="I119" i="9"/>
  <c r="I118" i="9"/>
  <c r="I111" i="9"/>
  <c r="J111" i="9" s="1"/>
  <c r="I110" i="9"/>
  <c r="J110" i="9" s="1"/>
  <c r="I103" i="9"/>
  <c r="I102" i="9"/>
  <c r="M102" i="9" s="1"/>
  <c r="I95" i="9"/>
  <c r="I94" i="9"/>
  <c r="M94" i="9" s="1"/>
  <c r="I89" i="9"/>
  <c r="M89" i="9" s="1"/>
  <c r="I88" i="9"/>
  <c r="J88" i="9" s="1"/>
  <c r="I86" i="9"/>
  <c r="J86" i="9" s="1"/>
  <c r="I85" i="9"/>
  <c r="I80" i="9"/>
  <c r="M80" i="9" s="1"/>
  <c r="I79" i="9"/>
  <c r="I77" i="9"/>
  <c r="J77" i="9" s="1"/>
  <c r="I76" i="9"/>
  <c r="J76" i="9" s="1"/>
  <c r="I71" i="9"/>
  <c r="M71" i="9" s="1"/>
  <c r="I70" i="9"/>
  <c r="J70" i="9" s="1"/>
  <c r="I68" i="9"/>
  <c r="M68" i="9" s="1"/>
  <c r="I67" i="9"/>
  <c r="J67" i="9" s="1"/>
  <c r="I62" i="9"/>
  <c r="J62" i="9" s="1"/>
  <c r="I61" i="9"/>
  <c r="J61" i="9" s="1"/>
  <c r="I59" i="9"/>
  <c r="J59" i="9" s="1"/>
  <c r="I58" i="9"/>
  <c r="M58" i="9" s="1"/>
  <c r="I53" i="9"/>
  <c r="M53" i="9" s="1"/>
  <c r="I52" i="9"/>
  <c r="J52" i="9" s="1"/>
  <c r="I46" i="9"/>
  <c r="J46" i="9" s="1"/>
  <c r="I45" i="9"/>
  <c r="J45" i="9" s="1"/>
  <c r="I39" i="9"/>
  <c r="M39" i="9" s="1"/>
  <c r="I38" i="9"/>
  <c r="M38" i="9" s="1"/>
  <c r="I32" i="9"/>
  <c r="M32" i="9" s="1"/>
  <c r="I31" i="9"/>
  <c r="M31" i="9" s="1"/>
  <c r="I25" i="9"/>
  <c r="M25" i="9" s="1"/>
  <c r="I24" i="9"/>
  <c r="M24" i="9" s="1"/>
  <c r="I18" i="9"/>
  <c r="J18" i="9" s="1"/>
  <c r="I13" i="9"/>
  <c r="M13" i="9" s="1"/>
  <c r="I8" i="9"/>
  <c r="J8" i="9" s="1"/>
  <c r="K1244" i="9"/>
  <c r="L1244" i="9" s="1"/>
  <c r="K1237" i="9"/>
  <c r="L1237" i="9" s="1"/>
  <c r="K1230" i="9"/>
  <c r="M1230" i="9" s="1"/>
  <c r="K1223" i="9"/>
  <c r="L1223" i="9" s="1"/>
  <c r="K1216" i="9"/>
  <c r="K1209" i="9"/>
  <c r="M1209" i="9" s="1"/>
  <c r="K1202" i="9"/>
  <c r="L1202" i="9" s="1"/>
  <c r="K1195" i="9"/>
  <c r="M1195" i="9" s="1"/>
  <c r="K1188" i="9"/>
  <c r="L1188" i="9" s="1"/>
  <c r="K1181" i="9"/>
  <c r="M1181" i="9" s="1"/>
  <c r="K1174" i="9"/>
  <c r="M1174" i="9" s="1"/>
  <c r="K1167" i="9"/>
  <c r="L1167" i="9" s="1"/>
  <c r="K1160" i="9"/>
  <c r="M1160" i="9" s="1"/>
  <c r="K1153" i="9"/>
  <c r="L1153" i="9" s="1"/>
  <c r="K1146" i="9"/>
  <c r="M1146" i="9" s="1"/>
  <c r="K1139" i="9"/>
  <c r="L1139" i="9" s="1"/>
  <c r="K1107" i="9"/>
  <c r="L1107" i="9" s="1"/>
  <c r="AS12" i="22"/>
  <c r="AP5" i="22" s="1"/>
  <c r="R24" i="22"/>
  <c r="K39" i="22"/>
  <c r="I746" i="9"/>
  <c r="I740" i="9"/>
  <c r="J740" i="9" s="1"/>
  <c r="I734" i="9"/>
  <c r="M734" i="9" s="1"/>
  <c r="I729" i="9"/>
  <c r="M729" i="9" s="1"/>
  <c r="G1037" i="21"/>
  <c r="I1037" i="21" s="1"/>
  <c r="L1071" i="21" s="1"/>
  <c r="G596" i="21"/>
  <c r="I596" i="21" s="1"/>
  <c r="L630" i="21" s="1"/>
  <c r="G59" i="21"/>
  <c r="I59" i="21" s="1"/>
  <c r="L679" i="21" s="1"/>
  <c r="G8" i="21"/>
  <c r="D122" i="12"/>
  <c r="M122" i="12" s="1"/>
  <c r="M125" i="12" s="1"/>
  <c r="D1738" i="12"/>
  <c r="D1737" i="12"/>
  <c r="D1700" i="12"/>
  <c r="D1699" i="12"/>
  <c r="D1681" i="12"/>
  <c r="D1680" i="12"/>
  <c r="D1662" i="12"/>
  <c r="D1661" i="12"/>
  <c r="D1643" i="12"/>
  <c r="D1642" i="12"/>
  <c r="D1624" i="12"/>
  <c r="D1623" i="12"/>
  <c r="M1623" i="12" s="1"/>
  <c r="M1626" i="12" s="1"/>
  <c r="D1605" i="12"/>
  <c r="D1604" i="12"/>
  <c r="D1586" i="12"/>
  <c r="D1585" i="12"/>
  <c r="M1585" i="12" s="1"/>
  <c r="M1588" i="12" s="1"/>
  <c r="D1567" i="12"/>
  <c r="D1566" i="12"/>
  <c r="D1548" i="12"/>
  <c r="D1547" i="12"/>
  <c r="D1529" i="12"/>
  <c r="D1528" i="12"/>
  <c r="D1510" i="12"/>
  <c r="D1509" i="12"/>
  <c r="M1509" i="12" s="1"/>
  <c r="M1512" i="12" s="1"/>
  <c r="I1502" i="9" s="1"/>
  <c r="J1502" i="9" s="1"/>
  <c r="J1503" i="9" s="1"/>
  <c r="H294" i="4" s="1"/>
  <c r="I294" i="4" s="1"/>
  <c r="D1491" i="12"/>
  <c r="D1490" i="12"/>
  <c r="D1472" i="12"/>
  <c r="D1471" i="12"/>
  <c r="M1471" i="12" s="1"/>
  <c r="M1474" i="12" s="1"/>
  <c r="I994" i="9" s="1"/>
  <c r="J994" i="9" s="1"/>
  <c r="D1453" i="12"/>
  <c r="D1452" i="12"/>
  <c r="D1433" i="12"/>
  <c r="M1433" i="12" s="1"/>
  <c r="M1436" i="12" s="1"/>
  <c r="I1487" i="9" s="1"/>
  <c r="J1487" i="9" s="1"/>
  <c r="J1488" i="9" s="1"/>
  <c r="H289" i="4" s="1"/>
  <c r="I289" i="4" s="1"/>
  <c r="D1415" i="12"/>
  <c r="D1414" i="12"/>
  <c r="D1396" i="12"/>
  <c r="D1395" i="12"/>
  <c r="M1395" i="12" s="1"/>
  <c r="M1398" i="12" s="1"/>
  <c r="I1481" i="9" s="1"/>
  <c r="J1481" i="9" s="1"/>
  <c r="J1482" i="9" s="1"/>
  <c r="H287" i="4" s="1"/>
  <c r="I287" i="4" s="1"/>
  <c r="D1377" i="12"/>
  <c r="D1376" i="12"/>
  <c r="M1376" i="12" s="1"/>
  <c r="M1379" i="12" s="1"/>
  <c r="I1478" i="9" s="1"/>
  <c r="J1478" i="9" s="1"/>
  <c r="J1479" i="9" s="1"/>
  <c r="H286" i="4" s="1"/>
  <c r="I286" i="4" s="1"/>
  <c r="D1358" i="12"/>
  <c r="D1357" i="12"/>
  <c r="M1357" i="12" s="1"/>
  <c r="M1360" i="12" s="1"/>
  <c r="I404" i="9" s="1"/>
  <c r="J404" i="9" s="1"/>
  <c r="D1339" i="12"/>
  <c r="D1338" i="12"/>
  <c r="D1320" i="12"/>
  <c r="D1319" i="12"/>
  <c r="D1301" i="12"/>
  <c r="D1300" i="12"/>
  <c r="M1300" i="12" s="1"/>
  <c r="M1303" i="12" s="1"/>
  <c r="I312" i="9" s="1"/>
  <c r="J312" i="9" s="1"/>
  <c r="D1282" i="12"/>
  <c r="D1281" i="12"/>
  <c r="M1281" i="12" s="1"/>
  <c r="M1284" i="12" s="1"/>
  <c r="D1263" i="12"/>
  <c r="D1262" i="12"/>
  <c r="M1262" i="12" s="1"/>
  <c r="M1265" i="12" s="1"/>
  <c r="I1458" i="9" s="1"/>
  <c r="J1458" i="9" s="1"/>
  <c r="J1459" i="9" s="1"/>
  <c r="H280" i="4" s="1"/>
  <c r="I280" i="4" s="1"/>
  <c r="D1244" i="12"/>
  <c r="D1243" i="12"/>
  <c r="M1243" i="12" s="1"/>
  <c r="M1246" i="12" s="1"/>
  <c r="AC123" i="23" s="1"/>
  <c r="D1225" i="12"/>
  <c r="D1224" i="12"/>
  <c r="M1224" i="12" s="1"/>
  <c r="M1227" i="12" s="1"/>
  <c r="AC27" i="23" s="1"/>
  <c r="D1205" i="12"/>
  <c r="M1205" i="12" s="1"/>
  <c r="M1208" i="12" s="1"/>
  <c r="P115" i="23" s="1"/>
  <c r="D1187" i="12"/>
  <c r="D1186" i="12"/>
  <c r="M1186" i="12" s="1"/>
  <c r="M1189" i="12" s="1"/>
  <c r="D1168" i="12"/>
  <c r="D1167" i="12"/>
  <c r="D1149" i="12"/>
  <c r="D1148" i="12"/>
  <c r="M1148" i="12" s="1"/>
  <c r="M1151" i="12" s="1"/>
  <c r="I1443" i="9" s="1"/>
  <c r="J1443" i="9" s="1"/>
  <c r="J1444" i="9" s="1"/>
  <c r="H275" i="4" s="1"/>
  <c r="I275" i="4" s="1"/>
  <c r="D1130" i="12"/>
  <c r="D1129" i="12"/>
  <c r="M1129" i="12" s="1"/>
  <c r="M1132" i="12" s="1"/>
  <c r="D1111" i="12"/>
  <c r="D1110" i="12"/>
  <c r="M1110" i="12" s="1"/>
  <c r="M1113" i="12" s="1"/>
  <c r="I1437" i="9" s="1"/>
  <c r="J1437" i="9" s="1"/>
  <c r="J1438" i="9" s="1"/>
  <c r="H273" i="4" s="1"/>
  <c r="I273" i="4" s="1"/>
  <c r="D1092" i="12"/>
  <c r="D1091" i="12"/>
  <c r="M1091" i="12" s="1"/>
  <c r="M1094" i="12" s="1"/>
  <c r="I1434" i="9" s="1"/>
  <c r="J1434" i="9" s="1"/>
  <c r="J1435" i="9" s="1"/>
  <c r="H272" i="4" s="1"/>
  <c r="I272" i="4" s="1"/>
  <c r="D1073" i="12"/>
  <c r="D1072" i="12"/>
  <c r="M1072" i="12" s="1"/>
  <c r="M1075" i="12" s="1"/>
  <c r="I695" i="9" s="1"/>
  <c r="J695" i="9" s="1"/>
  <c r="D1053" i="12"/>
  <c r="M1053" i="12" s="1"/>
  <c r="M1056" i="12" s="1"/>
  <c r="I1428" i="9" s="1"/>
  <c r="J1428" i="9" s="1"/>
  <c r="J1429" i="9" s="1"/>
  <c r="H270" i="4" s="1"/>
  <c r="I270" i="4" s="1"/>
  <c r="D1034" i="12"/>
  <c r="M1034" i="12" s="1"/>
  <c r="M1037" i="12" s="1"/>
  <c r="D1015" i="12"/>
  <c r="M1015" i="12" s="1"/>
  <c r="M1018" i="12" s="1"/>
  <c r="I1422" i="9" s="1"/>
  <c r="J1422" i="9" s="1"/>
  <c r="J1423" i="9" s="1"/>
  <c r="H268" i="4" s="1"/>
  <c r="I268" i="4" s="1"/>
  <c r="D996" i="12"/>
  <c r="M996" i="12" s="1"/>
  <c r="M999" i="12" s="1"/>
  <c r="I1419" i="9" s="1"/>
  <c r="J1419" i="9" s="1"/>
  <c r="J1420" i="9" s="1"/>
  <c r="H267" i="4" s="1"/>
  <c r="I267" i="4" s="1"/>
  <c r="D977" i="12"/>
  <c r="M977" i="12" s="1"/>
  <c r="M980" i="12" s="1"/>
  <c r="I1416" i="9" s="1"/>
  <c r="J1416" i="9" s="1"/>
  <c r="J1417" i="9" s="1"/>
  <c r="H266" i="4" s="1"/>
  <c r="I266" i="4" s="1"/>
  <c r="D976" i="12"/>
  <c r="D958" i="12"/>
  <c r="M958" i="12" s="1"/>
  <c r="M961" i="12" s="1"/>
  <c r="I1619" i="9" s="1"/>
  <c r="J1619" i="9" s="1"/>
  <c r="D939" i="12"/>
  <c r="M939" i="12" s="1"/>
  <c r="M942" i="12" s="1"/>
  <c r="I1577" i="9" s="1"/>
  <c r="J1577" i="9" s="1"/>
  <c r="D938" i="12"/>
  <c r="D920" i="12"/>
  <c r="M920" i="12" s="1"/>
  <c r="M923" i="12" s="1"/>
  <c r="I1410" i="9" s="1"/>
  <c r="J1410" i="9" s="1"/>
  <c r="J1411" i="9" s="1"/>
  <c r="H264" i="4" s="1"/>
  <c r="I264" i="4" s="1"/>
  <c r="D901" i="12"/>
  <c r="M901" i="12" s="1"/>
  <c r="M904" i="12" s="1"/>
  <c r="I1407" i="9" s="1"/>
  <c r="J1407" i="9" s="1"/>
  <c r="J1408" i="9" s="1"/>
  <c r="H263" i="4" s="1"/>
  <c r="I263" i="4" s="1"/>
  <c r="D900" i="12"/>
  <c r="D882" i="12"/>
  <c r="M882" i="12" s="1"/>
  <c r="M885" i="12" s="1"/>
  <c r="I1404" i="9" s="1"/>
  <c r="J1404" i="9" s="1"/>
  <c r="J1405" i="9" s="1"/>
  <c r="H262" i="4" s="1"/>
  <c r="I262" i="4" s="1"/>
  <c r="D863" i="12"/>
  <c r="M863" i="12" s="1"/>
  <c r="M866" i="12" s="1"/>
  <c r="I1401" i="9" s="1"/>
  <c r="J1401" i="9" s="1"/>
  <c r="J1402" i="9" s="1"/>
  <c r="H261" i="4" s="1"/>
  <c r="D862" i="12"/>
  <c r="D844" i="12"/>
  <c r="M844" i="12" s="1"/>
  <c r="M847" i="12" s="1"/>
  <c r="I1398" i="9" s="1"/>
  <c r="J1398" i="9" s="1"/>
  <c r="J1399" i="9" s="1"/>
  <c r="H260" i="4" s="1"/>
  <c r="I260" i="4" s="1"/>
  <c r="D825" i="12"/>
  <c r="M825" i="12" s="1"/>
  <c r="M828" i="12" s="1"/>
  <c r="I1395" i="9" s="1"/>
  <c r="J1395" i="9" s="1"/>
  <c r="J1396" i="9" s="1"/>
  <c r="H259" i="4" s="1"/>
  <c r="I259" i="4" s="1"/>
  <c r="D824" i="12"/>
  <c r="D807" i="12"/>
  <c r="D806" i="12"/>
  <c r="D787" i="12"/>
  <c r="M787" i="12" s="1"/>
  <c r="M790" i="12" s="1"/>
  <c r="D91" i="23" s="1"/>
  <c r="D786" i="12"/>
  <c r="D768" i="12"/>
  <c r="M768" i="12" s="1"/>
  <c r="M771" i="12" s="1"/>
  <c r="P63" i="23" s="1"/>
  <c r="D749" i="12"/>
  <c r="M749" i="12" s="1"/>
  <c r="M752" i="12" s="1"/>
  <c r="D257" i="23" s="1"/>
  <c r="D748" i="12"/>
  <c r="D730" i="12"/>
  <c r="M730" i="12" s="1"/>
  <c r="M733" i="12" s="1"/>
  <c r="P211" i="23" s="1"/>
  <c r="D712" i="12"/>
  <c r="D711" i="12"/>
  <c r="M711" i="12" s="1"/>
  <c r="M714" i="12" s="1"/>
  <c r="I1026" i="9" s="1"/>
  <c r="J1026" i="9" s="1"/>
  <c r="D693" i="12"/>
  <c r="D692" i="12"/>
  <c r="M692" i="12" s="1"/>
  <c r="M695" i="12" s="1"/>
  <c r="I1679" i="9" s="1"/>
  <c r="J1679" i="9" s="1"/>
  <c r="D673" i="12"/>
  <c r="M673" i="12" s="1"/>
  <c r="M676" i="12" s="1"/>
  <c r="I1365" i="9" s="1"/>
  <c r="J1365" i="9" s="1"/>
  <c r="J1366" i="9" s="1"/>
  <c r="H249" i="4" s="1"/>
  <c r="I249" i="4" s="1"/>
  <c r="D654" i="12"/>
  <c r="M654" i="12" s="1"/>
  <c r="M657" i="12" s="1"/>
  <c r="D635" i="12"/>
  <c r="M635" i="12" s="1"/>
  <c r="M638" i="12" s="1"/>
  <c r="I1371" i="9" s="1"/>
  <c r="J1371" i="9" s="1"/>
  <c r="J1372" i="9" s="1"/>
  <c r="H251" i="4" s="1"/>
  <c r="I251" i="4" s="1"/>
  <c r="D616" i="12"/>
  <c r="M616" i="12" s="1"/>
  <c r="M619" i="12" s="1"/>
  <c r="I955" i="9" s="1"/>
  <c r="J955" i="9" s="1"/>
  <c r="D597" i="12"/>
  <c r="M597" i="12" s="1"/>
  <c r="M600" i="12" s="1"/>
  <c r="I965" i="9" s="1"/>
  <c r="J965" i="9" s="1"/>
  <c r="D578" i="12"/>
  <c r="M578" i="12" s="1"/>
  <c r="M581" i="12" s="1"/>
  <c r="I1359" i="9" s="1"/>
  <c r="J1359" i="9" s="1"/>
  <c r="J1360" i="9" s="1"/>
  <c r="H247" i="4" s="1"/>
  <c r="I247" i="4" s="1"/>
  <c r="D560" i="12"/>
  <c r="D559" i="12"/>
  <c r="M559" i="12" s="1"/>
  <c r="M562" i="12" s="1"/>
  <c r="F1023" i="21" s="1"/>
  <c r="D541" i="12"/>
  <c r="D540" i="12"/>
  <c r="M540" i="12" s="1"/>
  <c r="M543" i="12" s="1"/>
  <c r="H245" i="4" s="1"/>
  <c r="I245" i="4" s="1"/>
  <c r="D522" i="12"/>
  <c r="D521" i="12"/>
  <c r="M521" i="12" s="1"/>
  <c r="M524" i="12" s="1"/>
  <c r="F337" i="21" s="1"/>
  <c r="D503" i="12"/>
  <c r="D502" i="12"/>
  <c r="M502" i="12" s="1"/>
  <c r="M505" i="12" s="1"/>
  <c r="I1347" i="9" s="1"/>
  <c r="J1347" i="9" s="1"/>
  <c r="J1348" i="9" s="1"/>
  <c r="H243" i="4" s="1"/>
  <c r="I243" i="4" s="1"/>
  <c r="D484" i="12"/>
  <c r="D483" i="12"/>
  <c r="M483" i="12" s="1"/>
  <c r="M486" i="12" s="1"/>
  <c r="D465" i="12"/>
  <c r="D464" i="12"/>
  <c r="M464" i="12" s="1"/>
  <c r="M467" i="12" s="1"/>
  <c r="D445" i="12"/>
  <c r="M445" i="12" s="1"/>
  <c r="M448" i="12" s="1"/>
  <c r="D235" i="23" s="1"/>
  <c r="D426" i="12"/>
  <c r="M426" i="12" s="1"/>
  <c r="M429" i="12" s="1"/>
  <c r="I1335" i="9" s="1"/>
  <c r="J1335" i="9" s="1"/>
  <c r="D407" i="12"/>
  <c r="M407" i="12" s="1"/>
  <c r="M410" i="12" s="1"/>
  <c r="I1332" i="9" s="1"/>
  <c r="J1332" i="9" s="1"/>
  <c r="J1333" i="9" s="1"/>
  <c r="H238" i="4" s="1"/>
  <c r="I238" i="4" s="1"/>
  <c r="D388" i="12"/>
  <c r="M388" i="12" s="1"/>
  <c r="M391" i="12" s="1"/>
  <c r="I931" i="9" s="1"/>
  <c r="J931" i="9" s="1"/>
  <c r="D369" i="12"/>
  <c r="M369" i="12" s="1"/>
  <c r="M372" i="12" s="1"/>
  <c r="I1326" i="9" s="1"/>
  <c r="J1326" i="9" s="1"/>
  <c r="J1327" i="9" s="1"/>
  <c r="H236" i="4" s="1"/>
  <c r="I236" i="4" s="1"/>
  <c r="D350" i="12"/>
  <c r="M350" i="12" s="1"/>
  <c r="M353" i="12" s="1"/>
  <c r="I1323" i="9" s="1"/>
  <c r="J1323" i="9" s="1"/>
  <c r="J1324" i="9" s="1"/>
  <c r="H235" i="4" s="1"/>
  <c r="I235" i="4" s="1"/>
  <c r="D274" i="12"/>
  <c r="M274" i="12" s="1"/>
  <c r="M277" i="12" s="1"/>
  <c r="I1311" i="9" s="1"/>
  <c r="J1311" i="9" s="1"/>
  <c r="J1312" i="9" s="1"/>
  <c r="H231" i="4" s="1"/>
  <c r="I231" i="4" s="1"/>
  <c r="D255" i="12"/>
  <c r="D160" i="12"/>
  <c r="M160" i="12" s="1"/>
  <c r="M163" i="12" s="1"/>
  <c r="I876" i="9" s="1"/>
  <c r="J876" i="9" s="1"/>
  <c r="D141" i="12"/>
  <c r="M141" i="12" s="1"/>
  <c r="M144" i="12" s="1"/>
  <c r="D103" i="12"/>
  <c r="D84" i="12"/>
  <c r="D27" i="12"/>
  <c r="M27" i="12" s="1"/>
  <c r="M30" i="12" s="1"/>
  <c r="I1275" i="9" s="1"/>
  <c r="J1275" i="9" s="1"/>
  <c r="J1276" i="9" s="1"/>
  <c r="H219" i="4" s="1"/>
  <c r="I219" i="4" s="1"/>
  <c r="D8" i="12"/>
  <c r="M8" i="12" s="1"/>
  <c r="M11" i="12" s="1"/>
  <c r="I1272" i="9" s="1"/>
  <c r="J1272" i="9" s="1"/>
  <c r="J1273" i="9" s="1"/>
  <c r="H218" i="4" s="1"/>
  <c r="I218" i="4" s="1"/>
  <c r="G21" i="14"/>
  <c r="G22" i="14" s="1"/>
  <c r="G15" i="14"/>
  <c r="G12" i="14"/>
  <c r="R12" i="14" s="1"/>
  <c r="G9" i="14"/>
  <c r="M1237" i="12"/>
  <c r="M800" i="12"/>
  <c r="M705" i="12"/>
  <c r="M686" i="12"/>
  <c r="H119" i="12"/>
  <c r="M119" i="12" s="1"/>
  <c r="D129" i="12"/>
  <c r="J1128" i="9"/>
  <c r="J1129" i="9"/>
  <c r="J1130" i="9"/>
  <c r="J1131" i="9"/>
  <c r="J1132" i="9"/>
  <c r="H1133" i="9"/>
  <c r="J1120" i="9"/>
  <c r="J1121" i="9"/>
  <c r="J1122" i="9"/>
  <c r="J1123" i="9"/>
  <c r="J1124" i="9"/>
  <c r="H1125" i="9"/>
  <c r="H138" i="12"/>
  <c r="M138" i="12" s="1"/>
  <c r="C404" i="11"/>
  <c r="E404" i="11"/>
  <c r="G404" i="11"/>
  <c r="I404" i="11"/>
  <c r="K404" i="11"/>
  <c r="M404" i="11"/>
  <c r="H784" i="12"/>
  <c r="M784" i="12" s="1"/>
  <c r="D92" i="23" s="1"/>
  <c r="C1280" i="11"/>
  <c r="E1280" i="11"/>
  <c r="G1280" i="11"/>
  <c r="I1280" i="11"/>
  <c r="K1280" i="11"/>
  <c r="M1280" i="11"/>
  <c r="G33" i="14"/>
  <c r="H1345" i="12" s="1"/>
  <c r="M1345" i="12" s="1"/>
  <c r="H1346" i="12" s="1"/>
  <c r="M1346" i="12" s="1"/>
  <c r="M1347" i="12" s="1"/>
  <c r="H100" i="12"/>
  <c r="M100" i="12" s="1"/>
  <c r="C1177" i="11" s="1"/>
  <c r="C1178" i="11" s="1"/>
  <c r="C369" i="11"/>
  <c r="E369" i="11"/>
  <c r="G369" i="11"/>
  <c r="I369" i="11"/>
  <c r="K369" i="11"/>
  <c r="M369" i="11"/>
  <c r="K103" i="12"/>
  <c r="D110" i="12"/>
  <c r="D111" i="12"/>
  <c r="H81" i="12"/>
  <c r="M81" i="12" s="1"/>
  <c r="C334" i="11"/>
  <c r="E334" i="11"/>
  <c r="G334" i="11"/>
  <c r="I334" i="11"/>
  <c r="K334" i="11"/>
  <c r="M334" i="11"/>
  <c r="K84" i="12"/>
  <c r="L393" i="9"/>
  <c r="H393" i="9"/>
  <c r="H556" i="12"/>
  <c r="J504" i="21"/>
  <c r="G504" i="21" s="1"/>
  <c r="E528" i="21" s="1"/>
  <c r="E503" i="21"/>
  <c r="H503" i="21"/>
  <c r="I528" i="21"/>
  <c r="E515" i="21"/>
  <c r="H513" i="21"/>
  <c r="J513" i="21"/>
  <c r="L515" i="21"/>
  <c r="D518" i="21"/>
  <c r="F518" i="21"/>
  <c r="H518" i="21"/>
  <c r="J518" i="21"/>
  <c r="L518" i="21"/>
  <c r="N518" i="21"/>
  <c r="D519" i="21"/>
  <c r="F519" i="21"/>
  <c r="H537" i="12"/>
  <c r="J406" i="21"/>
  <c r="G406" i="21" s="1"/>
  <c r="E430" i="21" s="1"/>
  <c r="E405" i="21"/>
  <c r="H405" i="21"/>
  <c r="L405" i="21" s="1"/>
  <c r="I430" i="21"/>
  <c r="E417" i="21"/>
  <c r="H415" i="21"/>
  <c r="J415" i="21"/>
  <c r="L417" i="21"/>
  <c r="D420" i="21"/>
  <c r="F420" i="21"/>
  <c r="H420" i="21"/>
  <c r="J420" i="21"/>
  <c r="L420" i="21"/>
  <c r="N420" i="21"/>
  <c r="D421" i="21"/>
  <c r="F421" i="21"/>
  <c r="H518" i="12"/>
  <c r="H517" i="12"/>
  <c r="M517" i="12" s="1"/>
  <c r="J308" i="21"/>
  <c r="G308" i="21" s="1"/>
  <c r="E332" i="21" s="1"/>
  <c r="E307" i="21"/>
  <c r="L307" i="21" s="1"/>
  <c r="H307" i="21"/>
  <c r="I332" i="21"/>
  <c r="E319" i="21"/>
  <c r="H317" i="21"/>
  <c r="J317" i="21"/>
  <c r="L319" i="21"/>
  <c r="D322" i="21"/>
  <c r="F322" i="21"/>
  <c r="H322" i="21"/>
  <c r="J322" i="21"/>
  <c r="L322" i="21"/>
  <c r="N322" i="21"/>
  <c r="D323" i="21"/>
  <c r="F323" i="21"/>
  <c r="P10" i="9"/>
  <c r="H24" i="9"/>
  <c r="H25" i="9"/>
  <c r="J21" i="9"/>
  <c r="J22" i="9"/>
  <c r="J23" i="9"/>
  <c r="E31" i="22"/>
  <c r="I29" i="22"/>
  <c r="G31" i="22" s="1"/>
  <c r="E26" i="22"/>
  <c r="G26" i="22"/>
  <c r="I35" i="22"/>
  <c r="L22" i="9"/>
  <c r="L23" i="9"/>
  <c r="L24" i="9"/>
  <c r="L25" i="9"/>
  <c r="D1290" i="11"/>
  <c r="D1287" i="11"/>
  <c r="D1284" i="11"/>
  <c r="L1280" i="11"/>
  <c r="J1280" i="11"/>
  <c r="H1280" i="11"/>
  <c r="F1280" i="11"/>
  <c r="D1280" i="11"/>
  <c r="G1535" i="9"/>
  <c r="H1535" i="9" s="1"/>
  <c r="G1536" i="9"/>
  <c r="H1536" i="9" s="1"/>
  <c r="H1537" i="9"/>
  <c r="H1538" i="9"/>
  <c r="H1543" i="9"/>
  <c r="J1538" i="9"/>
  <c r="J1530" i="9"/>
  <c r="J1531" i="9"/>
  <c r="J1532" i="9"/>
  <c r="J1533" i="9"/>
  <c r="J1534" i="9"/>
  <c r="J1535" i="9"/>
  <c r="J1536" i="9"/>
  <c r="J1542" i="9"/>
  <c r="L1530" i="9"/>
  <c r="L1531" i="9"/>
  <c r="L1532" i="9"/>
  <c r="L1533" i="9"/>
  <c r="L1534" i="9"/>
  <c r="L1535" i="9"/>
  <c r="L1536" i="9"/>
  <c r="L1537" i="9"/>
  <c r="L1538" i="9"/>
  <c r="L1542" i="9"/>
  <c r="L1543" i="9"/>
  <c r="H8" i="9"/>
  <c r="H1546" i="9"/>
  <c r="H1548" i="9"/>
  <c r="H1549" i="9"/>
  <c r="J6" i="9"/>
  <c r="J7" i="9"/>
  <c r="J1546" i="9"/>
  <c r="L7" i="9"/>
  <c r="L8" i="9"/>
  <c r="L1548" i="9"/>
  <c r="L1549" i="9"/>
  <c r="H1552" i="9"/>
  <c r="H1554" i="9"/>
  <c r="H1555" i="9"/>
  <c r="J1552" i="9"/>
  <c r="L1554" i="9"/>
  <c r="L1555" i="9"/>
  <c r="H1564" i="9"/>
  <c r="H1566" i="9"/>
  <c r="H1567" i="9"/>
  <c r="J1564" i="9"/>
  <c r="L1566" i="9"/>
  <c r="L1567" i="9"/>
  <c r="H1570" i="9"/>
  <c r="H1572" i="9"/>
  <c r="H1573" i="9"/>
  <c r="J1573" i="9"/>
  <c r="J1570" i="9"/>
  <c r="L1572" i="9"/>
  <c r="L1573" i="9"/>
  <c r="H1582" i="9"/>
  <c r="H1584" i="9"/>
  <c r="H1585" i="9"/>
  <c r="J1582" i="9"/>
  <c r="H936" i="12"/>
  <c r="M936" i="12" s="1"/>
  <c r="L1584" i="9"/>
  <c r="L1585" i="9"/>
  <c r="H1588" i="9"/>
  <c r="H1590" i="9"/>
  <c r="H1591" i="9"/>
  <c r="J1588" i="9"/>
  <c r="L1590" i="9"/>
  <c r="L1591" i="9"/>
  <c r="H1594" i="9"/>
  <c r="H1596" i="9"/>
  <c r="H1597" i="9"/>
  <c r="J1594" i="9"/>
  <c r="L1596" i="9"/>
  <c r="L1597" i="9"/>
  <c r="H1600" i="9"/>
  <c r="H1602" i="9"/>
  <c r="H1603" i="9"/>
  <c r="J1600" i="9"/>
  <c r="L1602" i="9"/>
  <c r="L1603" i="9"/>
  <c r="H1606" i="9"/>
  <c r="H1608" i="9"/>
  <c r="H1609" i="9"/>
  <c r="J1606" i="9"/>
  <c r="H955" i="12"/>
  <c r="M955" i="12" s="1"/>
  <c r="L1608" i="9"/>
  <c r="L1609" i="9"/>
  <c r="H1612" i="9"/>
  <c r="H1614" i="9"/>
  <c r="H1615" i="9"/>
  <c r="J1612" i="9"/>
  <c r="L1614" i="9"/>
  <c r="L1615" i="9"/>
  <c r="H1618" i="9"/>
  <c r="H1620" i="9"/>
  <c r="H1621" i="9"/>
  <c r="J1618" i="9"/>
  <c r="L1620" i="9"/>
  <c r="L1621" i="9"/>
  <c r="H1624" i="9"/>
  <c r="H1626" i="9"/>
  <c r="H1627" i="9"/>
  <c r="J1624" i="9"/>
  <c r="L1626" i="9"/>
  <c r="L1627" i="9"/>
  <c r="H1630" i="9"/>
  <c r="H1631" i="9"/>
  <c r="H1632" i="9"/>
  <c r="J1630" i="9"/>
  <c r="J1633" i="9"/>
  <c r="L1630" i="9"/>
  <c r="L1631" i="9"/>
  <c r="L1632" i="9"/>
  <c r="L1633" i="9"/>
  <c r="H1636" i="9"/>
  <c r="H1637" i="9"/>
  <c r="H1639" i="9"/>
  <c r="J1636" i="9"/>
  <c r="J1640" i="9"/>
  <c r="L1636" i="9"/>
  <c r="L1637" i="9"/>
  <c r="L1639" i="9"/>
  <c r="L1640" i="9"/>
  <c r="H1644" i="9"/>
  <c r="H1645" i="9"/>
  <c r="J1643" i="9"/>
  <c r="L1643" i="9"/>
  <c r="L1644" i="9"/>
  <c r="L1645" i="9"/>
  <c r="J945" i="21"/>
  <c r="G945" i="21" s="1"/>
  <c r="E969" i="21" s="1"/>
  <c r="E944" i="21"/>
  <c r="H944" i="21"/>
  <c r="I969" i="21"/>
  <c r="E956" i="21"/>
  <c r="H954" i="21"/>
  <c r="J954" i="21"/>
  <c r="L956" i="21"/>
  <c r="D959" i="21"/>
  <c r="F959" i="21"/>
  <c r="H959" i="21"/>
  <c r="J959" i="21"/>
  <c r="L959" i="21"/>
  <c r="N959" i="21"/>
  <c r="D960" i="21"/>
  <c r="F960" i="21"/>
  <c r="J994" i="21"/>
  <c r="G994" i="21" s="1"/>
  <c r="E1018" i="21" s="1"/>
  <c r="E993" i="21"/>
  <c r="H993" i="21"/>
  <c r="I1018" i="21"/>
  <c r="E1005" i="21"/>
  <c r="H1003" i="21"/>
  <c r="J1003" i="21"/>
  <c r="L1005" i="21"/>
  <c r="D1008" i="21"/>
  <c r="F1008" i="21"/>
  <c r="H1008" i="21"/>
  <c r="J1008" i="21"/>
  <c r="L1008" i="21"/>
  <c r="N1008" i="21"/>
  <c r="D1009" i="21"/>
  <c r="F1009" i="21"/>
  <c r="J455" i="21"/>
  <c r="G455" i="21" s="1"/>
  <c r="E479" i="21" s="1"/>
  <c r="E454" i="21"/>
  <c r="H454" i="21"/>
  <c r="I479" i="21"/>
  <c r="E466" i="21"/>
  <c r="H464" i="21"/>
  <c r="J464" i="21"/>
  <c r="L466" i="21"/>
  <c r="D469" i="21"/>
  <c r="F469" i="21"/>
  <c r="H469" i="21"/>
  <c r="J469" i="21"/>
  <c r="L469" i="21"/>
  <c r="N469" i="21"/>
  <c r="D470" i="21"/>
  <c r="F470" i="21"/>
  <c r="J553" i="21"/>
  <c r="G553" i="21" s="1"/>
  <c r="E577" i="21" s="1"/>
  <c r="E552" i="21"/>
  <c r="H552" i="21"/>
  <c r="L552" i="21" s="1"/>
  <c r="E562" i="21" s="1"/>
  <c r="I577" i="21"/>
  <c r="E564" i="21"/>
  <c r="H562" i="21"/>
  <c r="J562" i="21"/>
  <c r="L564" i="21"/>
  <c r="D567" i="21"/>
  <c r="F567" i="21"/>
  <c r="H567" i="21"/>
  <c r="J567" i="21"/>
  <c r="L567" i="21"/>
  <c r="N567" i="21"/>
  <c r="D568" i="21"/>
  <c r="F568" i="21"/>
  <c r="H366" i="21"/>
  <c r="E356" i="21"/>
  <c r="H356" i="21"/>
  <c r="L356" i="21" s="1"/>
  <c r="J366" i="21"/>
  <c r="E368" i="21"/>
  <c r="L368" i="21"/>
  <c r="D371" i="21"/>
  <c r="F371" i="21"/>
  <c r="H371" i="21"/>
  <c r="J371" i="21"/>
  <c r="L371" i="21"/>
  <c r="N371" i="21"/>
  <c r="D372" i="21"/>
  <c r="F372" i="21"/>
  <c r="J357" i="21"/>
  <c r="G357" i="21" s="1"/>
  <c r="E381" i="21" s="1"/>
  <c r="I381" i="21"/>
  <c r="E1184" i="11"/>
  <c r="G549" i="9"/>
  <c r="H549" i="9" s="1"/>
  <c r="M321" i="12"/>
  <c r="G550" i="9" s="1"/>
  <c r="H550" i="9" s="1"/>
  <c r="H548" i="9"/>
  <c r="G1114" i="21"/>
  <c r="K1114" i="21" s="1"/>
  <c r="D1103" i="21"/>
  <c r="F1103" i="21"/>
  <c r="H1103" i="21"/>
  <c r="J1103" i="21"/>
  <c r="L1128" i="9"/>
  <c r="L1129" i="9"/>
  <c r="L1130" i="9"/>
  <c r="L1131" i="9"/>
  <c r="L1132" i="9"/>
  <c r="L1133" i="9"/>
  <c r="L1120" i="9"/>
  <c r="L1121" i="9"/>
  <c r="L1122" i="9"/>
  <c r="L1123" i="9"/>
  <c r="L1124" i="9"/>
  <c r="L1125" i="9"/>
  <c r="K194" i="4"/>
  <c r="K1136" i="9"/>
  <c r="L1136" i="9" s="1"/>
  <c r="J1112" i="9"/>
  <c r="J1113" i="9"/>
  <c r="J1114" i="9"/>
  <c r="J1115" i="9"/>
  <c r="J1116" i="9"/>
  <c r="G1112" i="9"/>
  <c r="G1113" i="9"/>
  <c r="H1113" i="9" s="1"/>
  <c r="G1114" i="9"/>
  <c r="H1117" i="9"/>
  <c r="K193" i="4"/>
  <c r="L1112" i="9"/>
  <c r="L1113" i="9"/>
  <c r="L1114" i="9"/>
  <c r="L1115" i="9"/>
  <c r="L1116" i="9"/>
  <c r="L1117" i="9"/>
  <c r="M221" i="20"/>
  <c r="M220" i="20"/>
  <c r="G2131" i="9" s="1"/>
  <c r="H2131" i="9" s="1"/>
  <c r="H2132" i="9" s="1"/>
  <c r="F379" i="4" s="1"/>
  <c r="G379" i="4" s="1"/>
  <c r="M219" i="20"/>
  <c r="K1102" i="9" s="1"/>
  <c r="M218" i="20"/>
  <c r="G36" i="9"/>
  <c r="H36" i="9" s="1"/>
  <c r="H35" i="9"/>
  <c r="H38" i="9"/>
  <c r="H39" i="9"/>
  <c r="J35" i="9"/>
  <c r="J36" i="9"/>
  <c r="J37" i="9"/>
  <c r="L89" i="9"/>
  <c r="L80" i="9"/>
  <c r="J65" i="9"/>
  <c r="J66" i="9"/>
  <c r="L65" i="9"/>
  <c r="L66" i="9"/>
  <c r="L67" i="9"/>
  <c r="L68" i="9"/>
  <c r="L70" i="9"/>
  <c r="L71" i="9"/>
  <c r="L56" i="9"/>
  <c r="L36" i="9"/>
  <c r="L37" i="9"/>
  <c r="L38" i="9"/>
  <c r="L39" i="9"/>
  <c r="E141" i="9"/>
  <c r="L141" i="9" s="1"/>
  <c r="E140" i="9"/>
  <c r="E211" i="9"/>
  <c r="E210" i="9"/>
  <c r="H1069" i="12"/>
  <c r="M1069" i="12" s="1"/>
  <c r="K713" i="9" s="1"/>
  <c r="L713" i="9" s="1"/>
  <c r="U24" i="22"/>
  <c r="K806" i="12"/>
  <c r="J772" i="9"/>
  <c r="L772" i="9"/>
  <c r="H773" i="9"/>
  <c r="J773" i="9"/>
  <c r="J764" i="9"/>
  <c r="L764" i="9"/>
  <c r="H763" i="9"/>
  <c r="J763" i="9"/>
  <c r="H766" i="9"/>
  <c r="L766" i="9"/>
  <c r="H767" i="9"/>
  <c r="L767" i="9"/>
  <c r="H1354" i="12"/>
  <c r="M1354" i="12" s="1"/>
  <c r="L424" i="9"/>
  <c r="L425" i="9"/>
  <c r="L428" i="9"/>
  <c r="M1423" i="12"/>
  <c r="G437" i="9"/>
  <c r="H437" i="9" s="1"/>
  <c r="M1417" i="12"/>
  <c r="H424" i="9"/>
  <c r="H425" i="9"/>
  <c r="J428" i="9"/>
  <c r="G199" i="9"/>
  <c r="H199" i="9" s="1"/>
  <c r="H200" i="9"/>
  <c r="H201" i="9"/>
  <c r="H309" i="12"/>
  <c r="M309" i="12" s="1"/>
  <c r="K550" i="9" s="1"/>
  <c r="L550" i="9" s="1"/>
  <c r="E1073" i="11"/>
  <c r="L410" i="9"/>
  <c r="L411" i="9"/>
  <c r="H708" i="12"/>
  <c r="M708" i="12" s="1"/>
  <c r="K1026" i="9" s="1"/>
  <c r="L1026" i="9" s="1"/>
  <c r="G2165" i="9"/>
  <c r="H2165" i="9" s="1"/>
  <c r="G999" i="9"/>
  <c r="M999" i="9" s="1"/>
  <c r="G242" i="9"/>
  <c r="M242" i="9" s="1"/>
  <c r="I299" i="11"/>
  <c r="K299" i="11"/>
  <c r="M299" i="11"/>
  <c r="C299" i="11"/>
  <c r="E299" i="11"/>
  <c r="G299" i="11"/>
  <c r="I229" i="11"/>
  <c r="K229" i="11"/>
  <c r="M229" i="11"/>
  <c r="C229" i="11"/>
  <c r="E229" i="11"/>
  <c r="G229" i="11"/>
  <c r="I159" i="11"/>
  <c r="C159" i="11"/>
  <c r="E159" i="11"/>
  <c r="G159" i="11"/>
  <c r="K159" i="11"/>
  <c r="M159" i="11"/>
  <c r="D309" i="11"/>
  <c r="D306" i="11"/>
  <c r="D303" i="11"/>
  <c r="L299" i="11"/>
  <c r="J299" i="11"/>
  <c r="H299" i="11"/>
  <c r="F299" i="11"/>
  <c r="D299" i="11"/>
  <c r="D239" i="11"/>
  <c r="D236" i="11"/>
  <c r="D233" i="11"/>
  <c r="L229" i="11"/>
  <c r="J229" i="11"/>
  <c r="H229" i="11"/>
  <c r="F229" i="11"/>
  <c r="D229" i="11"/>
  <c r="C124" i="11"/>
  <c r="E124" i="11"/>
  <c r="G124" i="11"/>
  <c r="I124" i="11"/>
  <c r="K124" i="11"/>
  <c r="M124" i="11"/>
  <c r="D169" i="11"/>
  <c r="D166" i="11"/>
  <c r="D163" i="11"/>
  <c r="L159" i="11"/>
  <c r="J159" i="11"/>
  <c r="H159" i="11"/>
  <c r="F159" i="11"/>
  <c r="D159" i="11"/>
  <c r="H1033" i="9"/>
  <c r="H998" i="9"/>
  <c r="H1000" i="9"/>
  <c r="H1001" i="9"/>
  <c r="J1033" i="9"/>
  <c r="J1032" i="9"/>
  <c r="J998" i="9"/>
  <c r="J999" i="9"/>
  <c r="H689" i="12"/>
  <c r="M689" i="12" s="1"/>
  <c r="K898" i="9" s="1"/>
  <c r="L898" i="9" s="1"/>
  <c r="H385" i="12"/>
  <c r="M385" i="12" s="1"/>
  <c r="K899" i="9" s="1"/>
  <c r="L899" i="9" s="1"/>
  <c r="H461" i="12"/>
  <c r="M461" i="12" s="1"/>
  <c r="K1067" i="9" s="1"/>
  <c r="L1067" i="9" s="1"/>
  <c r="L998" i="9"/>
  <c r="L999" i="9"/>
  <c r="L1000" i="9"/>
  <c r="L1001" i="9"/>
  <c r="L1032" i="9"/>
  <c r="L1033" i="9"/>
  <c r="G1010" i="9"/>
  <c r="M1010" i="9" s="1"/>
  <c r="E1013" i="9"/>
  <c r="E1014" i="9"/>
  <c r="H1009" i="9"/>
  <c r="E1011" i="9"/>
  <c r="H1011" i="9" s="1"/>
  <c r="E1012" i="9"/>
  <c r="J1012" i="9" s="1"/>
  <c r="J1009" i="9"/>
  <c r="J1010" i="9"/>
  <c r="L1009" i="9"/>
  <c r="L1010" i="9"/>
  <c r="J1022" i="9"/>
  <c r="M296" i="12"/>
  <c r="J1020" i="9"/>
  <c r="J1021" i="9"/>
  <c r="G1021" i="9"/>
  <c r="H1021" i="9" s="1"/>
  <c r="M302" i="12"/>
  <c r="H1020" i="9"/>
  <c r="H1022" i="9"/>
  <c r="H1024" i="9"/>
  <c r="H290" i="12"/>
  <c r="M290" i="12" s="1"/>
  <c r="H1278" i="12"/>
  <c r="M1278" i="12" s="1"/>
  <c r="L1020" i="9"/>
  <c r="L1021" i="9"/>
  <c r="L1022" i="9"/>
  <c r="L1024" i="9"/>
  <c r="H1601" i="12"/>
  <c r="M1601" i="12" s="1"/>
  <c r="L960" i="9"/>
  <c r="L961" i="9"/>
  <c r="L962" i="9"/>
  <c r="L963" i="9"/>
  <c r="L972" i="9"/>
  <c r="L973" i="9"/>
  <c r="L974" i="9"/>
  <c r="L975" i="9"/>
  <c r="L984" i="9"/>
  <c r="L985" i="9"/>
  <c r="L986" i="9"/>
  <c r="L987" i="9"/>
  <c r="M1604" i="12"/>
  <c r="M1607" i="12" s="1"/>
  <c r="I1514" i="9" s="1"/>
  <c r="J1514" i="9" s="1"/>
  <c r="J1515" i="9" s="1"/>
  <c r="H298" i="4" s="1"/>
  <c r="I298" i="4" s="1"/>
  <c r="J960" i="9"/>
  <c r="J961" i="9"/>
  <c r="J972" i="9"/>
  <c r="J973" i="9"/>
  <c r="J987" i="9"/>
  <c r="J984" i="9"/>
  <c r="J985" i="9"/>
  <c r="G949" i="9"/>
  <c r="H948" i="9"/>
  <c r="H950" i="9"/>
  <c r="H951" i="9"/>
  <c r="G961" i="9"/>
  <c r="H960" i="9"/>
  <c r="H962" i="9"/>
  <c r="H963" i="9"/>
  <c r="G973" i="9"/>
  <c r="H972" i="9"/>
  <c r="H974" i="9"/>
  <c r="H975" i="9"/>
  <c r="N975" i="9" s="1"/>
  <c r="G985" i="9"/>
  <c r="H985" i="9" s="1"/>
  <c r="H984" i="9"/>
  <c r="H986" i="9"/>
  <c r="H987" i="9"/>
  <c r="H915" i="9"/>
  <c r="J914" i="9"/>
  <c r="L915" i="9"/>
  <c r="H920" i="9"/>
  <c r="J919" i="9"/>
  <c r="L920" i="9"/>
  <c r="G925" i="9"/>
  <c r="H925" i="9" s="1"/>
  <c r="H924" i="9"/>
  <c r="H926" i="9"/>
  <c r="H927" i="9"/>
  <c r="H928" i="9"/>
  <c r="J924" i="9"/>
  <c r="J925" i="9"/>
  <c r="H1582" i="12"/>
  <c r="M1582" i="12" s="1"/>
  <c r="D63" i="23" s="1"/>
  <c r="L924" i="9"/>
  <c r="L925" i="9"/>
  <c r="L926" i="9"/>
  <c r="L927" i="9"/>
  <c r="L928" i="9"/>
  <c r="G937" i="9"/>
  <c r="M937" i="9" s="1"/>
  <c r="H936" i="9"/>
  <c r="H938" i="9"/>
  <c r="H939" i="9"/>
  <c r="J936" i="9"/>
  <c r="J937" i="9"/>
  <c r="L936" i="9"/>
  <c r="L937" i="9"/>
  <c r="L938" i="9"/>
  <c r="L939" i="9"/>
  <c r="J951" i="9"/>
  <c r="J948" i="9"/>
  <c r="J949" i="9"/>
  <c r="L948" i="9"/>
  <c r="L949" i="9"/>
  <c r="L950" i="9"/>
  <c r="L951" i="9"/>
  <c r="M1020" i="9"/>
  <c r="M1009" i="9"/>
  <c r="M998" i="9"/>
  <c r="M984" i="9"/>
  <c r="H841" i="21"/>
  <c r="H116" i="9"/>
  <c r="H118" i="9"/>
  <c r="H119" i="9"/>
  <c r="H121" i="9"/>
  <c r="J116" i="9"/>
  <c r="J117" i="9"/>
  <c r="J120" i="9"/>
  <c r="J121" i="9"/>
  <c r="L116" i="9"/>
  <c r="L117" i="9"/>
  <c r="L118" i="9"/>
  <c r="L119" i="9"/>
  <c r="AQ32" i="22"/>
  <c r="AI55" i="23"/>
  <c r="AI52" i="23"/>
  <c r="AF56" i="23"/>
  <c r="AF70" i="23"/>
  <c r="AJ80" i="23"/>
  <c r="O129" i="23"/>
  <c r="O131" i="23" s="1"/>
  <c r="O133" i="23" s="1"/>
  <c r="O151" i="23"/>
  <c r="O153" i="23" s="1"/>
  <c r="O155" i="23" s="1"/>
  <c r="O167" i="23"/>
  <c r="O168" i="23" s="1"/>
  <c r="O170" i="23" s="1"/>
  <c r="S176" i="23" s="1"/>
  <c r="U108" i="23"/>
  <c r="U109" i="23" s="1"/>
  <c r="U107" i="23" s="1"/>
  <c r="O32" i="23"/>
  <c r="O34" i="23" s="1"/>
  <c r="O36" i="23"/>
  <c r="S43" i="23" s="1"/>
  <c r="O54" i="23"/>
  <c r="O56" i="23" s="1"/>
  <c r="O58" i="23" s="1"/>
  <c r="S63" i="23" s="1"/>
  <c r="O72" i="23"/>
  <c r="O73" i="23" s="1"/>
  <c r="O74" i="23" s="1"/>
  <c r="S80" i="23" s="1"/>
  <c r="U12" i="23"/>
  <c r="U13" i="23" s="1"/>
  <c r="U11" i="23" s="1"/>
  <c r="C129" i="23"/>
  <c r="C131" i="23" s="1"/>
  <c r="C153" i="23"/>
  <c r="C155" i="23" s="1"/>
  <c r="H442" i="12"/>
  <c r="M442" i="12" s="1"/>
  <c r="I12" i="23"/>
  <c r="C28" i="23"/>
  <c r="C29" i="23" s="1"/>
  <c r="C30" i="23" s="1"/>
  <c r="C40" i="23"/>
  <c r="C41" i="23" s="1"/>
  <c r="C42" i="23" s="1"/>
  <c r="J55" i="23"/>
  <c r="H53" i="23" s="1"/>
  <c r="H56" i="23"/>
  <c r="H57" i="23" s="1"/>
  <c r="M116" i="9"/>
  <c r="J92" i="9"/>
  <c r="J93" i="9"/>
  <c r="L92" i="9"/>
  <c r="L93" i="9"/>
  <c r="L94" i="9"/>
  <c r="L95" i="9"/>
  <c r="J96" i="9"/>
  <c r="J97" i="9"/>
  <c r="H92" i="9"/>
  <c r="H94" i="9"/>
  <c r="H95" i="9"/>
  <c r="H97" i="9"/>
  <c r="M92" i="9"/>
  <c r="H252" i="12"/>
  <c r="M252" i="12" s="1"/>
  <c r="K1308" i="9" s="1"/>
  <c r="L1308" i="9" s="1"/>
  <c r="L1309" i="9" s="1"/>
  <c r="J230" i="4" s="1"/>
  <c r="K230" i="4" s="1"/>
  <c r="K255" i="12"/>
  <c r="D262" i="12"/>
  <c r="H157" i="12"/>
  <c r="M157" i="12" s="1"/>
  <c r="M68" i="12"/>
  <c r="M74" i="12"/>
  <c r="M55" i="12"/>
  <c r="H24" i="12"/>
  <c r="M24" i="12" s="1"/>
  <c r="K1275" i="9" s="1"/>
  <c r="L1275" i="9" s="1"/>
  <c r="L1276" i="9" s="1"/>
  <c r="J219" i="4" s="1"/>
  <c r="K219" i="4" s="1"/>
  <c r="H5" i="12"/>
  <c r="M5" i="12" s="1"/>
  <c r="K1272" i="9" s="1"/>
  <c r="L1272" i="9" s="1"/>
  <c r="L1273" i="9" s="1"/>
  <c r="J218" i="4" s="1"/>
  <c r="K218" i="4" s="1"/>
  <c r="H480" i="12"/>
  <c r="M480" i="12" s="1"/>
  <c r="K1344" i="9" s="1"/>
  <c r="L1344" i="9" s="1"/>
  <c r="L1345" i="9" s="1"/>
  <c r="J242" i="4" s="1"/>
  <c r="K242" i="4" s="1"/>
  <c r="J17" i="21"/>
  <c r="G17" i="21" s="1"/>
  <c r="E36" i="21" s="1"/>
  <c r="F16" i="21"/>
  <c r="H16" i="21"/>
  <c r="I36" i="21"/>
  <c r="E22" i="21"/>
  <c r="D25" i="21"/>
  <c r="F25" i="21"/>
  <c r="H25" i="21"/>
  <c r="J25" i="21"/>
  <c r="I8" i="21"/>
  <c r="L42" i="21" s="1"/>
  <c r="J1265" i="9"/>
  <c r="J1266" i="9"/>
  <c r="L1267" i="9"/>
  <c r="H1265" i="9"/>
  <c r="H1266" i="9"/>
  <c r="H1267" i="9"/>
  <c r="H1269" i="9"/>
  <c r="H1270" i="9" s="1"/>
  <c r="F215" i="4" s="1"/>
  <c r="G215" i="4" s="1"/>
  <c r="J1269" i="9"/>
  <c r="J1270" i="9" s="1"/>
  <c r="H215" i="4" s="1"/>
  <c r="I215" i="4" s="1"/>
  <c r="M1268" i="9"/>
  <c r="H1259" i="9"/>
  <c r="H1258" i="9"/>
  <c r="H1260" i="9"/>
  <c r="J1260" i="9"/>
  <c r="J1258" i="9"/>
  <c r="J1259" i="9"/>
  <c r="L1260" i="9"/>
  <c r="H1262" i="9"/>
  <c r="H1263" i="9" s="1"/>
  <c r="F214" i="4" s="1"/>
  <c r="G214" i="4" s="1"/>
  <c r="J1262" i="9"/>
  <c r="J1263" i="9" s="1"/>
  <c r="H214" i="4" s="1"/>
  <c r="I214" i="4" s="1"/>
  <c r="M1261" i="9"/>
  <c r="M678" i="9"/>
  <c r="J1253" i="9"/>
  <c r="J1251" i="9"/>
  <c r="J1252" i="9"/>
  <c r="L1253" i="9"/>
  <c r="H1251" i="9"/>
  <c r="H1252" i="9"/>
  <c r="H1253" i="9"/>
  <c r="H1255" i="9"/>
  <c r="H1256" i="9" s="1"/>
  <c r="F213" i="4" s="1"/>
  <c r="G213" i="4" s="1"/>
  <c r="J1255" i="9"/>
  <c r="J1256" i="9" s="1"/>
  <c r="H213" i="4" s="1"/>
  <c r="I213" i="4" s="1"/>
  <c r="M1254" i="9"/>
  <c r="K1105" i="9"/>
  <c r="L1105" i="9" s="1"/>
  <c r="H1105" i="9"/>
  <c r="J1105" i="9"/>
  <c r="G1106" i="9"/>
  <c r="H1106" i="9" s="1"/>
  <c r="J1106" i="9"/>
  <c r="L1106" i="9"/>
  <c r="H1107" i="9"/>
  <c r="J1107" i="9"/>
  <c r="H1109" i="9"/>
  <c r="H1110" i="9" s="1"/>
  <c r="F192" i="4" s="1"/>
  <c r="G192" i="4" s="1"/>
  <c r="J1109" i="9"/>
  <c r="J1110" i="9" s="1"/>
  <c r="H192" i="4" s="1"/>
  <c r="I192" i="4" s="1"/>
  <c r="G208" i="9"/>
  <c r="J204" i="9"/>
  <c r="J205" i="9"/>
  <c r="J206" i="9"/>
  <c r="J207" i="9"/>
  <c r="J208" i="9"/>
  <c r="J209" i="9"/>
  <c r="L204" i="9"/>
  <c r="L205" i="9"/>
  <c r="L206" i="9"/>
  <c r="L207" i="9"/>
  <c r="L208" i="9"/>
  <c r="L209" i="9"/>
  <c r="H221" i="9"/>
  <c r="J220" i="9"/>
  <c r="L219" i="9"/>
  <c r="L220" i="9"/>
  <c r="L221" i="9"/>
  <c r="H231" i="9"/>
  <c r="J230" i="9"/>
  <c r="L229" i="9"/>
  <c r="L230" i="9"/>
  <c r="L231" i="9"/>
  <c r="G12" i="9"/>
  <c r="H12" i="9" s="1"/>
  <c r="H13" i="9"/>
  <c r="J11" i="9"/>
  <c r="J12" i="9"/>
  <c r="L12" i="9"/>
  <c r="L13" i="9"/>
  <c r="G17" i="9"/>
  <c r="H18" i="9"/>
  <c r="J16" i="9"/>
  <c r="J17" i="9"/>
  <c r="L17" i="9"/>
  <c r="L18" i="9"/>
  <c r="G29" i="9"/>
  <c r="H31" i="9"/>
  <c r="H32" i="9"/>
  <c r="J28" i="9"/>
  <c r="J29" i="9"/>
  <c r="J30" i="9"/>
  <c r="L29" i="9"/>
  <c r="L30" i="9"/>
  <c r="L31" i="9"/>
  <c r="L32" i="9"/>
  <c r="G43" i="9"/>
  <c r="H45" i="9"/>
  <c r="H46" i="9"/>
  <c r="J42" i="9"/>
  <c r="J43" i="9"/>
  <c r="J44" i="9"/>
  <c r="L43" i="9"/>
  <c r="L44" i="9"/>
  <c r="L45" i="9"/>
  <c r="L46" i="9"/>
  <c r="G50" i="9"/>
  <c r="H50" i="9" s="1"/>
  <c r="H52" i="9"/>
  <c r="H53" i="9"/>
  <c r="J49" i="9"/>
  <c r="J50" i="9"/>
  <c r="J51" i="9"/>
  <c r="L50" i="9"/>
  <c r="L51" i="9"/>
  <c r="L52" i="9"/>
  <c r="L53" i="9"/>
  <c r="H58" i="9"/>
  <c r="H59" i="9"/>
  <c r="H61" i="9"/>
  <c r="H62" i="9"/>
  <c r="J56" i="9"/>
  <c r="J57" i="9"/>
  <c r="J60" i="9"/>
  <c r="L57" i="9"/>
  <c r="L58" i="9"/>
  <c r="L59" i="9"/>
  <c r="L61" i="9"/>
  <c r="L62" i="9"/>
  <c r="H65" i="9"/>
  <c r="H67" i="9"/>
  <c r="H68" i="9"/>
  <c r="H70" i="9"/>
  <c r="H71" i="9"/>
  <c r="J69" i="9"/>
  <c r="H74" i="9"/>
  <c r="H76" i="9"/>
  <c r="H77" i="9"/>
  <c r="H79" i="9"/>
  <c r="H80" i="9"/>
  <c r="J74" i="9"/>
  <c r="J75" i="9"/>
  <c r="J78" i="9"/>
  <c r="L74" i="9"/>
  <c r="L75" i="9"/>
  <c r="L76" i="9"/>
  <c r="L77" i="9"/>
  <c r="L79" i="9"/>
  <c r="H83" i="9"/>
  <c r="H85" i="9"/>
  <c r="H86" i="9"/>
  <c r="H88" i="9"/>
  <c r="H89" i="9"/>
  <c r="J83" i="9"/>
  <c r="J84" i="9"/>
  <c r="J87" i="9"/>
  <c r="L83" i="9"/>
  <c r="L84" i="9"/>
  <c r="L85" i="9"/>
  <c r="L86" i="9"/>
  <c r="L88" i="9"/>
  <c r="H100" i="9"/>
  <c r="H102" i="9"/>
  <c r="H103" i="9"/>
  <c r="H105" i="9"/>
  <c r="J100" i="9"/>
  <c r="J101" i="9"/>
  <c r="J104" i="9"/>
  <c r="J105" i="9"/>
  <c r="L100" i="9"/>
  <c r="L101" i="9"/>
  <c r="L102" i="9"/>
  <c r="L103" i="9"/>
  <c r="H108" i="9"/>
  <c r="H110" i="9"/>
  <c r="H111" i="9"/>
  <c r="H113" i="9"/>
  <c r="J108" i="9"/>
  <c r="J109" i="9"/>
  <c r="J112" i="9"/>
  <c r="J113" i="9"/>
  <c r="L108" i="9"/>
  <c r="L109" i="9"/>
  <c r="L110" i="9"/>
  <c r="L111" i="9"/>
  <c r="G128" i="9"/>
  <c r="H130" i="9"/>
  <c r="H131" i="9"/>
  <c r="J124" i="9"/>
  <c r="J125" i="9"/>
  <c r="J126" i="9"/>
  <c r="J127" i="9"/>
  <c r="J128" i="9"/>
  <c r="J129" i="9"/>
  <c r="L124" i="9"/>
  <c r="L125" i="9"/>
  <c r="L126" i="9"/>
  <c r="L127" i="9"/>
  <c r="L128" i="9"/>
  <c r="L129" i="9"/>
  <c r="L130" i="9"/>
  <c r="L131" i="9"/>
  <c r="G138" i="9"/>
  <c r="M138" i="9" s="1"/>
  <c r="J134" i="9"/>
  <c r="J135" i="9"/>
  <c r="J136" i="9"/>
  <c r="J137" i="9"/>
  <c r="J138" i="9"/>
  <c r="J139" i="9"/>
  <c r="L134" i="9"/>
  <c r="L135" i="9"/>
  <c r="L136" i="9"/>
  <c r="L137" i="9"/>
  <c r="L138" i="9"/>
  <c r="L139" i="9"/>
  <c r="H146" i="9"/>
  <c r="J145" i="9"/>
  <c r="L144" i="9"/>
  <c r="L145" i="9"/>
  <c r="L146" i="9"/>
  <c r="H151" i="9"/>
  <c r="J150" i="9"/>
  <c r="L149" i="9"/>
  <c r="L150" i="9"/>
  <c r="L151" i="9"/>
  <c r="H156" i="9"/>
  <c r="J155" i="9"/>
  <c r="L154" i="9"/>
  <c r="L155" i="9"/>
  <c r="L156" i="9"/>
  <c r="H161" i="9"/>
  <c r="J160" i="9"/>
  <c r="L159" i="9"/>
  <c r="L160" i="9"/>
  <c r="L161" i="9"/>
  <c r="H166" i="9"/>
  <c r="J165" i="9"/>
  <c r="L164" i="9"/>
  <c r="L167" i="9" s="1"/>
  <c r="L165" i="9"/>
  <c r="L166" i="9"/>
  <c r="H171" i="9"/>
  <c r="J170" i="9"/>
  <c r="L169" i="9"/>
  <c r="L170" i="9"/>
  <c r="L171" i="9"/>
  <c r="H176" i="9"/>
  <c r="J175" i="9"/>
  <c r="L174" i="9"/>
  <c r="L175" i="9"/>
  <c r="L176" i="9"/>
  <c r="H181" i="9"/>
  <c r="J180" i="9"/>
  <c r="L179" i="9"/>
  <c r="L180" i="9"/>
  <c r="L181" i="9"/>
  <c r="H186" i="9"/>
  <c r="J185" i="9"/>
  <c r="L184" i="9"/>
  <c r="L187" i="9" s="1"/>
  <c r="L185" i="9"/>
  <c r="L186" i="9"/>
  <c r="H191" i="9"/>
  <c r="J190" i="9"/>
  <c r="L189" i="9"/>
  <c r="L190" i="9"/>
  <c r="L191" i="9"/>
  <c r="J194" i="9"/>
  <c r="J195" i="9"/>
  <c r="J196" i="9"/>
  <c r="J197" i="9"/>
  <c r="J198" i="9"/>
  <c r="J199" i="9"/>
  <c r="L194" i="9"/>
  <c r="L195" i="9"/>
  <c r="L196" i="9"/>
  <c r="L197" i="9"/>
  <c r="L198" i="9"/>
  <c r="L199" i="9"/>
  <c r="L200" i="9"/>
  <c r="L201" i="9"/>
  <c r="H216" i="9"/>
  <c r="J215" i="9"/>
  <c r="L214" i="9"/>
  <c r="L215" i="9"/>
  <c r="L216" i="9"/>
  <c r="H226" i="9"/>
  <c r="J225" i="9"/>
  <c r="L224" i="9"/>
  <c r="L225" i="9"/>
  <c r="L226" i="9"/>
  <c r="G235" i="9"/>
  <c r="G236" i="9"/>
  <c r="M236" i="9" s="1"/>
  <c r="H237" i="9"/>
  <c r="J234" i="9"/>
  <c r="J235" i="9"/>
  <c r="J236" i="9"/>
  <c r="J238" i="9"/>
  <c r="L234" i="9"/>
  <c r="L235" i="9"/>
  <c r="L236" i="9"/>
  <c r="L237" i="9"/>
  <c r="H245" i="9"/>
  <c r="J241" i="9"/>
  <c r="J242" i="9"/>
  <c r="J243" i="9"/>
  <c r="J244" i="9"/>
  <c r="J246" i="9"/>
  <c r="L241" i="9"/>
  <c r="L242" i="9"/>
  <c r="L243" i="9"/>
  <c r="L244" i="9"/>
  <c r="L245" i="9"/>
  <c r="G252" i="9"/>
  <c r="H252" i="9" s="1"/>
  <c r="H254" i="9"/>
  <c r="J250" i="9"/>
  <c r="J251" i="9"/>
  <c r="J252" i="9"/>
  <c r="J253" i="9"/>
  <c r="J255" i="9"/>
  <c r="L250" i="9"/>
  <c r="L251" i="9"/>
  <c r="L252" i="9"/>
  <c r="L253" i="9"/>
  <c r="L254" i="9"/>
  <c r="H259" i="9"/>
  <c r="H260" i="9"/>
  <c r="H261" i="9"/>
  <c r="J259" i="9"/>
  <c r="N259" i="9" s="1"/>
  <c r="L259" i="9"/>
  <c r="L260" i="9"/>
  <c r="L261" i="9"/>
  <c r="H264" i="9"/>
  <c r="H265" i="9"/>
  <c r="H266" i="9"/>
  <c r="J264" i="9"/>
  <c r="L264" i="9"/>
  <c r="L265" i="9"/>
  <c r="L266" i="9"/>
  <c r="H269" i="9"/>
  <c r="H270" i="9"/>
  <c r="H271" i="9"/>
  <c r="J269" i="9"/>
  <c r="L269" i="9"/>
  <c r="L270" i="9"/>
  <c r="L271" i="9"/>
  <c r="H274" i="9"/>
  <c r="H275" i="9"/>
  <c r="H276" i="9"/>
  <c r="M1341" i="12"/>
  <c r="I306" i="9" s="1"/>
  <c r="J306" i="9" s="1"/>
  <c r="J274" i="9"/>
  <c r="N274" i="9" s="1"/>
  <c r="H1297" i="12"/>
  <c r="M1297" i="12" s="1"/>
  <c r="K277" i="9" s="1"/>
  <c r="L277" i="9" s="1"/>
  <c r="H1335" i="12"/>
  <c r="M1335" i="12" s="1"/>
  <c r="K306" i="9" s="1"/>
  <c r="L306" i="9" s="1"/>
  <c r="L274" i="9"/>
  <c r="L275" i="9"/>
  <c r="L276" i="9"/>
  <c r="H281" i="9"/>
  <c r="H282" i="9"/>
  <c r="H283" i="9"/>
  <c r="J281" i="9"/>
  <c r="L281" i="9"/>
  <c r="L282" i="9"/>
  <c r="L283" i="9"/>
  <c r="H288" i="9"/>
  <c r="H289" i="9"/>
  <c r="H290" i="9"/>
  <c r="J288" i="9"/>
  <c r="L288" i="9"/>
  <c r="L289" i="9"/>
  <c r="L290" i="9"/>
  <c r="H295" i="9"/>
  <c r="H296" i="9"/>
  <c r="H297" i="9"/>
  <c r="J295" i="9"/>
  <c r="L295" i="9"/>
  <c r="L296" i="9"/>
  <c r="L297" i="9"/>
  <c r="H302" i="9"/>
  <c r="H303" i="9"/>
  <c r="H304" i="9"/>
  <c r="J302" i="9"/>
  <c r="L302" i="9"/>
  <c r="L303" i="9"/>
  <c r="L304" i="9"/>
  <c r="H309" i="9"/>
  <c r="H310" i="9"/>
  <c r="H311" i="9"/>
  <c r="J309" i="9"/>
  <c r="L309" i="9"/>
  <c r="L310" i="9"/>
  <c r="L311" i="9"/>
  <c r="G317" i="9"/>
  <c r="H317" i="9" s="1"/>
  <c r="G319" i="9"/>
  <c r="H318" i="9"/>
  <c r="H320" i="9"/>
  <c r="J317" i="9"/>
  <c r="J319" i="9"/>
  <c r="L317" i="9"/>
  <c r="L318" i="9"/>
  <c r="L319" i="9"/>
  <c r="L320" i="9"/>
  <c r="G326" i="9"/>
  <c r="H325" i="9"/>
  <c r="H327" i="9"/>
  <c r="J327" i="9"/>
  <c r="J324" i="9"/>
  <c r="J326" i="9"/>
  <c r="L324" i="9"/>
  <c r="L325" i="9"/>
  <c r="L326" i="9"/>
  <c r="L327" i="9"/>
  <c r="H372" i="9"/>
  <c r="L372" i="9"/>
  <c r="L373" i="9" s="1"/>
  <c r="J63" i="4" s="1"/>
  <c r="K63" i="4" s="1"/>
  <c r="H375" i="9"/>
  <c r="H376" i="9" s="1"/>
  <c r="F64" i="4" s="1"/>
  <c r="G64" i="4" s="1"/>
  <c r="L375" i="9"/>
  <c r="L376" i="9" s="1"/>
  <c r="J64" i="4" s="1"/>
  <c r="K64" i="4" s="1"/>
  <c r="H378" i="9"/>
  <c r="H379" i="9" s="1"/>
  <c r="F65" i="4" s="1"/>
  <c r="G65" i="4" s="1"/>
  <c r="L378" i="9"/>
  <c r="L379" i="9" s="1"/>
  <c r="J65" i="4" s="1"/>
  <c r="K65" i="4" s="1"/>
  <c r="H381" i="9"/>
  <c r="H382" i="9" s="1"/>
  <c r="F66" i="4" s="1"/>
  <c r="G66" i="4" s="1"/>
  <c r="L381" i="9"/>
  <c r="L382" i="9" s="1"/>
  <c r="J66" i="4" s="1"/>
  <c r="K66" i="4" s="1"/>
  <c r="H384" i="9"/>
  <c r="H385" i="9" s="1"/>
  <c r="F67" i="4" s="1"/>
  <c r="G67" i="4" s="1"/>
  <c r="L384" i="9"/>
  <c r="L385" i="9" s="1"/>
  <c r="J67" i="4" s="1"/>
  <c r="K67" i="4" s="1"/>
  <c r="H387" i="9"/>
  <c r="H388" i="9" s="1"/>
  <c r="F68" i="4" s="1"/>
  <c r="G68" i="4" s="1"/>
  <c r="L387" i="9"/>
  <c r="L388" i="9" s="1"/>
  <c r="J68" i="4" s="1"/>
  <c r="K68" i="4" s="1"/>
  <c r="H390" i="9"/>
  <c r="H391" i="9" s="1"/>
  <c r="F69" i="4" s="1"/>
  <c r="G69" i="4" s="1"/>
  <c r="L390" i="9"/>
  <c r="L391" i="9" s="1"/>
  <c r="J69" i="4" s="1"/>
  <c r="K69" i="4" s="1"/>
  <c r="H397" i="9"/>
  <c r="J398" i="9"/>
  <c r="L397" i="9"/>
  <c r="L398" i="9"/>
  <c r="H401" i="9"/>
  <c r="H402" i="9"/>
  <c r="J405" i="9"/>
  <c r="L401" i="9"/>
  <c r="L402" i="9"/>
  <c r="L405" i="9"/>
  <c r="E1079" i="11"/>
  <c r="G411" i="9"/>
  <c r="M411" i="9" s="1"/>
  <c r="H410" i="9"/>
  <c r="E1076" i="11"/>
  <c r="M315" i="12"/>
  <c r="I550" i="9" s="1"/>
  <c r="J550" i="9" s="1"/>
  <c r="J411" i="9"/>
  <c r="E1114" i="11"/>
  <c r="M340" i="12"/>
  <c r="G417" i="9"/>
  <c r="H417" i="9" s="1"/>
  <c r="H416" i="9"/>
  <c r="E1111" i="11"/>
  <c r="M334" i="12"/>
  <c r="I562" i="9" s="1"/>
  <c r="J562" i="9" s="1"/>
  <c r="J417" i="9"/>
  <c r="E1108" i="11"/>
  <c r="M328" i="12"/>
  <c r="L416" i="9"/>
  <c r="L417" i="9"/>
  <c r="H420" i="9"/>
  <c r="J421" i="9"/>
  <c r="L420" i="9"/>
  <c r="L421" i="9"/>
  <c r="H431" i="9"/>
  <c r="J432" i="9"/>
  <c r="L431" i="9"/>
  <c r="L433" i="9" s="1"/>
  <c r="L432" i="9"/>
  <c r="H435" i="9"/>
  <c r="H436" i="9"/>
  <c r="J439" i="9"/>
  <c r="L435" i="9"/>
  <c r="L436" i="9"/>
  <c r="N436" i="9" s="1"/>
  <c r="L439" i="9"/>
  <c r="H442" i="9"/>
  <c r="H443" i="9"/>
  <c r="L442" i="9"/>
  <c r="L443" i="9"/>
  <c r="H446" i="9"/>
  <c r="H447" i="9"/>
  <c r="J448" i="9"/>
  <c r="L446" i="9"/>
  <c r="L447" i="9"/>
  <c r="L448" i="9"/>
  <c r="H451" i="9"/>
  <c r="J452" i="9"/>
  <c r="L451" i="9"/>
  <c r="L452" i="9"/>
  <c r="H455" i="9"/>
  <c r="J456" i="9"/>
  <c r="L455" i="9"/>
  <c r="L456" i="9"/>
  <c r="C19" i="11"/>
  <c r="E19" i="11"/>
  <c r="G19" i="11"/>
  <c r="I19" i="11"/>
  <c r="K19" i="11"/>
  <c r="M19" i="11"/>
  <c r="C54" i="11"/>
  <c r="E54" i="11"/>
  <c r="G54" i="11"/>
  <c r="I54" i="11"/>
  <c r="K54" i="11"/>
  <c r="M54" i="11"/>
  <c r="C89" i="11"/>
  <c r="E89" i="11"/>
  <c r="G89" i="11"/>
  <c r="I89" i="11"/>
  <c r="K89" i="11"/>
  <c r="M89" i="11"/>
  <c r="H489" i="9"/>
  <c r="H490" i="9" s="1"/>
  <c r="F92" i="4" s="1"/>
  <c r="G92" i="4" s="1"/>
  <c r="L489" i="9"/>
  <c r="H492" i="9"/>
  <c r="H493" i="9" s="1"/>
  <c r="F93" i="4" s="1"/>
  <c r="G93" i="4" s="1"/>
  <c r="L492" i="9"/>
  <c r="L493" i="9" s="1"/>
  <c r="J93" i="4" s="1"/>
  <c r="K93" i="4" s="1"/>
  <c r="C194" i="11"/>
  <c r="E194" i="11"/>
  <c r="G194" i="11"/>
  <c r="I194" i="11"/>
  <c r="K194" i="11"/>
  <c r="M194" i="11"/>
  <c r="C264" i="11"/>
  <c r="E264" i="11"/>
  <c r="G264" i="11"/>
  <c r="I264" i="11"/>
  <c r="K264" i="11"/>
  <c r="M264" i="11"/>
  <c r="H513" i="9"/>
  <c r="H514" i="9" s="1"/>
  <c r="F100" i="4" s="1"/>
  <c r="G100" i="4" s="1"/>
  <c r="L513" i="9"/>
  <c r="L514" i="9" s="1"/>
  <c r="J100" i="4" s="1"/>
  <c r="K100" i="4" s="1"/>
  <c r="H516" i="9"/>
  <c r="L516" i="9"/>
  <c r="L517" i="9" s="1"/>
  <c r="J101" i="4" s="1"/>
  <c r="K101" i="4" s="1"/>
  <c r="C439" i="11"/>
  <c r="E439" i="11"/>
  <c r="G439" i="11"/>
  <c r="I439" i="11"/>
  <c r="K439" i="11"/>
  <c r="M439" i="11"/>
  <c r="C474" i="11"/>
  <c r="E474" i="11"/>
  <c r="G474" i="11"/>
  <c r="I474" i="11"/>
  <c r="K474" i="11"/>
  <c r="M474" i="11"/>
  <c r="C509" i="11"/>
  <c r="E509" i="11"/>
  <c r="G509" i="11"/>
  <c r="I509" i="11"/>
  <c r="K509" i="11"/>
  <c r="M509" i="11"/>
  <c r="C544" i="11"/>
  <c r="E544" i="11"/>
  <c r="G544" i="11"/>
  <c r="I544" i="11"/>
  <c r="K544" i="11"/>
  <c r="M544" i="11"/>
  <c r="C579" i="11"/>
  <c r="E579" i="11"/>
  <c r="G579" i="11"/>
  <c r="I579" i="11"/>
  <c r="K579" i="11"/>
  <c r="M579" i="11"/>
  <c r="H534" i="9"/>
  <c r="H535" i="9"/>
  <c r="J538" i="9"/>
  <c r="L534" i="9"/>
  <c r="L535" i="9"/>
  <c r="L538" i="9"/>
  <c r="E1149" i="11"/>
  <c r="G543" i="9"/>
  <c r="H543" i="9" s="1"/>
  <c r="H542" i="9"/>
  <c r="E1146" i="11"/>
  <c r="E1143" i="11"/>
  <c r="L542" i="9"/>
  <c r="L543" i="9"/>
  <c r="E1181" i="11"/>
  <c r="E1178" i="11"/>
  <c r="L548" i="9"/>
  <c r="L549" i="9"/>
  <c r="E1219" i="11"/>
  <c r="G555" i="9"/>
  <c r="H554" i="9"/>
  <c r="E1216" i="11"/>
  <c r="E1213" i="11"/>
  <c r="L554" i="9"/>
  <c r="L555" i="9"/>
  <c r="E1254" i="11"/>
  <c r="G561" i="9"/>
  <c r="H561" i="9" s="1"/>
  <c r="H560" i="9"/>
  <c r="E1251" i="11"/>
  <c r="E1248" i="11"/>
  <c r="L560" i="9"/>
  <c r="L561" i="9"/>
  <c r="F75" i="21"/>
  <c r="J75" i="21"/>
  <c r="D75" i="21"/>
  <c r="H75" i="21"/>
  <c r="E73" i="21"/>
  <c r="F67" i="21"/>
  <c r="H67" i="21"/>
  <c r="J68" i="21"/>
  <c r="G68" i="21" s="1"/>
  <c r="E85" i="21" s="1"/>
  <c r="G85" i="21"/>
  <c r="F126" i="21"/>
  <c r="J126" i="21"/>
  <c r="D126" i="21"/>
  <c r="H126" i="21"/>
  <c r="E123" i="21"/>
  <c r="F111" i="21"/>
  <c r="H111" i="21"/>
  <c r="H121" i="21"/>
  <c r="J121" i="21"/>
  <c r="L123" i="21"/>
  <c r="J112" i="21"/>
  <c r="G112" i="21" s="1"/>
  <c r="E136" i="21" s="1"/>
  <c r="I136" i="21"/>
  <c r="F175" i="21"/>
  <c r="J175" i="21"/>
  <c r="D175" i="21"/>
  <c r="H175" i="21"/>
  <c r="E172" i="21"/>
  <c r="F160" i="21"/>
  <c r="H160" i="21"/>
  <c r="H170" i="21"/>
  <c r="J170" i="21"/>
  <c r="L172" i="21"/>
  <c r="J161" i="21"/>
  <c r="G161" i="21" s="1"/>
  <c r="E185" i="21" s="1"/>
  <c r="I185" i="21"/>
  <c r="F224" i="21"/>
  <c r="J224" i="21"/>
  <c r="D224" i="21"/>
  <c r="H224" i="21"/>
  <c r="E221" i="21"/>
  <c r="F209" i="21"/>
  <c r="L209" i="21" s="1"/>
  <c r="H209" i="21"/>
  <c r="H219" i="21"/>
  <c r="J219" i="21"/>
  <c r="L221" i="21"/>
  <c r="J210" i="21"/>
  <c r="G210" i="21" s="1"/>
  <c r="E234" i="21" s="1"/>
  <c r="I234" i="21"/>
  <c r="F613" i="21"/>
  <c r="J613" i="21"/>
  <c r="D613" i="21"/>
  <c r="E614" i="21" s="1"/>
  <c r="J614" i="21" s="1"/>
  <c r="E612" i="21" s="1"/>
  <c r="H613" i="21"/>
  <c r="E610" i="21"/>
  <c r="F604" i="21"/>
  <c r="H604" i="21"/>
  <c r="J605" i="21"/>
  <c r="G605" i="21" s="1"/>
  <c r="E624" i="21" s="1"/>
  <c r="I624" i="21"/>
  <c r="F663" i="21"/>
  <c r="J663" i="21"/>
  <c r="D663" i="21"/>
  <c r="H663" i="21"/>
  <c r="E661" i="21"/>
  <c r="F655" i="21"/>
  <c r="H655" i="21"/>
  <c r="J656" i="21"/>
  <c r="G656" i="21" s="1"/>
  <c r="E673" i="21" s="1"/>
  <c r="G673" i="21"/>
  <c r="F714" i="21"/>
  <c r="J714" i="21"/>
  <c r="D714" i="21"/>
  <c r="E716" i="21" s="1"/>
  <c r="J716" i="21" s="1"/>
  <c r="E713" i="21" s="1"/>
  <c r="H714" i="21"/>
  <c r="E711" i="21"/>
  <c r="F699" i="21"/>
  <c r="L699" i="21" s="1"/>
  <c r="H699" i="21"/>
  <c r="H709" i="21"/>
  <c r="J709" i="21"/>
  <c r="L711" i="21"/>
  <c r="J700" i="21"/>
  <c r="G700" i="21" s="1"/>
  <c r="E724" i="21" s="1"/>
  <c r="I724" i="21"/>
  <c r="F763" i="21"/>
  <c r="J763" i="21"/>
  <c r="D763" i="21"/>
  <c r="H763" i="21"/>
  <c r="E765" i="21" s="1"/>
  <c r="J765" i="21" s="1"/>
  <c r="E762" i="21" s="1"/>
  <c r="E760" i="21"/>
  <c r="F748" i="21"/>
  <c r="H748" i="21"/>
  <c r="L748" i="21" s="1"/>
  <c r="H758" i="21"/>
  <c r="J758" i="21"/>
  <c r="L760" i="21"/>
  <c r="J749" i="21"/>
  <c r="G749" i="21" s="1"/>
  <c r="E773" i="21" s="1"/>
  <c r="I773" i="21"/>
  <c r="F812" i="21"/>
  <c r="J812" i="21"/>
  <c r="D812" i="21"/>
  <c r="H812" i="21"/>
  <c r="E809" i="21"/>
  <c r="F797" i="21"/>
  <c r="L797" i="21" s="1"/>
  <c r="H797" i="21"/>
  <c r="H807" i="21"/>
  <c r="J807" i="21"/>
  <c r="L809" i="21"/>
  <c r="J798" i="21"/>
  <c r="G798" i="21" s="1"/>
  <c r="E822" i="21" s="1"/>
  <c r="I822" i="21"/>
  <c r="J896" i="21"/>
  <c r="G896" i="21" s="1"/>
  <c r="E920" i="21"/>
  <c r="E895" i="21"/>
  <c r="H895" i="21"/>
  <c r="I920" i="21"/>
  <c r="E907" i="21"/>
  <c r="H905" i="21"/>
  <c r="J905" i="21"/>
  <c r="L907" i="21"/>
  <c r="D910" i="21"/>
  <c r="F910" i="21"/>
  <c r="H910" i="21"/>
  <c r="J910" i="21"/>
  <c r="L910" i="21"/>
  <c r="N910" i="21"/>
  <c r="D911" i="21"/>
  <c r="F911" i="21"/>
  <c r="H632" i="9"/>
  <c r="H635" i="9"/>
  <c r="L632" i="9"/>
  <c r="L635" i="9"/>
  <c r="H640" i="9"/>
  <c r="H643" i="9"/>
  <c r="L640" i="9"/>
  <c r="L643" i="9"/>
  <c r="H648" i="9"/>
  <c r="H651" i="9"/>
  <c r="L648" i="9"/>
  <c r="L651" i="9"/>
  <c r="H656" i="9"/>
  <c r="H659" i="9"/>
  <c r="J659" i="9"/>
  <c r="L656" i="9"/>
  <c r="L659" i="9"/>
  <c r="H664" i="9"/>
  <c r="H667" i="9"/>
  <c r="L664" i="9"/>
  <c r="L667" i="9"/>
  <c r="H672" i="9"/>
  <c r="H675" i="9"/>
  <c r="J675" i="9"/>
  <c r="L672" i="9"/>
  <c r="L675" i="9"/>
  <c r="H681" i="9"/>
  <c r="H684" i="9"/>
  <c r="J678" i="9"/>
  <c r="L678" i="9"/>
  <c r="L681" i="9"/>
  <c r="L684" i="9"/>
  <c r="G687" i="9"/>
  <c r="H689" i="9"/>
  <c r="J687" i="9"/>
  <c r="J688" i="9"/>
  <c r="J689" i="9"/>
  <c r="L687" i="9"/>
  <c r="L688" i="9"/>
  <c r="H692" i="9"/>
  <c r="H696" i="9"/>
  <c r="H697" i="9"/>
  <c r="J697" i="9"/>
  <c r="J692" i="9"/>
  <c r="L696" i="9"/>
  <c r="L697" i="9"/>
  <c r="H701" i="9"/>
  <c r="H705" i="9"/>
  <c r="H706" i="9"/>
  <c r="J701" i="9"/>
  <c r="L701" i="9"/>
  <c r="L705" i="9"/>
  <c r="L706" i="9"/>
  <c r="H710" i="9"/>
  <c r="H714" i="9"/>
  <c r="H715" i="9"/>
  <c r="J710" i="9"/>
  <c r="L714" i="9"/>
  <c r="L715" i="9"/>
  <c r="H719" i="9"/>
  <c r="H723" i="9"/>
  <c r="H724" i="9"/>
  <c r="J719" i="9"/>
  <c r="N719" i="9" s="1"/>
  <c r="L719" i="9"/>
  <c r="L723" i="9"/>
  <c r="L724" i="9"/>
  <c r="H729" i="9"/>
  <c r="L729" i="9"/>
  <c r="H734" i="9"/>
  <c r="L734" i="9"/>
  <c r="H738" i="9"/>
  <c r="H740" i="9"/>
  <c r="J738" i="9"/>
  <c r="L738" i="9"/>
  <c r="L740" i="9"/>
  <c r="H744" i="9"/>
  <c r="H746" i="9"/>
  <c r="J744" i="9"/>
  <c r="L744" i="9"/>
  <c r="L746" i="9"/>
  <c r="H750" i="9"/>
  <c r="N750" i="9" s="1"/>
  <c r="N751" i="9" s="1"/>
  <c r="L750" i="9"/>
  <c r="L751" i="9" s="1"/>
  <c r="J151" i="4" s="1"/>
  <c r="K151" i="4" s="1"/>
  <c r="H788" i="9"/>
  <c r="J787" i="9"/>
  <c r="L787" i="9"/>
  <c r="L788" i="9"/>
  <c r="H792" i="9"/>
  <c r="J791" i="9"/>
  <c r="L791" i="9"/>
  <c r="L792" i="9"/>
  <c r="H795" i="9"/>
  <c r="H796" i="9"/>
  <c r="H797" i="9"/>
  <c r="J795" i="9"/>
  <c r="J798" i="9"/>
  <c r="J799" i="9"/>
  <c r="L799" i="9"/>
  <c r="L795" i="9"/>
  <c r="L797" i="9"/>
  <c r="H804" i="9"/>
  <c r="J805" i="9"/>
  <c r="J806" i="9"/>
  <c r="L806" i="9"/>
  <c r="L804" i="9"/>
  <c r="G811" i="9"/>
  <c r="H812" i="9"/>
  <c r="J812" i="9"/>
  <c r="J810" i="9"/>
  <c r="J811" i="9"/>
  <c r="L810" i="9"/>
  <c r="L811" i="9"/>
  <c r="L812" i="9"/>
  <c r="G819" i="9"/>
  <c r="H819" i="9" s="1"/>
  <c r="H820" i="9"/>
  <c r="J818" i="9"/>
  <c r="J819" i="9"/>
  <c r="L818" i="9"/>
  <c r="L819" i="9"/>
  <c r="L820" i="9"/>
  <c r="G828" i="9"/>
  <c r="H828" i="9" s="1"/>
  <c r="H829" i="9"/>
  <c r="J827" i="9"/>
  <c r="J828" i="9"/>
  <c r="L827" i="9"/>
  <c r="L828" i="9"/>
  <c r="L829" i="9"/>
  <c r="G837" i="9"/>
  <c r="M837" i="9" s="1"/>
  <c r="H838" i="9"/>
  <c r="J836" i="9"/>
  <c r="J837" i="9"/>
  <c r="L836" i="9"/>
  <c r="L837" i="9"/>
  <c r="L838" i="9"/>
  <c r="G845" i="9"/>
  <c r="M845" i="9" s="1"/>
  <c r="H846" i="9"/>
  <c r="H847" i="9"/>
  <c r="J846" i="9"/>
  <c r="J844" i="9"/>
  <c r="J845" i="9"/>
  <c r="L844" i="9"/>
  <c r="L845" i="9"/>
  <c r="L846" i="9"/>
  <c r="L847" i="9"/>
  <c r="G855" i="9"/>
  <c r="H855" i="9" s="1"/>
  <c r="H856" i="9"/>
  <c r="H857" i="9"/>
  <c r="J854" i="9"/>
  <c r="J855" i="9"/>
  <c r="L854" i="9"/>
  <c r="L855" i="9"/>
  <c r="L856" i="9"/>
  <c r="L857" i="9"/>
  <c r="G865" i="9"/>
  <c r="H865" i="9" s="1"/>
  <c r="H866" i="9"/>
  <c r="J866" i="9"/>
  <c r="J864" i="9"/>
  <c r="J865" i="9"/>
  <c r="L864" i="9"/>
  <c r="L865" i="9"/>
  <c r="L866" i="9"/>
  <c r="G873" i="9"/>
  <c r="M873" i="9" s="1"/>
  <c r="H874" i="9"/>
  <c r="H875" i="9"/>
  <c r="J872" i="9"/>
  <c r="J873" i="9"/>
  <c r="L872" i="9"/>
  <c r="L873" i="9"/>
  <c r="L874" i="9"/>
  <c r="L875" i="9"/>
  <c r="G883" i="9"/>
  <c r="H884" i="9"/>
  <c r="H885" i="9"/>
  <c r="J885" i="9"/>
  <c r="J882" i="9"/>
  <c r="J883" i="9"/>
  <c r="L882" i="9"/>
  <c r="L883" i="9"/>
  <c r="L884" i="9"/>
  <c r="L885" i="9"/>
  <c r="G893" i="9"/>
  <c r="M893" i="9" s="1"/>
  <c r="H892" i="9"/>
  <c r="H894" i="9"/>
  <c r="H895" i="9"/>
  <c r="H896" i="9"/>
  <c r="J892" i="9"/>
  <c r="J893" i="9"/>
  <c r="L892" i="9"/>
  <c r="L893" i="9"/>
  <c r="L894" i="9"/>
  <c r="L895" i="9"/>
  <c r="L896" i="9"/>
  <c r="G904" i="9"/>
  <c r="M904" i="9" s="1"/>
  <c r="H903" i="9"/>
  <c r="H905" i="9"/>
  <c r="H906" i="9"/>
  <c r="J903" i="9"/>
  <c r="J904" i="9"/>
  <c r="L903" i="9"/>
  <c r="L904" i="9"/>
  <c r="L905" i="9"/>
  <c r="L906" i="9"/>
  <c r="G1040" i="9"/>
  <c r="H1040" i="9" s="1"/>
  <c r="I1040" i="9"/>
  <c r="J1040" i="9" s="1"/>
  <c r="H1099" i="9"/>
  <c r="H1100" i="9" s="1"/>
  <c r="F190" i="4" s="1"/>
  <c r="G190" i="4" s="1"/>
  <c r="J1099" i="9"/>
  <c r="J1100" i="9" s="1"/>
  <c r="H190" i="4" s="1"/>
  <c r="I190" i="4" s="1"/>
  <c r="K1099" i="9"/>
  <c r="H1102" i="9"/>
  <c r="H1103" i="9" s="1"/>
  <c r="F191" i="4" s="1"/>
  <c r="G191" i="4" s="1"/>
  <c r="J1102" i="9"/>
  <c r="J1103" i="9" s="1"/>
  <c r="H191" i="4" s="1"/>
  <c r="I191" i="4" s="1"/>
  <c r="H1136" i="9"/>
  <c r="H1137" i="9"/>
  <c r="H1138" i="9"/>
  <c r="H1139" i="9"/>
  <c r="H1140" i="9"/>
  <c r="J1136" i="9"/>
  <c r="J1137" i="9"/>
  <c r="J1138" i="9"/>
  <c r="J1139" i="9"/>
  <c r="J1140" i="9"/>
  <c r="H1143" i="9"/>
  <c r="H1144" i="9"/>
  <c r="H1145" i="9"/>
  <c r="H1146" i="9"/>
  <c r="H1147" i="9"/>
  <c r="J1143" i="9"/>
  <c r="J1144" i="9"/>
  <c r="J1145" i="9"/>
  <c r="J1146" i="9"/>
  <c r="J1147" i="9"/>
  <c r="K1143" i="9"/>
  <c r="K1144" i="9" s="1"/>
  <c r="M1144" i="9" s="1"/>
  <c r="H1150" i="9"/>
  <c r="H1151" i="9"/>
  <c r="H1152" i="9"/>
  <c r="H1153" i="9"/>
  <c r="H1154" i="9"/>
  <c r="J1150" i="9"/>
  <c r="J1151" i="9"/>
  <c r="J1155" i="9" s="1"/>
  <c r="H198" i="4" s="1"/>
  <c r="I198" i="4" s="1"/>
  <c r="J1152" i="9"/>
  <c r="J1153" i="9"/>
  <c r="J1154" i="9"/>
  <c r="K1150" i="9"/>
  <c r="H1157" i="9"/>
  <c r="H1158" i="9"/>
  <c r="H1159" i="9"/>
  <c r="H1160" i="9"/>
  <c r="H1161" i="9"/>
  <c r="J1157" i="9"/>
  <c r="J1158" i="9"/>
  <c r="J1159" i="9"/>
  <c r="J1160" i="9"/>
  <c r="J1161" i="9"/>
  <c r="K1157" i="9"/>
  <c r="L1157" i="9" s="1"/>
  <c r="H1164" i="9"/>
  <c r="H1165" i="9"/>
  <c r="H1166" i="9"/>
  <c r="H1167" i="9"/>
  <c r="H1168" i="9"/>
  <c r="J1164" i="9"/>
  <c r="J1165" i="9"/>
  <c r="J1166" i="9"/>
  <c r="J1167" i="9"/>
  <c r="J1168" i="9"/>
  <c r="L1168" i="9"/>
  <c r="H1171" i="9"/>
  <c r="H1172" i="9"/>
  <c r="H1173" i="9"/>
  <c r="H1174" i="9"/>
  <c r="H1175" i="9"/>
  <c r="J1171" i="9"/>
  <c r="J1172" i="9"/>
  <c r="J1173" i="9"/>
  <c r="J1174" i="9"/>
  <c r="J1175" i="9"/>
  <c r="K1171" i="9"/>
  <c r="L1171" i="9" s="1"/>
  <c r="L1175" i="9"/>
  <c r="H1178" i="9"/>
  <c r="H1179" i="9"/>
  <c r="H1180" i="9"/>
  <c r="H1181" i="9"/>
  <c r="H1182" i="9"/>
  <c r="J1178" i="9"/>
  <c r="J1179" i="9"/>
  <c r="J1180" i="9"/>
  <c r="J1181" i="9"/>
  <c r="J1182" i="9"/>
  <c r="K1178" i="9"/>
  <c r="M1178" i="9" s="1"/>
  <c r="H1185" i="9"/>
  <c r="H1186" i="9"/>
  <c r="H1187" i="9"/>
  <c r="H1188" i="9"/>
  <c r="H1189" i="9"/>
  <c r="J1185" i="9"/>
  <c r="J1186" i="9"/>
  <c r="J1187" i="9"/>
  <c r="J1188" i="9"/>
  <c r="J1189" i="9"/>
  <c r="H1192" i="9"/>
  <c r="H1193" i="9"/>
  <c r="H1194" i="9"/>
  <c r="H1195" i="9"/>
  <c r="H1196" i="9"/>
  <c r="J1192" i="9"/>
  <c r="J1193" i="9"/>
  <c r="J1194" i="9"/>
  <c r="J1195" i="9"/>
  <c r="J1196" i="9"/>
  <c r="K1192" i="9"/>
  <c r="K1193" i="9" s="1"/>
  <c r="M1193" i="9" s="1"/>
  <c r="L1196" i="9"/>
  <c r="H1199" i="9"/>
  <c r="H1200" i="9"/>
  <c r="H1201" i="9"/>
  <c r="H1202" i="9"/>
  <c r="H1203" i="9"/>
  <c r="J1199" i="9"/>
  <c r="J1200" i="9"/>
  <c r="J1201" i="9"/>
  <c r="J1202" i="9"/>
  <c r="J1203" i="9"/>
  <c r="H1206" i="9"/>
  <c r="H1207" i="9"/>
  <c r="H1208" i="9"/>
  <c r="H1209" i="9"/>
  <c r="H1210" i="9"/>
  <c r="J1206" i="9"/>
  <c r="J1207" i="9"/>
  <c r="J1208" i="9"/>
  <c r="J1209" i="9"/>
  <c r="J1210" i="9"/>
  <c r="K1206" i="9"/>
  <c r="L1210" i="9"/>
  <c r="H1213" i="9"/>
  <c r="H1214" i="9"/>
  <c r="H1215" i="9"/>
  <c r="H1216" i="9"/>
  <c r="H1217" i="9"/>
  <c r="J1213" i="9"/>
  <c r="J1214" i="9"/>
  <c r="J1215" i="9"/>
  <c r="J1216" i="9"/>
  <c r="J1217" i="9"/>
  <c r="H1220" i="9"/>
  <c r="H1221" i="9"/>
  <c r="H1222" i="9"/>
  <c r="H1223" i="9"/>
  <c r="H1224" i="9"/>
  <c r="J1220" i="9"/>
  <c r="J1221" i="9"/>
  <c r="J1222" i="9"/>
  <c r="J1223" i="9"/>
  <c r="J1224" i="9"/>
  <c r="K1220" i="9"/>
  <c r="L1220" i="9" s="1"/>
  <c r="L1224" i="9"/>
  <c r="H1227" i="9"/>
  <c r="H1228" i="9"/>
  <c r="H1229" i="9"/>
  <c r="H1230" i="9"/>
  <c r="H1231" i="9"/>
  <c r="J1227" i="9"/>
  <c r="J1228" i="9"/>
  <c r="J1229" i="9"/>
  <c r="J1230" i="9"/>
  <c r="J1231" i="9"/>
  <c r="K1227" i="9"/>
  <c r="M1227" i="9" s="1"/>
  <c r="H1234" i="9"/>
  <c r="H1235" i="9"/>
  <c r="H1236" i="9"/>
  <c r="H1237" i="9"/>
  <c r="H1238" i="9"/>
  <c r="J1234" i="9"/>
  <c r="J1235" i="9"/>
  <c r="J1236" i="9"/>
  <c r="J1237" i="9"/>
  <c r="J1238" i="9"/>
  <c r="L1238" i="9"/>
  <c r="H1241" i="9"/>
  <c r="H1242" i="9"/>
  <c r="H1243" i="9"/>
  <c r="H1244" i="9"/>
  <c r="H1245" i="9"/>
  <c r="J1241" i="9"/>
  <c r="J1242" i="9"/>
  <c r="J1243" i="9"/>
  <c r="J1244" i="9"/>
  <c r="J1245" i="9"/>
  <c r="K1241" i="9"/>
  <c r="K1242" i="9" s="1"/>
  <c r="L1242" i="9" s="1"/>
  <c r="N1242" i="9" s="1"/>
  <c r="L1245" i="9"/>
  <c r="H1248" i="9"/>
  <c r="H1249" i="9" s="1"/>
  <c r="F212" i="4" s="1"/>
  <c r="G212" i="4" s="1"/>
  <c r="J1248" i="9"/>
  <c r="J1249" i="9" s="1"/>
  <c r="H212" i="4" s="1"/>
  <c r="I212" i="4" s="1"/>
  <c r="H1278" i="9"/>
  <c r="H1279" i="9" s="1"/>
  <c r="F220" i="4" s="1"/>
  <c r="G220" i="4" s="1"/>
  <c r="J1278" i="9"/>
  <c r="J1279" i="9" s="1"/>
  <c r="H220" i="4" s="1"/>
  <c r="I220" i="4" s="1"/>
  <c r="H1281" i="9"/>
  <c r="H1282" i="9" s="1"/>
  <c r="F221" i="4" s="1"/>
  <c r="G221" i="4" s="1"/>
  <c r="J1281" i="9"/>
  <c r="J1282" i="9" s="1"/>
  <c r="H221" i="4" s="1"/>
  <c r="I221" i="4" s="1"/>
  <c r="H271" i="12"/>
  <c r="M271" i="12" s="1"/>
  <c r="H1314" i="9"/>
  <c r="H1315" i="9" s="1"/>
  <c r="F232" i="4" s="1"/>
  <c r="G232" i="4" s="1"/>
  <c r="J1314" i="9"/>
  <c r="J1315" i="9" s="1"/>
  <c r="H232" i="4" s="1"/>
  <c r="I232" i="4" s="1"/>
  <c r="H1317" i="9"/>
  <c r="H1318" i="9" s="1"/>
  <c r="F233" i="4" s="1"/>
  <c r="G233" i="4" s="1"/>
  <c r="J1317" i="9"/>
  <c r="H1320" i="9"/>
  <c r="H1321" i="9" s="1"/>
  <c r="F234" i="4" s="1"/>
  <c r="G234" i="4" s="1"/>
  <c r="J1320" i="9"/>
  <c r="J1321" i="9" s="1"/>
  <c r="H234" i="4" s="1"/>
  <c r="I234" i="4" s="1"/>
  <c r="H404" i="12"/>
  <c r="M404" i="12" s="1"/>
  <c r="K1332" i="9" s="1"/>
  <c r="L1332" i="9" s="1"/>
  <c r="L1333" i="9" s="1"/>
  <c r="J238" i="4" s="1"/>
  <c r="K238" i="4" s="1"/>
  <c r="H423" i="12"/>
  <c r="M423" i="12" s="1"/>
  <c r="K1335" i="9" s="1"/>
  <c r="L1335" i="9" s="1"/>
  <c r="L1336" i="9" s="1"/>
  <c r="J239" i="4" s="1"/>
  <c r="K239" i="4" s="1"/>
  <c r="H499" i="12"/>
  <c r="M499" i="12" s="1"/>
  <c r="K1347" i="9" s="1"/>
  <c r="L1347" i="9" s="1"/>
  <c r="L1348" i="9" s="1"/>
  <c r="J243" i="4" s="1"/>
  <c r="K243" i="4" s="1"/>
  <c r="H727" i="12"/>
  <c r="M727" i="12" s="1"/>
  <c r="H879" i="12"/>
  <c r="M879" i="12" s="1"/>
  <c r="K1404" i="9" s="1"/>
  <c r="L1404" i="9" s="1"/>
  <c r="L1405" i="9" s="1"/>
  <c r="J262" i="4" s="1"/>
  <c r="K262" i="4" s="1"/>
  <c r="H917" i="12"/>
  <c r="M917" i="12" s="1"/>
  <c r="K1410" i="9" s="1"/>
  <c r="L1410" i="9" s="1"/>
  <c r="L1411" i="9" s="1"/>
  <c r="J264" i="4" s="1"/>
  <c r="K264" i="4" s="1"/>
  <c r="H974" i="12"/>
  <c r="M974" i="12" s="1"/>
  <c r="K1416" i="9" s="1"/>
  <c r="L1416" i="9" s="1"/>
  <c r="L1417" i="9" s="1"/>
  <c r="J266" i="4" s="1"/>
  <c r="K266" i="4" s="1"/>
  <c r="H993" i="12"/>
  <c r="M993" i="12" s="1"/>
  <c r="K1419" i="9" s="1"/>
  <c r="L1419" i="9" s="1"/>
  <c r="L1420" i="9" s="1"/>
  <c r="J267" i="4" s="1"/>
  <c r="K267" i="4" s="1"/>
  <c r="H1012" i="12"/>
  <c r="M1012" i="12" s="1"/>
  <c r="K1422" i="9" s="1"/>
  <c r="L1422" i="9" s="1"/>
  <c r="L1423" i="9" s="1"/>
  <c r="J268" i="4" s="1"/>
  <c r="K268" i="4" s="1"/>
  <c r="H1031" i="12"/>
  <c r="M1031" i="12" s="1"/>
  <c r="K1425" i="9" s="1"/>
  <c r="L1425" i="9" s="1"/>
  <c r="L1426" i="9" s="1"/>
  <c r="J269" i="4" s="1"/>
  <c r="K269" i="4" s="1"/>
  <c r="H1050" i="12"/>
  <c r="M1050" i="12" s="1"/>
  <c r="K1428" i="9" s="1"/>
  <c r="L1428" i="9" s="1"/>
  <c r="L1429" i="9" s="1"/>
  <c r="J270" i="4" s="1"/>
  <c r="K270" i="4" s="1"/>
  <c r="H1088" i="12"/>
  <c r="M1088" i="12" s="1"/>
  <c r="K1434" i="9" s="1"/>
  <c r="L1434" i="9" s="1"/>
  <c r="L1435" i="9" s="1"/>
  <c r="J272" i="4" s="1"/>
  <c r="K272" i="4" s="1"/>
  <c r="M1167" i="12"/>
  <c r="M1170" i="12" s="1"/>
  <c r="I1446" i="9" s="1"/>
  <c r="J1446" i="9" s="1"/>
  <c r="J1447" i="9" s="1"/>
  <c r="H276" i="4" s="1"/>
  <c r="I276" i="4" s="1"/>
  <c r="M1708" i="12"/>
  <c r="G1468" i="9" s="1"/>
  <c r="H1468" i="9" s="1"/>
  <c r="M1689" i="12"/>
  <c r="G1469" i="9" s="1"/>
  <c r="H1469" i="9" s="1"/>
  <c r="M1702" i="12"/>
  <c r="I1468" i="9" s="1"/>
  <c r="J1468" i="9" s="1"/>
  <c r="M1683" i="12"/>
  <c r="I1469" i="9" s="1"/>
  <c r="J1469" i="9" s="1"/>
  <c r="H1696" i="12"/>
  <c r="M1696" i="12" s="1"/>
  <c r="K1468" i="9" s="1"/>
  <c r="L1468" i="9" s="1"/>
  <c r="H1677" i="12"/>
  <c r="M1677" i="12" s="1"/>
  <c r="K1493" i="9" s="1"/>
  <c r="L1493" i="9" s="1"/>
  <c r="L1494" i="9" s="1"/>
  <c r="J291" i="4" s="1"/>
  <c r="K291" i="4" s="1"/>
  <c r="M1328" i="12"/>
  <c r="M1322" i="12"/>
  <c r="I1472" i="9" s="1"/>
  <c r="J1472" i="9" s="1"/>
  <c r="J1473" i="9" s="1"/>
  <c r="H284" i="4" s="1"/>
  <c r="I284" i="4" s="1"/>
  <c r="H1316" i="12"/>
  <c r="M1316" i="12" s="1"/>
  <c r="H1373" i="12"/>
  <c r="M1373" i="12" s="1"/>
  <c r="K1478" i="9" s="1"/>
  <c r="L1478" i="9" s="1"/>
  <c r="L1479" i="9" s="1"/>
  <c r="J286" i="4" s="1"/>
  <c r="K286" i="4" s="1"/>
  <c r="H1392" i="12"/>
  <c r="M1392" i="12" s="1"/>
  <c r="K1481" i="9" s="1"/>
  <c r="L1481" i="9" s="1"/>
  <c r="L1482" i="9" s="1"/>
  <c r="J287" i="4" s="1"/>
  <c r="K287" i="4" s="1"/>
  <c r="M1442" i="12"/>
  <c r="G1487" i="9" s="1"/>
  <c r="H1430" i="12"/>
  <c r="M1430" i="12" s="1"/>
  <c r="M1461" i="12"/>
  <c r="G1493" i="9" s="1"/>
  <c r="H1493" i="9" s="1"/>
  <c r="H1494" i="9" s="1"/>
  <c r="F291" i="4" s="1"/>
  <c r="G291" i="4" s="1"/>
  <c r="M1455" i="12"/>
  <c r="M1490" i="12"/>
  <c r="M1493" i="12" s="1"/>
  <c r="I1499" i="9" s="1"/>
  <c r="J1499" i="9" s="1"/>
  <c r="J1500" i="9" s="1"/>
  <c r="H293" i="4" s="1"/>
  <c r="I293" i="4" s="1"/>
  <c r="M1537" i="12"/>
  <c r="G1505" i="9" s="1"/>
  <c r="H1505" i="9" s="1"/>
  <c r="H1506" i="9" s="1"/>
  <c r="F295" i="4" s="1"/>
  <c r="G295" i="4" s="1"/>
  <c r="M1531" i="12"/>
  <c r="M1556" i="12"/>
  <c r="G1508" i="9" s="1"/>
  <c r="H1508" i="9" s="1"/>
  <c r="H1509" i="9" s="1"/>
  <c r="F296" i="4" s="1"/>
  <c r="M1550" i="12"/>
  <c r="H1620" i="12"/>
  <c r="M1620" i="12" s="1"/>
  <c r="M1651" i="12"/>
  <c r="M1645" i="12"/>
  <c r="I1520" i="9" s="1"/>
  <c r="J1520" i="9" s="1"/>
  <c r="M1664" i="12"/>
  <c r="I1521" i="9" s="1"/>
  <c r="J1521" i="9" s="1"/>
  <c r="H1639" i="12"/>
  <c r="M1639" i="12" s="1"/>
  <c r="K1520" i="9" s="1"/>
  <c r="L1520" i="9" s="1"/>
  <c r="H1658" i="12"/>
  <c r="M1658" i="12" s="1"/>
  <c r="K1521" i="9" s="1"/>
  <c r="L1521" i="9" s="1"/>
  <c r="M1575" i="12"/>
  <c r="G1697" i="9"/>
  <c r="H1697" i="9" s="1"/>
  <c r="H1699" i="9"/>
  <c r="H1700" i="9"/>
  <c r="H1701" i="9"/>
  <c r="M1569" i="12"/>
  <c r="I1850" i="9" s="1"/>
  <c r="J1850" i="9" s="1"/>
  <c r="J1700" i="9"/>
  <c r="J1701" i="9"/>
  <c r="J1698" i="9"/>
  <c r="H1563" i="12"/>
  <c r="M1563" i="12" s="1"/>
  <c r="L1697" i="9"/>
  <c r="L1698" i="9"/>
  <c r="L1699" i="9"/>
  <c r="L1700" i="9"/>
  <c r="L1701" i="9"/>
  <c r="G1706" i="9"/>
  <c r="H1706" i="9" s="1"/>
  <c r="H1708" i="9"/>
  <c r="H1709" i="9"/>
  <c r="H1710" i="9"/>
  <c r="J1710" i="9"/>
  <c r="J1707" i="9"/>
  <c r="L1706" i="9"/>
  <c r="L1707" i="9"/>
  <c r="L1708" i="9"/>
  <c r="L1709" i="9"/>
  <c r="L1710" i="9"/>
  <c r="G1716" i="9"/>
  <c r="H1716" i="9" s="1"/>
  <c r="H1718" i="9"/>
  <c r="H1719" i="9"/>
  <c r="H1720" i="9"/>
  <c r="J1719" i="9"/>
  <c r="J1717" i="9"/>
  <c r="L1716" i="9"/>
  <c r="L1717" i="9"/>
  <c r="L1718" i="9"/>
  <c r="L1719" i="9"/>
  <c r="L1720" i="9"/>
  <c r="G1725" i="9"/>
  <c r="H1725" i="9" s="1"/>
  <c r="H1727" i="9"/>
  <c r="H1728" i="9"/>
  <c r="H1729" i="9"/>
  <c r="J1726" i="9"/>
  <c r="L1725" i="9"/>
  <c r="L1726" i="9"/>
  <c r="L1727" i="9"/>
  <c r="L1728" i="9"/>
  <c r="L1729" i="9"/>
  <c r="G1735" i="9"/>
  <c r="H1735" i="9" s="1"/>
  <c r="H1737" i="9"/>
  <c r="H1738" i="9"/>
  <c r="H1739" i="9"/>
  <c r="J1736" i="9"/>
  <c r="L1735" i="9"/>
  <c r="L1736" i="9"/>
  <c r="L1737" i="9"/>
  <c r="L1738" i="9"/>
  <c r="L1739" i="9"/>
  <c r="H1746" i="9"/>
  <c r="H1747" i="9"/>
  <c r="H1748" i="9"/>
  <c r="J1746" i="9"/>
  <c r="J1747" i="9"/>
  <c r="J1748" i="9"/>
  <c r="J1745" i="9"/>
  <c r="L1744" i="9"/>
  <c r="L1745" i="9"/>
  <c r="L1746" i="9"/>
  <c r="L1747" i="9"/>
  <c r="L1748" i="9"/>
  <c r="G1754" i="9"/>
  <c r="H1754" i="9" s="1"/>
  <c r="H1756" i="9"/>
  <c r="H1757" i="9"/>
  <c r="H1758" i="9"/>
  <c r="J1756" i="9"/>
  <c r="J1755" i="9"/>
  <c r="L1754" i="9"/>
  <c r="L1755" i="9"/>
  <c r="L1756" i="9"/>
  <c r="L1757" i="9"/>
  <c r="L1758" i="9"/>
  <c r="H1765" i="9"/>
  <c r="H1766" i="9"/>
  <c r="H1767" i="9"/>
  <c r="J1764" i="9"/>
  <c r="L1763" i="9"/>
  <c r="L1764" i="9"/>
  <c r="L1765" i="9"/>
  <c r="L1766" i="9"/>
  <c r="L1767" i="9"/>
  <c r="G1773" i="9"/>
  <c r="H1773" i="9" s="1"/>
  <c r="H1775" i="9"/>
  <c r="H1776" i="9"/>
  <c r="H1777" i="9"/>
  <c r="J1774" i="9"/>
  <c r="L1773" i="9"/>
  <c r="L1774" i="9"/>
  <c r="L1775" i="9"/>
  <c r="L1776" i="9"/>
  <c r="L1777" i="9"/>
  <c r="H1784" i="9"/>
  <c r="H1785" i="9"/>
  <c r="H1786" i="9"/>
  <c r="J1784" i="9"/>
  <c r="J1785" i="9"/>
  <c r="J1786" i="9"/>
  <c r="J1783" i="9"/>
  <c r="L1782" i="9"/>
  <c r="L1783" i="9"/>
  <c r="L1784" i="9"/>
  <c r="L1785" i="9"/>
  <c r="L1786" i="9"/>
  <c r="G1792" i="9"/>
  <c r="H1792" i="9" s="1"/>
  <c r="H1794" i="9"/>
  <c r="H1795" i="9"/>
  <c r="H1796" i="9"/>
  <c r="J1794" i="9"/>
  <c r="J1793" i="9"/>
  <c r="L1792" i="9"/>
  <c r="L1793" i="9"/>
  <c r="L1794" i="9"/>
  <c r="L1795" i="9"/>
  <c r="L1796" i="9"/>
  <c r="H1803" i="9"/>
  <c r="H1804" i="9"/>
  <c r="H1805" i="9"/>
  <c r="J1804" i="9"/>
  <c r="J1802" i="9"/>
  <c r="L1801" i="9"/>
  <c r="L1802" i="9"/>
  <c r="L1803" i="9"/>
  <c r="L1804" i="9"/>
  <c r="L1805" i="9"/>
  <c r="G1811" i="9"/>
  <c r="H1811" i="9" s="1"/>
  <c r="H1813" i="9"/>
  <c r="H1814" i="9"/>
  <c r="H1815" i="9"/>
  <c r="J1812" i="9"/>
  <c r="L1811" i="9"/>
  <c r="L1812" i="9"/>
  <c r="L1813" i="9"/>
  <c r="L1814" i="9"/>
  <c r="L1815" i="9"/>
  <c r="H1822" i="9"/>
  <c r="H1823" i="9"/>
  <c r="H1824" i="9"/>
  <c r="J1822" i="9"/>
  <c r="J1824" i="9"/>
  <c r="J1821" i="9"/>
  <c r="L1820" i="9"/>
  <c r="L1821" i="9"/>
  <c r="L1822" i="9"/>
  <c r="L1823" i="9"/>
  <c r="L1824" i="9"/>
  <c r="G1830" i="9"/>
  <c r="H1830" i="9" s="1"/>
  <c r="H1832" i="9"/>
  <c r="H1833" i="9"/>
  <c r="H1834" i="9"/>
  <c r="J1832" i="9"/>
  <c r="J1831" i="9"/>
  <c r="J1835" i="9"/>
  <c r="L1830" i="9"/>
  <c r="L1831" i="9"/>
  <c r="L1832" i="9"/>
  <c r="L1833" i="9"/>
  <c r="L1834" i="9"/>
  <c r="L1835" i="9"/>
  <c r="L1836" i="9"/>
  <c r="G1840" i="9"/>
  <c r="H1840" i="9" s="1"/>
  <c r="G1845" i="9"/>
  <c r="M1845" i="9" s="1"/>
  <c r="H1842" i="9"/>
  <c r="H1843" i="9"/>
  <c r="H1844" i="9"/>
  <c r="J1841" i="9"/>
  <c r="J1845" i="9"/>
  <c r="J1846" i="9"/>
  <c r="L1840" i="9"/>
  <c r="L1841" i="9"/>
  <c r="L1842" i="9"/>
  <c r="L1843" i="9"/>
  <c r="L1844" i="9"/>
  <c r="L1845" i="9"/>
  <c r="L1846" i="9"/>
  <c r="G1850" i="9"/>
  <c r="H1850" i="9" s="1"/>
  <c r="H1852" i="9"/>
  <c r="H1853" i="9"/>
  <c r="H1854" i="9"/>
  <c r="J1853" i="9"/>
  <c r="J1854" i="9"/>
  <c r="J1851" i="9"/>
  <c r="J1855" i="9"/>
  <c r="J1856" i="9"/>
  <c r="L1850" i="9"/>
  <c r="L1851" i="9"/>
  <c r="L1852" i="9"/>
  <c r="L1853" i="9"/>
  <c r="L1854" i="9"/>
  <c r="L1855" i="9"/>
  <c r="L1856" i="9"/>
  <c r="G1860" i="9"/>
  <c r="H1860" i="9" s="1"/>
  <c r="G1865" i="9"/>
  <c r="H1865" i="9" s="1"/>
  <c r="M1866" i="9"/>
  <c r="H1862" i="9"/>
  <c r="H1863" i="9"/>
  <c r="H1864" i="9"/>
  <c r="J1862" i="9"/>
  <c r="J1861" i="9"/>
  <c r="J1865" i="9"/>
  <c r="J1866" i="9"/>
  <c r="L1860" i="9"/>
  <c r="L1861" i="9"/>
  <c r="L1862" i="9"/>
  <c r="L1863" i="9"/>
  <c r="L1864" i="9"/>
  <c r="L1865" i="9"/>
  <c r="L1866" i="9"/>
  <c r="G1870" i="9"/>
  <c r="H1870" i="9" s="1"/>
  <c r="G1875" i="9"/>
  <c r="M1875" i="9" s="1"/>
  <c r="H1872" i="9"/>
  <c r="H1873" i="9"/>
  <c r="H1874" i="9"/>
  <c r="J1872" i="9"/>
  <c r="J1871" i="9"/>
  <c r="J1875" i="9"/>
  <c r="J1876" i="9"/>
  <c r="L1870" i="9"/>
  <c r="L1871" i="9"/>
  <c r="L1872" i="9"/>
  <c r="L1873" i="9"/>
  <c r="L1874" i="9"/>
  <c r="L1875" i="9"/>
  <c r="L1876" i="9"/>
  <c r="G1880" i="9"/>
  <c r="H1880" i="9" s="1"/>
  <c r="G1885" i="9"/>
  <c r="M1885" i="9" s="1"/>
  <c r="M1886" i="9"/>
  <c r="H1882" i="9"/>
  <c r="H1883" i="9"/>
  <c r="H1884" i="9"/>
  <c r="J1881" i="9"/>
  <c r="J1885" i="9"/>
  <c r="J1886" i="9"/>
  <c r="L1880" i="9"/>
  <c r="L1881" i="9"/>
  <c r="L1882" i="9"/>
  <c r="L1883" i="9"/>
  <c r="L1884" i="9"/>
  <c r="L1885" i="9"/>
  <c r="L1886" i="9"/>
  <c r="G1890" i="9"/>
  <c r="H1890" i="9" s="1"/>
  <c r="H1892" i="9"/>
  <c r="H1893" i="9"/>
  <c r="H1894" i="9"/>
  <c r="J1893" i="9"/>
  <c r="J1891" i="9"/>
  <c r="J1895" i="9"/>
  <c r="J1896" i="9"/>
  <c r="L1890" i="9"/>
  <c r="L1891" i="9"/>
  <c r="L1892" i="9"/>
  <c r="L1893" i="9"/>
  <c r="L1894" i="9"/>
  <c r="L1895" i="9"/>
  <c r="L1896" i="9"/>
  <c r="H1972" i="9"/>
  <c r="J1973" i="9"/>
  <c r="L1972" i="9"/>
  <c r="L1973" i="9"/>
  <c r="H1979" i="9"/>
  <c r="J1980" i="9"/>
  <c r="L1979" i="9"/>
  <c r="L1980" i="9"/>
  <c r="H1984" i="9"/>
  <c r="H1986" i="9"/>
  <c r="J1986" i="9"/>
  <c r="J1984" i="9"/>
  <c r="J1985" i="9"/>
  <c r="L1985" i="9"/>
  <c r="L1986" i="9"/>
  <c r="H1991" i="9"/>
  <c r="H1992" i="9"/>
  <c r="J1991" i="9"/>
  <c r="J1989" i="9"/>
  <c r="L1989" i="9"/>
  <c r="L1991" i="9"/>
  <c r="L1992" i="9"/>
  <c r="H2183" i="9"/>
  <c r="H2184" i="9"/>
  <c r="H2004" i="9"/>
  <c r="J2183" i="9"/>
  <c r="J2184" i="9"/>
  <c r="J2182" i="9"/>
  <c r="J2005" i="9"/>
  <c r="L2182" i="9"/>
  <c r="L2183" i="9"/>
  <c r="L2184" i="9"/>
  <c r="L2004" i="9"/>
  <c r="L2005" i="9"/>
  <c r="H2154" i="9"/>
  <c r="H2155" i="9"/>
  <c r="H2172" i="9"/>
  <c r="H2173" i="9"/>
  <c r="H2018" i="9"/>
  <c r="H2017" i="9"/>
  <c r="J2154" i="9"/>
  <c r="J2152" i="9"/>
  <c r="J2153" i="9"/>
  <c r="J2172" i="9"/>
  <c r="J2173" i="9"/>
  <c r="J2170" i="9"/>
  <c r="J2171" i="9"/>
  <c r="J2017" i="9"/>
  <c r="J2018" i="9"/>
  <c r="L2152" i="9"/>
  <c r="L2153" i="9"/>
  <c r="L2154" i="9"/>
  <c r="L2155" i="9"/>
  <c r="L2170" i="9"/>
  <c r="L2171" i="9"/>
  <c r="L2172" i="9"/>
  <c r="L2173" i="9"/>
  <c r="L2017" i="9"/>
  <c r="L2018" i="9"/>
  <c r="G2176" i="9"/>
  <c r="M2176" i="9" s="1"/>
  <c r="H2178" i="9"/>
  <c r="H2179" i="9"/>
  <c r="H2031" i="9"/>
  <c r="H2030" i="9"/>
  <c r="J2178" i="9"/>
  <c r="J2179" i="9"/>
  <c r="J2176" i="9"/>
  <c r="J2177" i="9"/>
  <c r="J2031" i="9"/>
  <c r="L2176" i="9"/>
  <c r="L2177" i="9"/>
  <c r="L2178" i="9"/>
  <c r="L2179" i="9"/>
  <c r="L2030" i="9"/>
  <c r="L2031" i="9"/>
  <c r="H2044" i="9"/>
  <c r="J2044" i="9"/>
  <c r="J2045" i="9"/>
  <c r="L2044" i="9"/>
  <c r="L2045" i="9"/>
  <c r="H2058" i="9"/>
  <c r="J2059" i="9"/>
  <c r="L2058" i="9"/>
  <c r="L2059" i="9"/>
  <c r="H2072" i="9"/>
  <c r="J2072" i="9"/>
  <c r="J2073" i="9"/>
  <c r="L2072" i="9"/>
  <c r="L2073" i="9"/>
  <c r="H2081" i="9"/>
  <c r="J2080" i="9"/>
  <c r="L2080" i="9"/>
  <c r="L2081" i="9"/>
  <c r="H2089" i="9"/>
  <c r="J2089" i="9"/>
  <c r="J2088" i="9"/>
  <c r="L2088" i="9"/>
  <c r="L2089" i="9"/>
  <c r="H2097" i="9"/>
  <c r="J2096" i="9"/>
  <c r="L2096" i="9"/>
  <c r="L2097" i="9"/>
  <c r="H2104" i="9"/>
  <c r="H2105" i="9"/>
  <c r="J2105" i="9"/>
  <c r="J2104" i="9"/>
  <c r="L2104" i="9"/>
  <c r="L2105" i="9"/>
  <c r="H2111" i="9"/>
  <c r="J2111" i="9"/>
  <c r="J2110" i="9"/>
  <c r="L2110" i="9"/>
  <c r="L2111" i="9"/>
  <c r="AI200" i="23"/>
  <c r="AK200" i="23"/>
  <c r="J2214" i="9"/>
  <c r="L2214" i="9"/>
  <c r="H2187" i="9"/>
  <c r="H2188" i="9"/>
  <c r="H2189" i="9"/>
  <c r="H2190" i="9"/>
  <c r="G2197" i="9"/>
  <c r="J2194" i="9"/>
  <c r="H2194" i="9"/>
  <c r="H2195" i="9"/>
  <c r="H2196" i="9"/>
  <c r="J2187" i="9"/>
  <c r="J2189" i="9"/>
  <c r="M1737" i="12"/>
  <c r="M1740" i="12" s="1"/>
  <c r="I2191" i="9" s="1"/>
  <c r="J2191" i="9" s="1"/>
  <c r="J2190" i="9"/>
  <c r="J2197" i="9"/>
  <c r="J2198" i="9"/>
  <c r="L2187" i="9"/>
  <c r="L2188" i="9"/>
  <c r="L2189" i="9"/>
  <c r="L2194" i="9"/>
  <c r="L2195" i="9"/>
  <c r="L2196" i="9"/>
  <c r="L2197" i="9"/>
  <c r="L2198" i="9"/>
  <c r="H2125" i="9"/>
  <c r="L2125" i="9"/>
  <c r="G2128" i="9"/>
  <c r="M2128" i="9" s="1"/>
  <c r="J2128" i="9"/>
  <c r="J2129" i="9" s="1"/>
  <c r="H378" i="4" s="1"/>
  <c r="I378" i="4" s="1"/>
  <c r="L2128" i="9"/>
  <c r="L2129" i="9" s="1"/>
  <c r="J378" i="4" s="1"/>
  <c r="K378" i="4" s="1"/>
  <c r="J2131" i="9"/>
  <c r="J2132" i="9" s="1"/>
  <c r="H379" i="4" s="1"/>
  <c r="I379" i="4" s="1"/>
  <c r="L2131" i="9"/>
  <c r="G2134" i="9"/>
  <c r="H2134" i="9" s="1"/>
  <c r="H2204" i="9"/>
  <c r="H2205" i="9"/>
  <c r="H2206" i="9"/>
  <c r="J2204" i="9"/>
  <c r="J2205" i="9"/>
  <c r="J2206" i="9"/>
  <c r="J2134" i="9"/>
  <c r="J2135" i="9"/>
  <c r="L2204" i="9"/>
  <c r="L2205" i="9"/>
  <c r="L2134" i="9"/>
  <c r="L2135" i="9"/>
  <c r="H2209" i="9"/>
  <c r="H2210" i="9"/>
  <c r="H2211" i="9"/>
  <c r="J2211" i="9"/>
  <c r="J2140" i="9"/>
  <c r="J2141" i="9"/>
  <c r="L2209" i="9"/>
  <c r="L2210" i="9"/>
  <c r="L2140" i="9"/>
  <c r="L2141" i="9"/>
  <c r="M892" i="9"/>
  <c r="J259" i="21"/>
  <c r="G259" i="21" s="1"/>
  <c r="E283" i="21" s="1"/>
  <c r="E258" i="21"/>
  <c r="L258" i="21" s="1"/>
  <c r="G283" i="21" s="1"/>
  <c r="I283" i="21"/>
  <c r="E269" i="21"/>
  <c r="H267" i="21"/>
  <c r="J267" i="21"/>
  <c r="L269" i="21"/>
  <c r="D272" i="21"/>
  <c r="F272" i="21"/>
  <c r="H272" i="21"/>
  <c r="J272" i="21"/>
  <c r="L272" i="21"/>
  <c r="N272" i="21"/>
  <c r="D273" i="21"/>
  <c r="F273" i="21"/>
  <c r="H273" i="21"/>
  <c r="J273" i="21"/>
  <c r="L273" i="21"/>
  <c r="N273" i="21"/>
  <c r="D274" i="21"/>
  <c r="F274" i="21"/>
  <c r="H274" i="21"/>
  <c r="J274" i="21"/>
  <c r="J847" i="21"/>
  <c r="G847" i="21" s="1"/>
  <c r="E872" i="21" s="1"/>
  <c r="E846" i="21"/>
  <c r="H846" i="21"/>
  <c r="I872" i="21"/>
  <c r="E857" i="21"/>
  <c r="H855" i="21"/>
  <c r="J855" i="21"/>
  <c r="L857" i="21"/>
  <c r="D860" i="21"/>
  <c r="F860" i="21"/>
  <c r="H860" i="21"/>
  <c r="J860" i="21"/>
  <c r="L860" i="21"/>
  <c r="N860" i="21"/>
  <c r="D861" i="21"/>
  <c r="F861" i="21"/>
  <c r="H861" i="21"/>
  <c r="J861" i="21"/>
  <c r="L861" i="21"/>
  <c r="N861" i="21"/>
  <c r="D862" i="21"/>
  <c r="F862" i="21"/>
  <c r="H862" i="21"/>
  <c r="J862" i="21"/>
  <c r="M972" i="9"/>
  <c r="M960" i="9"/>
  <c r="M951" i="9"/>
  <c r="M948" i="9"/>
  <c r="M939" i="9"/>
  <c r="M936" i="9"/>
  <c r="M926" i="9"/>
  <c r="M924" i="9"/>
  <c r="M903" i="9"/>
  <c r="M885" i="9"/>
  <c r="M875" i="9"/>
  <c r="M866" i="9"/>
  <c r="M812" i="9"/>
  <c r="M706" i="9"/>
  <c r="M108" i="9"/>
  <c r="M100" i="9"/>
  <c r="M846" i="9"/>
  <c r="O22" i="14"/>
  <c r="G18" i="14"/>
  <c r="R18" i="14" s="1"/>
  <c r="O19" i="14"/>
  <c r="O16" i="14"/>
  <c r="O13" i="14"/>
  <c r="O10" i="14"/>
  <c r="I49" i="14"/>
  <c r="I45" i="14"/>
  <c r="I42" i="14"/>
  <c r="O249" i="23"/>
  <c r="O251" i="23" s="1"/>
  <c r="O253" i="23" s="1"/>
  <c r="AI7" i="23"/>
  <c r="AI4" i="23"/>
  <c r="AF8" i="23"/>
  <c r="AB12" i="23"/>
  <c r="AK13" i="23" s="1"/>
  <c r="AF22" i="23"/>
  <c r="AJ32" i="23"/>
  <c r="AI103" i="23"/>
  <c r="AI100" i="23"/>
  <c r="AD104" i="23"/>
  <c r="AF104" i="23" s="1"/>
  <c r="AF118" i="23"/>
  <c r="O202" i="23"/>
  <c r="O204" i="23" s="1"/>
  <c r="O206" i="23" s="1"/>
  <c r="S211" i="23" s="1"/>
  <c r="O222" i="23"/>
  <c r="O224" i="23" s="1"/>
  <c r="O226" i="23" s="1"/>
  <c r="AJ128" i="23"/>
  <c r="AI151" i="23"/>
  <c r="AI148" i="23"/>
  <c r="AD152" i="23"/>
  <c r="AF152" i="23" s="1"/>
  <c r="AF166" i="23"/>
  <c r="AJ176" i="23"/>
  <c r="AJ178" i="23" s="1"/>
  <c r="O273" i="23"/>
  <c r="O275" i="23" s="1"/>
  <c r="O277" i="23" s="1"/>
  <c r="I108" i="23"/>
  <c r="C103" i="23" s="1"/>
  <c r="M1560" i="12"/>
  <c r="M2209" i="9"/>
  <c r="M2205" i="9"/>
  <c r="M2204" i="9"/>
  <c r="M2189" i="9"/>
  <c r="M2187" i="9"/>
  <c r="M2184" i="9"/>
  <c r="M2183" i="9"/>
  <c r="M2173" i="9"/>
  <c r="M2172" i="9"/>
  <c r="M2154" i="9"/>
  <c r="M2111" i="9"/>
  <c r="M2105" i="9"/>
  <c r="M2081" i="9"/>
  <c r="M2072" i="9"/>
  <c r="M2044" i="9"/>
  <c r="M2030" i="9"/>
  <c r="M1991" i="9"/>
  <c r="M1894" i="9"/>
  <c r="M1873" i="9"/>
  <c r="M1872" i="9"/>
  <c r="M1854" i="9"/>
  <c r="M1832" i="9"/>
  <c r="M1813" i="9"/>
  <c r="M1785" i="9"/>
  <c r="M1757" i="9"/>
  <c r="M1747" i="9"/>
  <c r="M1728" i="9"/>
  <c r="M1727" i="9"/>
  <c r="M1709" i="9"/>
  <c r="M1701" i="9"/>
  <c r="M1645" i="9"/>
  <c r="M1644" i="9"/>
  <c r="M1636" i="9"/>
  <c r="M1630" i="9"/>
  <c r="M1596" i="9"/>
  <c r="M1591" i="9"/>
  <c r="M667" i="12"/>
  <c r="M1655" i="12"/>
  <c r="M1636" i="12"/>
  <c r="M1617" i="12"/>
  <c r="M1541" i="12"/>
  <c r="M1522" i="12"/>
  <c r="M1503" i="12"/>
  <c r="M1484" i="12"/>
  <c r="M1224" i="9"/>
  <c r="M1203" i="9"/>
  <c r="M1196" i="9"/>
  <c r="M1182" i="9"/>
  <c r="M1168" i="9"/>
  <c r="M1154" i="9"/>
  <c r="M1140" i="9"/>
  <c r="M1033" i="9"/>
  <c r="J319" i="23"/>
  <c r="H317" i="23" s="1"/>
  <c r="H320" i="23"/>
  <c r="H321" i="23" s="1"/>
  <c r="J202" i="23"/>
  <c r="H200" i="23" s="1"/>
  <c r="H206" i="23" s="1"/>
  <c r="H203" i="23"/>
  <c r="H204" i="23" s="1"/>
  <c r="M795" i="9"/>
  <c r="M744" i="9"/>
  <c r="M738" i="9"/>
  <c r="M719" i="9"/>
  <c r="M701" i="9"/>
  <c r="M667" i="9"/>
  <c r="O271" i="23"/>
  <c r="T262" i="23"/>
  <c r="O247" i="23"/>
  <c r="O220" i="23"/>
  <c r="O200" i="23"/>
  <c r="O149" i="23"/>
  <c r="O52" i="23"/>
  <c r="O166" i="23"/>
  <c r="O127" i="23"/>
  <c r="O71" i="23"/>
  <c r="O30" i="23"/>
  <c r="AL105" i="23"/>
  <c r="AI155" i="23"/>
  <c r="AL153" i="23"/>
  <c r="AI107" i="23"/>
  <c r="AI11" i="23"/>
  <c r="AL9" i="23"/>
  <c r="I228" i="23"/>
  <c r="C225" i="23" s="1"/>
  <c r="C227" i="23" s="1"/>
  <c r="C229" i="23" s="1"/>
  <c r="C273" i="23"/>
  <c r="C275" i="23" s="1"/>
  <c r="C271" i="23"/>
  <c r="E242" i="23"/>
  <c r="E266" i="23" s="1"/>
  <c r="B242" i="23"/>
  <c r="B266" i="23" s="1"/>
  <c r="C249" i="23"/>
  <c r="C251" i="23" s="1"/>
  <c r="C247" i="23"/>
  <c r="C151" i="23"/>
  <c r="E122" i="23"/>
  <c r="E146" i="23" s="1"/>
  <c r="B122" i="23"/>
  <c r="B146" i="23" s="1"/>
  <c r="C81" i="23"/>
  <c r="G90" i="23" s="1"/>
  <c r="C79" i="23"/>
  <c r="C27" i="23"/>
  <c r="C39" i="23"/>
  <c r="AL57" i="23"/>
  <c r="AI59" i="23"/>
  <c r="C127" i="23"/>
  <c r="AE30" i="22"/>
  <c r="AL30" i="22" s="1"/>
  <c r="AQ30" i="22" s="1"/>
  <c r="AS30" i="22" s="1"/>
  <c r="AL28" i="22"/>
  <c r="AQ28" i="22" s="1"/>
  <c r="AS28" i="22" s="1"/>
  <c r="E5" i="22"/>
  <c r="I5" i="22" s="1"/>
  <c r="H22" i="22"/>
  <c r="E16" i="22"/>
  <c r="J1046" i="21"/>
  <c r="G1046" i="21" s="1"/>
  <c r="E1065" i="21" s="1"/>
  <c r="F1045" i="21"/>
  <c r="H1045" i="21"/>
  <c r="I1065" i="21"/>
  <c r="E1051" i="21"/>
  <c r="D1054" i="21"/>
  <c r="E1055" i="21" s="1"/>
  <c r="J1055" i="21" s="1"/>
  <c r="E1053" i="21" s="1"/>
  <c r="F1054" i="21"/>
  <c r="H1054" i="21"/>
  <c r="J1054" i="21"/>
  <c r="E1037" i="21"/>
  <c r="D1037" i="21"/>
  <c r="C1035" i="21"/>
  <c r="I647" i="21"/>
  <c r="E647" i="21"/>
  <c r="D647" i="21"/>
  <c r="C645" i="21"/>
  <c r="E596" i="21"/>
  <c r="D596" i="21"/>
  <c r="C594" i="21"/>
  <c r="E59" i="21"/>
  <c r="D59" i="21"/>
  <c r="C57" i="21"/>
  <c r="E8" i="21"/>
  <c r="D8" i="21"/>
  <c r="C6" i="21"/>
  <c r="D1254" i="11"/>
  <c r="D1251" i="11"/>
  <c r="D1248" i="11"/>
  <c r="M1244" i="11"/>
  <c r="L1244" i="11"/>
  <c r="K1244" i="11"/>
  <c r="J1244" i="11"/>
  <c r="I1244" i="11"/>
  <c r="H1244" i="11"/>
  <c r="G1244" i="11"/>
  <c r="F1244" i="11"/>
  <c r="E1244" i="11"/>
  <c r="D1244" i="11"/>
  <c r="C1244" i="11"/>
  <c r="D1219" i="11"/>
  <c r="D1216" i="11"/>
  <c r="D1213" i="11"/>
  <c r="M1209" i="11"/>
  <c r="L1209" i="11"/>
  <c r="K1209" i="11"/>
  <c r="J1209" i="11"/>
  <c r="I1209" i="11"/>
  <c r="H1209" i="11"/>
  <c r="G1209" i="11"/>
  <c r="F1209" i="11"/>
  <c r="E1209" i="11"/>
  <c r="D1209" i="11"/>
  <c r="C1209" i="11"/>
  <c r="D1184" i="11"/>
  <c r="D1181" i="11"/>
  <c r="D1178" i="11"/>
  <c r="M1174" i="11"/>
  <c r="L1174" i="11"/>
  <c r="K1174" i="11"/>
  <c r="J1174" i="11"/>
  <c r="I1174" i="11"/>
  <c r="H1174" i="11"/>
  <c r="G1174" i="11"/>
  <c r="F1174" i="11"/>
  <c r="E1174" i="11"/>
  <c r="D1174" i="11"/>
  <c r="C1174" i="11"/>
  <c r="E618" i="11"/>
  <c r="E621" i="11"/>
  <c r="E624" i="11"/>
  <c r="E653" i="11"/>
  <c r="E656" i="11"/>
  <c r="E659" i="11"/>
  <c r="E688" i="11"/>
  <c r="E691" i="11"/>
  <c r="E694" i="11"/>
  <c r="E723" i="11"/>
  <c r="E726" i="11"/>
  <c r="E729" i="11"/>
  <c r="G754" i="11"/>
  <c r="C754" i="11"/>
  <c r="E754" i="11"/>
  <c r="I754" i="11"/>
  <c r="G789" i="11"/>
  <c r="C789" i="11"/>
  <c r="E789" i="11"/>
  <c r="I789" i="11"/>
  <c r="C824" i="11"/>
  <c r="O824" i="11" s="1"/>
  <c r="C859" i="11"/>
  <c r="O859" i="11" s="1"/>
  <c r="E866" i="11" s="1"/>
  <c r="C894" i="11"/>
  <c r="E894" i="11"/>
  <c r="G894" i="11"/>
  <c r="I894" i="11"/>
  <c r="K894" i="11"/>
  <c r="M894" i="11"/>
  <c r="C969" i="11"/>
  <c r="C970" i="11" s="1"/>
  <c r="C966" i="11"/>
  <c r="E966" i="11"/>
  <c r="G966" i="11"/>
  <c r="I966" i="11"/>
  <c r="K966" i="11"/>
  <c r="K967" i="11"/>
  <c r="M967" i="11"/>
  <c r="C972" i="11"/>
  <c r="C973" i="11" s="1"/>
  <c r="C975" i="11"/>
  <c r="C976" i="11" s="1"/>
  <c r="C999" i="11"/>
  <c r="E999" i="11"/>
  <c r="G999" i="11"/>
  <c r="I999" i="11"/>
  <c r="K999" i="11"/>
  <c r="M999" i="11"/>
  <c r="C1034" i="11"/>
  <c r="E1034" i="11"/>
  <c r="G1034" i="11"/>
  <c r="I1034" i="11"/>
  <c r="K1034" i="11"/>
  <c r="M1034" i="11"/>
  <c r="O1034" i="11"/>
  <c r="D1149" i="11"/>
  <c r="D1146" i="11"/>
  <c r="D1143" i="11"/>
  <c r="M1139" i="11"/>
  <c r="L1139" i="11"/>
  <c r="K1139" i="11"/>
  <c r="J1139" i="11"/>
  <c r="I1139" i="11"/>
  <c r="H1139" i="11"/>
  <c r="G1139" i="11"/>
  <c r="F1139" i="11"/>
  <c r="E1139" i="11"/>
  <c r="D1139" i="11"/>
  <c r="C1139" i="11"/>
  <c r="D589" i="11"/>
  <c r="D586" i="11"/>
  <c r="D583" i="11"/>
  <c r="L579" i="11"/>
  <c r="J579" i="11"/>
  <c r="H579" i="11"/>
  <c r="F579" i="11"/>
  <c r="D579" i="11"/>
  <c r="D554" i="11"/>
  <c r="D551" i="11"/>
  <c r="D548" i="11"/>
  <c r="L544" i="11"/>
  <c r="J544" i="11"/>
  <c r="H544" i="11"/>
  <c r="F544" i="11"/>
  <c r="D544" i="11"/>
  <c r="D519" i="11"/>
  <c r="D516" i="11"/>
  <c r="D513" i="11"/>
  <c r="L509" i="11"/>
  <c r="J509" i="11"/>
  <c r="H509" i="11"/>
  <c r="F509" i="11"/>
  <c r="D509" i="11"/>
  <c r="D484" i="11"/>
  <c r="D481" i="11"/>
  <c r="D478" i="11"/>
  <c r="L474" i="11"/>
  <c r="J474" i="11"/>
  <c r="H474" i="11"/>
  <c r="F474" i="11"/>
  <c r="D474" i="11"/>
  <c r="D449" i="11"/>
  <c r="D446" i="11"/>
  <c r="D443" i="11"/>
  <c r="L439" i="11"/>
  <c r="J439" i="11"/>
  <c r="H439" i="11"/>
  <c r="F439" i="11"/>
  <c r="D439" i="11"/>
  <c r="M513" i="9"/>
  <c r="D274" i="11"/>
  <c r="D271" i="11"/>
  <c r="D268" i="11"/>
  <c r="L264" i="11"/>
  <c r="J264" i="11"/>
  <c r="H264" i="11"/>
  <c r="F264" i="11"/>
  <c r="D264" i="11"/>
  <c r="D414" i="11"/>
  <c r="D411" i="11"/>
  <c r="D408" i="11"/>
  <c r="L404" i="11"/>
  <c r="J404" i="11"/>
  <c r="H404" i="11"/>
  <c r="F404" i="11"/>
  <c r="D404" i="11"/>
  <c r="D99" i="11"/>
  <c r="D96" i="11"/>
  <c r="D93" i="11"/>
  <c r="L89" i="11"/>
  <c r="J89" i="11"/>
  <c r="H89" i="11"/>
  <c r="F89" i="11"/>
  <c r="D89" i="11"/>
  <c r="D1114" i="11"/>
  <c r="D1111" i="11"/>
  <c r="D1108" i="11"/>
  <c r="M1104" i="11"/>
  <c r="L1104" i="11"/>
  <c r="K1104" i="11"/>
  <c r="J1104" i="11"/>
  <c r="I1104" i="11"/>
  <c r="H1104" i="11"/>
  <c r="G1104" i="11"/>
  <c r="F1104" i="11"/>
  <c r="E1104" i="11"/>
  <c r="D1104" i="11"/>
  <c r="C1104" i="11"/>
  <c r="D1079" i="11"/>
  <c r="D1076" i="11"/>
  <c r="D1073" i="11"/>
  <c r="M1069" i="11"/>
  <c r="L1069" i="11"/>
  <c r="K1069" i="11"/>
  <c r="J1069" i="11"/>
  <c r="I1069" i="11"/>
  <c r="H1069" i="11"/>
  <c r="G1069" i="11"/>
  <c r="F1069" i="11"/>
  <c r="E1069" i="11"/>
  <c r="D1069" i="11"/>
  <c r="C1069" i="11"/>
  <c r="M309" i="9"/>
  <c r="M302" i="9"/>
  <c r="M295" i="9"/>
  <c r="M288" i="9"/>
  <c r="M281" i="9"/>
  <c r="M274" i="9"/>
  <c r="M269" i="9"/>
  <c r="M264" i="9"/>
  <c r="M259" i="9"/>
  <c r="M88" i="9"/>
  <c r="M83" i="9"/>
  <c r="M74" i="9"/>
  <c r="M65" i="9"/>
  <c r="D1044" i="11"/>
  <c r="D1041" i="11"/>
  <c r="D1038" i="11"/>
  <c r="L1034" i="11"/>
  <c r="J1034" i="11"/>
  <c r="H1034" i="11"/>
  <c r="F1034" i="11"/>
  <c r="D1034" i="11"/>
  <c r="C940" i="11"/>
  <c r="C941" i="11" s="1"/>
  <c r="C931" i="11"/>
  <c r="E931" i="11"/>
  <c r="G931" i="11"/>
  <c r="I931" i="11"/>
  <c r="K931" i="11"/>
  <c r="K932" i="11"/>
  <c r="M932" i="11"/>
  <c r="C937" i="11"/>
  <c r="C938" i="11" s="1"/>
  <c r="C934" i="11"/>
  <c r="C935" i="11" s="1"/>
  <c r="D1009" i="11"/>
  <c r="D1006" i="11"/>
  <c r="D1003" i="11"/>
  <c r="L999" i="11"/>
  <c r="J999" i="11"/>
  <c r="H999" i="11"/>
  <c r="F999" i="11"/>
  <c r="D999" i="11"/>
  <c r="D976" i="11"/>
  <c r="D973" i="11"/>
  <c r="D970" i="11"/>
  <c r="L966" i="11"/>
  <c r="J966" i="11"/>
  <c r="H966" i="11"/>
  <c r="F966" i="11"/>
  <c r="D966" i="11"/>
  <c r="D941" i="11"/>
  <c r="D938" i="11"/>
  <c r="D935" i="11"/>
  <c r="L931" i="11"/>
  <c r="J931" i="11"/>
  <c r="H931" i="11"/>
  <c r="F931" i="11"/>
  <c r="D931" i="11"/>
  <c r="D904" i="11"/>
  <c r="D901" i="11"/>
  <c r="D898" i="11"/>
  <c r="L894" i="11"/>
  <c r="J894" i="11"/>
  <c r="H894" i="11"/>
  <c r="F894" i="11"/>
  <c r="D894" i="11"/>
  <c r="M9" i="14"/>
  <c r="M10" i="14" s="1"/>
  <c r="M12" i="14" s="1"/>
  <c r="M13" i="14" s="1"/>
  <c r="M15" i="14" s="1"/>
  <c r="M16" i="14" s="1"/>
  <c r="M18" i="14" s="1"/>
  <c r="M19" i="14" s="1"/>
  <c r="M21" i="14" s="1"/>
  <c r="M22" i="14" s="1"/>
  <c r="D869" i="11"/>
  <c r="D866" i="11"/>
  <c r="D863" i="11"/>
  <c r="D834" i="11"/>
  <c r="D831" i="11"/>
  <c r="D828" i="11"/>
  <c r="D799" i="11"/>
  <c r="D796" i="11"/>
  <c r="D793" i="11"/>
  <c r="H789" i="11"/>
  <c r="F789" i="11"/>
  <c r="D789" i="11"/>
  <c r="D764" i="11"/>
  <c r="D761" i="11"/>
  <c r="D758" i="11"/>
  <c r="H754" i="11"/>
  <c r="F754" i="11"/>
  <c r="D754" i="11"/>
  <c r="D729" i="11"/>
  <c r="D726" i="11"/>
  <c r="D723" i="11"/>
  <c r="M719" i="11"/>
  <c r="L719" i="11"/>
  <c r="K719" i="11"/>
  <c r="J719" i="11"/>
  <c r="I719" i="11"/>
  <c r="H719" i="11"/>
  <c r="G719" i="11"/>
  <c r="F719" i="11"/>
  <c r="E719" i="11"/>
  <c r="D719" i="11"/>
  <c r="C719" i="11"/>
  <c r="D694" i="11"/>
  <c r="D691" i="11"/>
  <c r="D688" i="11"/>
  <c r="M684" i="11"/>
  <c r="L684" i="11"/>
  <c r="K684" i="11"/>
  <c r="J684" i="11"/>
  <c r="I684" i="11"/>
  <c r="H684" i="11"/>
  <c r="G684" i="11"/>
  <c r="F684" i="11"/>
  <c r="E684" i="11"/>
  <c r="D684" i="11"/>
  <c r="C684" i="11"/>
  <c r="C649" i="11"/>
  <c r="E649" i="11"/>
  <c r="G649" i="11"/>
  <c r="I649" i="11"/>
  <c r="K649" i="11"/>
  <c r="M649" i="11"/>
  <c r="D659" i="11"/>
  <c r="D656" i="11"/>
  <c r="D653" i="11"/>
  <c r="L649" i="11"/>
  <c r="J649" i="11"/>
  <c r="H649" i="11"/>
  <c r="F649" i="11"/>
  <c r="D649" i="11"/>
  <c r="C614" i="11"/>
  <c r="E614" i="11"/>
  <c r="G614" i="11"/>
  <c r="I614" i="11"/>
  <c r="K614" i="11"/>
  <c r="M614" i="11"/>
  <c r="D624" i="11"/>
  <c r="D621" i="11"/>
  <c r="D618" i="11"/>
  <c r="L614" i="11"/>
  <c r="J614" i="11"/>
  <c r="H614" i="11"/>
  <c r="F614" i="11"/>
  <c r="D614" i="11"/>
  <c r="D379" i="11"/>
  <c r="D376" i="11"/>
  <c r="D373" i="11"/>
  <c r="L369" i="11"/>
  <c r="J369" i="11"/>
  <c r="H369" i="11"/>
  <c r="F369" i="11"/>
  <c r="D369" i="11"/>
  <c r="D344" i="11"/>
  <c r="D341" i="11"/>
  <c r="D338" i="11"/>
  <c r="L334" i="11"/>
  <c r="J334" i="11"/>
  <c r="H334" i="11"/>
  <c r="F334" i="11"/>
  <c r="D334" i="11"/>
  <c r="D204" i="11"/>
  <c r="D201" i="11"/>
  <c r="D198" i="11"/>
  <c r="L194" i="11"/>
  <c r="J194" i="11"/>
  <c r="H194" i="11"/>
  <c r="F194" i="11"/>
  <c r="D194" i="11"/>
  <c r="D134" i="11"/>
  <c r="D131" i="11"/>
  <c r="D128" i="11"/>
  <c r="L124" i="11"/>
  <c r="J124" i="11"/>
  <c r="H124" i="11"/>
  <c r="F124" i="11"/>
  <c r="D124" i="11"/>
  <c r="D64" i="11"/>
  <c r="D61" i="11"/>
  <c r="D58" i="11"/>
  <c r="L54" i="11"/>
  <c r="J54" i="11"/>
  <c r="H54" i="11"/>
  <c r="F54" i="11"/>
  <c r="D54" i="11"/>
  <c r="D29" i="11"/>
  <c r="D26" i="11"/>
  <c r="D23" i="11"/>
  <c r="L19" i="11"/>
  <c r="J19" i="11"/>
  <c r="H19" i="11"/>
  <c r="F19" i="11"/>
  <c r="D19" i="11"/>
  <c r="I9" i="14"/>
  <c r="I10" i="14" s="1"/>
  <c r="I12" i="14" s="1"/>
  <c r="I13" i="14" s="1"/>
  <c r="I15" i="14" s="1"/>
  <c r="I16" i="14" s="1"/>
  <c r="I18" i="14" s="1"/>
  <c r="I19" i="14" s="1"/>
  <c r="I21" i="14" s="1"/>
  <c r="I22" i="14" s="1"/>
  <c r="K9" i="14"/>
  <c r="K10" i="14" s="1"/>
  <c r="K12" i="14" s="1"/>
  <c r="K13" i="14" s="1"/>
  <c r="K15" i="14" s="1"/>
  <c r="K16" i="14" s="1"/>
  <c r="K18" i="14" s="1"/>
  <c r="K19" i="14" s="1"/>
  <c r="K21" i="14" s="1"/>
  <c r="K22" i="14" s="1"/>
  <c r="C13" i="14"/>
  <c r="C16" i="14" s="1"/>
  <c r="E13" i="14"/>
  <c r="E16" i="14" s="1"/>
  <c r="E19" i="14" s="1"/>
  <c r="E22" i="14" s="1"/>
  <c r="C19" i="14"/>
  <c r="C22" i="14" s="1"/>
  <c r="I27" i="14"/>
  <c r="G28" i="14"/>
  <c r="H35" i="14"/>
  <c r="H37" i="14" s="1"/>
  <c r="G42" i="14"/>
  <c r="C45" i="14"/>
  <c r="C49" i="14" s="1"/>
  <c r="G45" i="14"/>
  <c r="G49" i="14"/>
  <c r="K2206" i="9"/>
  <c r="L2206" i="9" s="1"/>
  <c r="J2195" i="9"/>
  <c r="M1876" i="9"/>
  <c r="M2110" i="9"/>
  <c r="H2088" i="9"/>
  <c r="E1010" i="21"/>
  <c r="J1010" i="21" s="1"/>
  <c r="E1007" i="21" s="1"/>
  <c r="E422" i="21"/>
  <c r="J422" i="21" s="1"/>
  <c r="E419" i="21" s="1"/>
  <c r="G1123" i="9"/>
  <c r="M1123" i="9" s="1"/>
  <c r="H2080" i="9"/>
  <c r="M1973" i="9"/>
  <c r="H678" i="9"/>
  <c r="G1122" i="9"/>
  <c r="M1122" i="9" s="1"/>
  <c r="G139" i="9"/>
  <c r="G129" i="9"/>
  <c r="H129" i="9" s="1"/>
  <c r="G209" i="9"/>
  <c r="M209" i="9" s="1"/>
  <c r="G1121" i="9"/>
  <c r="G198" i="9"/>
  <c r="M198" i="9" s="1"/>
  <c r="F161" i="18"/>
  <c r="F379" i="18"/>
  <c r="F478" i="18"/>
  <c r="F621" i="18"/>
  <c r="F421" i="18"/>
  <c r="E421" i="18" s="1"/>
  <c r="F547" i="18"/>
  <c r="E547" i="18" s="1"/>
  <c r="F563" i="18"/>
  <c r="E563" i="18" s="1"/>
  <c r="F588" i="18"/>
  <c r="E588" i="18" s="1"/>
  <c r="F604" i="18"/>
  <c r="E604" i="18" s="1"/>
  <c r="F26" i="18"/>
  <c r="F95" i="18"/>
  <c r="F225" i="18"/>
  <c r="F360" i="18"/>
  <c r="M2104" i="9"/>
  <c r="J337" i="9"/>
  <c r="N337" i="9" s="1"/>
  <c r="J330" i="9"/>
  <c r="M2088" i="9"/>
  <c r="H1846" i="9"/>
  <c r="M1846" i="9"/>
  <c r="H2096" i="9"/>
  <c r="M2096" i="9"/>
  <c r="H2073" i="9"/>
  <c r="M2073" i="9"/>
  <c r="H1980" i="9"/>
  <c r="M1980" i="9"/>
  <c r="J31" i="9"/>
  <c r="N31" i="9" s="1"/>
  <c r="M2080" i="9"/>
  <c r="H2110" i="9"/>
  <c r="H2045" i="9"/>
  <c r="M2045" i="9"/>
  <c r="J32" i="9"/>
  <c r="J53" i="9"/>
  <c r="M275" i="9"/>
  <c r="J397" i="9"/>
  <c r="M436" i="9"/>
  <c r="M447" i="9"/>
  <c r="M516" i="9"/>
  <c r="M906" i="9"/>
  <c r="M927" i="9"/>
  <c r="M950" i="9"/>
  <c r="M974" i="9"/>
  <c r="M1117" i="9"/>
  <c r="J1548" i="9"/>
  <c r="J1572" i="9"/>
  <c r="N1572" i="9" s="1"/>
  <c r="J1603" i="9"/>
  <c r="M1603" i="9"/>
  <c r="J1627" i="9"/>
  <c r="M1627" i="9"/>
  <c r="J1639" i="9"/>
  <c r="M1639" i="9"/>
  <c r="H2059" i="9"/>
  <c r="M2059" i="9"/>
  <c r="H2005" i="9"/>
  <c r="M2005" i="9"/>
  <c r="J25" i="9"/>
  <c r="M62" i="9"/>
  <c r="J119" i="9"/>
  <c r="M270" i="9"/>
  <c r="M282" i="9"/>
  <c r="M296" i="9"/>
  <c r="J325" i="9"/>
  <c r="J378" i="9"/>
  <c r="J390" i="9"/>
  <c r="J402" i="9"/>
  <c r="M431" i="9"/>
  <c r="M535" i="9"/>
  <c r="M750" i="9"/>
  <c r="M792" i="9"/>
  <c r="J792" i="9"/>
  <c r="M797" i="9"/>
  <c r="L798" i="9"/>
  <c r="J920" i="9"/>
  <c r="N920" i="9" s="1"/>
  <c r="H1973" i="9"/>
  <c r="N1973" i="9" s="1"/>
  <c r="M2018" i="9"/>
  <c r="M2031" i="9"/>
  <c r="M1000" i="9"/>
  <c r="M714" i="9"/>
  <c r="J447" i="9"/>
  <c r="J1615" i="9"/>
  <c r="J1805" i="9"/>
  <c r="M1805" i="9"/>
  <c r="J1833" i="9"/>
  <c r="J1842" i="9"/>
  <c r="M1842" i="9"/>
  <c r="J1844" i="9"/>
  <c r="J1882" i="9"/>
  <c r="M1882" i="9"/>
  <c r="J1884" i="9"/>
  <c r="N1884" i="9" s="1"/>
  <c r="M1739" i="9"/>
  <c r="J1767" i="9"/>
  <c r="J1765" i="9"/>
  <c r="M1972" i="9"/>
  <c r="H1836" i="9"/>
  <c r="J2148" i="9"/>
  <c r="J2160" i="9"/>
  <c r="J2166" i="9"/>
  <c r="A76" i="11"/>
  <c r="O465" i="9" s="1"/>
  <c r="O462" i="9"/>
  <c r="O19" i="11"/>
  <c r="E26" i="11" s="1"/>
  <c r="O124" i="11"/>
  <c r="A111" i="11"/>
  <c r="A146" i="11" s="1"/>
  <c r="G403" i="9"/>
  <c r="H403" i="9" s="1"/>
  <c r="E863" i="11"/>
  <c r="G577" i="21"/>
  <c r="K577" i="21" s="1"/>
  <c r="F24" i="18"/>
  <c r="F93" i="18"/>
  <c r="F221" i="18"/>
  <c r="F358" i="18"/>
  <c r="F456" i="18"/>
  <c r="F472" i="18"/>
  <c r="F489" i="18"/>
  <c r="F506" i="18"/>
  <c r="F522" i="18"/>
  <c r="F615" i="18"/>
  <c r="F531" i="18"/>
  <c r="F40" i="18"/>
  <c r="E40" i="18" s="1"/>
  <c r="F97" i="18"/>
  <c r="E97" i="18" s="1"/>
  <c r="H746" i="12" s="1"/>
  <c r="M746" i="12" s="1"/>
  <c r="F129" i="18"/>
  <c r="E129" i="18" s="1"/>
  <c r="F182" i="18"/>
  <c r="E182" i="18" s="1"/>
  <c r="F230" i="18"/>
  <c r="E230" i="18" s="1"/>
  <c r="F319" i="18"/>
  <c r="E319" i="18" s="1"/>
  <c r="M1896" i="9"/>
  <c r="F432" i="18"/>
  <c r="F41" i="18"/>
  <c r="E41" i="18" s="1"/>
  <c r="F62" i="18"/>
  <c r="E62" i="18" s="1"/>
  <c r="F91" i="18"/>
  <c r="E91" i="18" s="1"/>
  <c r="F110" i="18"/>
  <c r="E110" i="18" s="1"/>
  <c r="F126" i="18"/>
  <c r="E126" i="18" s="1"/>
  <c r="F143" i="18"/>
  <c r="E143" i="18" s="1"/>
  <c r="H803" i="12" s="1"/>
  <c r="M803" i="12" s="1"/>
  <c r="F177" i="18"/>
  <c r="E177" i="18" s="1"/>
  <c r="F193" i="18"/>
  <c r="E193" i="18" s="1"/>
  <c r="F218" i="18"/>
  <c r="F331" i="18"/>
  <c r="E331" i="18" s="1"/>
  <c r="F348" i="18"/>
  <c r="E348" i="18" s="1"/>
  <c r="F375" i="18"/>
  <c r="E375" i="18" s="1"/>
  <c r="H1468" i="12" s="1"/>
  <c r="M1468" i="12" s="1"/>
  <c r="F403" i="18"/>
  <c r="E403" i="18" s="1"/>
  <c r="F428" i="18"/>
  <c r="E428" i="18" s="1"/>
  <c r="F544" i="18"/>
  <c r="E544" i="18" s="1"/>
  <c r="F552" i="18"/>
  <c r="E552" i="18" s="1"/>
  <c r="F560" i="18"/>
  <c r="E560" i="18" s="1"/>
  <c r="F570" i="18"/>
  <c r="E570" i="18" s="1"/>
  <c r="F585" i="18"/>
  <c r="E585" i="18" s="1"/>
  <c r="F593" i="18"/>
  <c r="E593" i="18" s="1"/>
  <c r="F601" i="18"/>
  <c r="E601" i="18" s="1"/>
  <c r="F23" i="18"/>
  <c r="F51" i="18"/>
  <c r="F77" i="18"/>
  <c r="F164" i="18"/>
  <c r="F216" i="18"/>
  <c r="F264" i="18"/>
  <c r="F357" i="18"/>
  <c r="F382" i="18"/>
  <c r="F429" i="18"/>
  <c r="F449" i="18"/>
  <c r="F250" i="18"/>
  <c r="E250" i="18" s="1"/>
  <c r="F258" i="18"/>
  <c r="E258" i="18" s="1"/>
  <c r="F276" i="18"/>
  <c r="E276" i="18" s="1"/>
  <c r="H1259" i="12" s="1"/>
  <c r="M1259" i="12" s="1"/>
  <c r="K1458" i="9" s="1"/>
  <c r="L1458" i="9" s="1"/>
  <c r="L1459" i="9" s="1"/>
  <c r="J280" i="4" s="1"/>
  <c r="K280" i="4" s="1"/>
  <c r="F291" i="18"/>
  <c r="E291" i="18" s="1"/>
  <c r="F299" i="18"/>
  <c r="E299" i="18" s="1"/>
  <c r="F307" i="18"/>
  <c r="E307" i="18" s="1"/>
  <c r="F455" i="18"/>
  <c r="F471" i="18"/>
  <c r="F488" i="18"/>
  <c r="F501" i="18"/>
  <c r="F509" i="18"/>
  <c r="F517" i="18"/>
  <c r="F525" i="18"/>
  <c r="F610" i="18"/>
  <c r="F618" i="18"/>
  <c r="F626" i="18"/>
  <c r="F534" i="18"/>
  <c r="F5" i="18"/>
  <c r="E5" i="18" s="1"/>
  <c r="F59" i="18"/>
  <c r="E59" i="18" s="1"/>
  <c r="F88" i="18"/>
  <c r="E88" i="18" s="1"/>
  <c r="F107" i="18"/>
  <c r="E107" i="18" s="1"/>
  <c r="F123" i="18"/>
  <c r="E123" i="18" s="1"/>
  <c r="F139" i="18"/>
  <c r="E139" i="18" s="1"/>
  <c r="F176" i="18"/>
  <c r="E176" i="18" s="1"/>
  <c r="F192" i="18"/>
  <c r="E192" i="18" s="1"/>
  <c r="F217" i="18"/>
  <c r="E217" i="18" s="1"/>
  <c r="F323" i="18"/>
  <c r="E323" i="18" s="1"/>
  <c r="F332" i="18"/>
  <c r="E332" i="18" s="1"/>
  <c r="F349" i="18"/>
  <c r="E349" i="18" s="1"/>
  <c r="F385" i="18"/>
  <c r="E385" i="18" s="1"/>
  <c r="F541" i="18"/>
  <c r="E541" i="18" s="1"/>
  <c r="F557" i="18"/>
  <c r="E557" i="18" s="1"/>
  <c r="F575" i="18"/>
  <c r="E575" i="18" s="1"/>
  <c r="F582" i="18"/>
  <c r="E582" i="18" s="1"/>
  <c r="F430" i="18"/>
  <c r="F441" i="18"/>
  <c r="F450" i="18"/>
  <c r="F43" i="18"/>
  <c r="E43" i="18" s="1"/>
  <c r="F64" i="18"/>
  <c r="E64" i="18" s="1"/>
  <c r="F85" i="18"/>
  <c r="E85" i="18" s="1"/>
  <c r="H651" i="12" s="1"/>
  <c r="M651" i="12" s="1"/>
  <c r="K1374" i="9" s="1"/>
  <c r="L1374" i="9" s="1"/>
  <c r="L1375" i="9" s="1"/>
  <c r="J252" i="4" s="1"/>
  <c r="K252" i="4" s="1"/>
  <c r="F96" i="18"/>
  <c r="E96" i="18" s="1"/>
  <c r="F104" i="18"/>
  <c r="E104" i="18" s="1"/>
  <c r="F112" i="18"/>
  <c r="E112" i="18" s="1"/>
  <c r="F120" i="18"/>
  <c r="E120" i="18" s="1"/>
  <c r="F128" i="18"/>
  <c r="E128" i="18" s="1"/>
  <c r="F136" i="18"/>
  <c r="E136" i="18" s="1"/>
  <c r="F144" i="18"/>
  <c r="E144" i="18" s="1"/>
  <c r="H822" i="12" s="1"/>
  <c r="M822" i="12" s="1"/>
  <c r="K1395" i="9" s="1"/>
  <c r="L1395" i="9" s="1"/>
  <c r="L1396" i="9" s="1"/>
  <c r="J259" i="4" s="1"/>
  <c r="K259" i="4" s="1"/>
  <c r="F155" i="18"/>
  <c r="E155" i="18" s="1"/>
  <c r="F179" i="18"/>
  <c r="E179" i="18" s="1"/>
  <c r="F187" i="18"/>
  <c r="E187" i="18" s="1"/>
  <c r="F195" i="18"/>
  <c r="E195" i="18" s="1"/>
  <c r="F203" i="18"/>
  <c r="E203" i="18" s="1"/>
  <c r="F220" i="18"/>
  <c r="E220" i="18" s="1"/>
  <c r="F235" i="18"/>
  <c r="E235" i="18" s="1"/>
  <c r="H1145" i="12" s="1"/>
  <c r="M1145" i="12" s="1"/>
  <c r="K1443" i="9" s="1"/>
  <c r="L1443" i="9" s="1"/>
  <c r="L1444" i="9" s="1"/>
  <c r="J275" i="4" s="1"/>
  <c r="K275" i="4" s="1"/>
  <c r="F333" i="18"/>
  <c r="E333" i="18" s="1"/>
  <c r="F341" i="18"/>
  <c r="E341" i="18" s="1"/>
  <c r="F350" i="18"/>
  <c r="E350" i="18" s="1"/>
  <c r="F368" i="18"/>
  <c r="E368" i="18" s="1"/>
  <c r="H1411" i="12" s="1"/>
  <c r="M1411" i="12" s="1"/>
  <c r="F386" i="18"/>
  <c r="E386" i="18" s="1"/>
  <c r="F397" i="18"/>
  <c r="E397" i="18" s="1"/>
  <c r="F603" i="18"/>
  <c r="E603" i="18" s="1"/>
  <c r="F8" i="18"/>
  <c r="F25" i="18"/>
  <c r="F37" i="18"/>
  <c r="F53" i="18"/>
  <c r="F70" i="18"/>
  <c r="F94" i="18"/>
  <c r="F158" i="18"/>
  <c r="F166" i="18"/>
  <c r="F210" i="18"/>
  <c r="F224" i="18"/>
  <c r="F240" i="18"/>
  <c r="F266" i="18"/>
  <c r="F280" i="18"/>
  <c r="F359" i="18"/>
  <c r="F376" i="18"/>
  <c r="F411" i="18"/>
  <c r="F431" i="18"/>
  <c r="F442" i="18"/>
  <c r="F451" i="18"/>
  <c r="F247" i="18"/>
  <c r="E247" i="18" s="1"/>
  <c r="F251" i="18"/>
  <c r="E251" i="18" s="1"/>
  <c r="F255" i="18"/>
  <c r="E255" i="18" s="1"/>
  <c r="F259" i="18"/>
  <c r="E259" i="18" s="1"/>
  <c r="F273" i="18"/>
  <c r="E273" i="18" s="1"/>
  <c r="F281" i="18"/>
  <c r="E281" i="18" s="1"/>
  <c r="F288" i="18"/>
  <c r="E288" i="18" s="1"/>
  <c r="F292" i="18"/>
  <c r="E292" i="18" s="1"/>
  <c r="F296" i="18"/>
  <c r="E296" i="18" s="1"/>
  <c r="F300" i="18"/>
  <c r="E300" i="18" s="1"/>
  <c r="F304" i="18"/>
  <c r="E304" i="18" s="1"/>
  <c r="F308" i="18"/>
  <c r="E308" i="18" s="1"/>
  <c r="F312" i="18"/>
  <c r="E312" i="18" s="1"/>
  <c r="F453" i="18"/>
  <c r="F461" i="18"/>
  <c r="F469" i="18"/>
  <c r="F477" i="18"/>
  <c r="F486" i="18"/>
  <c r="F495" i="18"/>
  <c r="F503" i="18"/>
  <c r="F511" i="18"/>
  <c r="F519" i="18"/>
  <c r="F535" i="18"/>
  <c r="F612" i="18"/>
  <c r="F620" i="18"/>
  <c r="F527" i="18"/>
  <c r="F13" i="18"/>
  <c r="E13" i="18" s="1"/>
  <c r="H43" i="12" s="1"/>
  <c r="M43" i="12" s="1"/>
  <c r="F568" i="18"/>
  <c r="E568" i="18" s="1"/>
  <c r="F63" i="18"/>
  <c r="E63" i="18" s="1"/>
  <c r="F92" i="18"/>
  <c r="E92" i="18" s="1"/>
  <c r="F111" i="18"/>
  <c r="E111" i="18" s="1"/>
  <c r="F127" i="18"/>
  <c r="E127" i="18" s="1"/>
  <c r="F145" i="18"/>
  <c r="E145" i="18" s="1"/>
  <c r="F180" i="18"/>
  <c r="E180" i="18" s="1"/>
  <c r="F196" i="18"/>
  <c r="E196" i="18" s="1"/>
  <c r="F222" i="18"/>
  <c r="E222" i="18" s="1"/>
  <c r="F325" i="18"/>
  <c r="E325" i="18" s="1"/>
  <c r="F336" i="18"/>
  <c r="E336" i="18" s="1"/>
  <c r="F353" i="18"/>
  <c r="E353" i="18" s="1"/>
  <c r="F391" i="18"/>
  <c r="E391" i="18" s="1"/>
  <c r="F419" i="18"/>
  <c r="E419" i="18" s="1"/>
  <c r="M2250" i="9"/>
  <c r="M2252" i="9"/>
  <c r="M1856" i="9"/>
  <c r="G1895" i="9"/>
  <c r="H1895" i="9" s="1"/>
  <c r="J2253" i="9"/>
  <c r="I666" i="9" s="1"/>
  <c r="G1057" i="9"/>
  <c r="M1057" i="9" s="1"/>
  <c r="J779" i="9"/>
  <c r="N779" i="9" s="1"/>
  <c r="F29" i="18"/>
  <c r="F27" i="18"/>
  <c r="I1425" i="9"/>
  <c r="J1425" i="9" s="1"/>
  <c r="J1426" i="9" s="1"/>
  <c r="H269" i="4" s="1"/>
  <c r="I269" i="4" s="1"/>
  <c r="K1015" i="9"/>
  <c r="L1015" i="9" s="1"/>
  <c r="I278" i="9"/>
  <c r="J278" i="9" s="1"/>
  <c r="F571" i="18"/>
  <c r="E571" i="18" s="1"/>
  <c r="F590" i="18"/>
  <c r="E590" i="18" s="1"/>
  <c r="F606" i="18"/>
  <c r="E606" i="18" s="1"/>
  <c r="F31" i="18"/>
  <c r="F56" i="18"/>
  <c r="F149" i="18"/>
  <c r="F169" i="18"/>
  <c r="F227" i="18"/>
  <c r="F269" i="18"/>
  <c r="F362" i="18"/>
  <c r="F406" i="18"/>
  <c r="F458" i="18"/>
  <c r="F466" i="18"/>
  <c r="F474" i="18"/>
  <c r="F483" i="18"/>
  <c r="F491" i="18"/>
  <c r="F500" i="18"/>
  <c r="F508" i="18"/>
  <c r="F516" i="18"/>
  <c r="F524" i="18"/>
  <c r="F609" i="18"/>
  <c r="F617" i="18"/>
  <c r="F625" i="18"/>
  <c r="F533" i="18"/>
  <c r="F12" i="18"/>
  <c r="E12" i="18" s="1"/>
  <c r="F44" i="18"/>
  <c r="E44" i="18" s="1"/>
  <c r="F82" i="18"/>
  <c r="E82" i="18" s="1"/>
  <c r="F101" i="18"/>
  <c r="E101" i="18" s="1"/>
  <c r="F117" i="18"/>
  <c r="E117" i="18" s="1"/>
  <c r="F133" i="18"/>
  <c r="E133" i="18" s="1"/>
  <c r="F154" i="18"/>
  <c r="E154" i="18" s="1"/>
  <c r="F186" i="18"/>
  <c r="E186" i="18" s="1"/>
  <c r="F202" i="18"/>
  <c r="E202" i="18" s="1"/>
  <c r="F234" i="18"/>
  <c r="E234" i="18" s="1"/>
  <c r="H1126" i="12" s="1"/>
  <c r="M1126" i="12" s="1"/>
  <c r="K1440" i="9" s="1"/>
  <c r="L1440" i="9" s="1"/>
  <c r="L1441" i="9" s="1"/>
  <c r="J274" i="4" s="1"/>
  <c r="K274" i="4" s="1"/>
  <c r="F316" i="18"/>
  <c r="E316" i="18" s="1"/>
  <c r="F320" i="18"/>
  <c r="E320" i="18" s="1"/>
  <c r="F326" i="18"/>
  <c r="E326" i="18" s="1"/>
  <c r="F334" i="18"/>
  <c r="E334" i="18" s="1"/>
  <c r="F342" i="18"/>
  <c r="E342" i="18" s="1"/>
  <c r="F351" i="18"/>
  <c r="E351" i="18" s="1"/>
  <c r="F369" i="18"/>
  <c r="E369" i="18" s="1"/>
  <c r="F389" i="18"/>
  <c r="E389" i="18" s="1"/>
  <c r="F398" i="18"/>
  <c r="E398" i="18" s="1"/>
  <c r="F417" i="18"/>
  <c r="E417" i="18" s="1"/>
  <c r="H1525" i="12" s="1"/>
  <c r="M1525" i="12" s="1"/>
  <c r="K1505" i="9" s="1"/>
  <c r="F427" i="18"/>
  <c r="E427" i="18" s="1"/>
  <c r="F543" i="18"/>
  <c r="E543" i="18" s="1"/>
  <c r="F551" i="18"/>
  <c r="E551" i="18" s="1"/>
  <c r="F559" i="18"/>
  <c r="E559" i="18" s="1"/>
  <c r="F569" i="18"/>
  <c r="E569" i="18" s="1"/>
  <c r="F577" i="18"/>
  <c r="E577" i="18" s="1"/>
  <c r="F584" i="18"/>
  <c r="E584" i="18" s="1"/>
  <c r="F592" i="18"/>
  <c r="E592" i="18" s="1"/>
  <c r="F600" i="18"/>
  <c r="E600" i="18" s="1"/>
  <c r="F608" i="18"/>
  <c r="F22" i="18"/>
  <c r="F33" i="18"/>
  <c r="F50" i="18"/>
  <c r="F67" i="18"/>
  <c r="F75" i="18"/>
  <c r="F153" i="18"/>
  <c r="F163" i="18"/>
  <c r="F171" i="18"/>
  <c r="F215" i="18"/>
  <c r="F229" i="18"/>
  <c r="F263" i="18"/>
  <c r="F277" i="18"/>
  <c r="F356" i="18"/>
  <c r="F364" i="18"/>
  <c r="F381" i="18"/>
  <c r="F408" i="18"/>
  <c r="F78" i="18"/>
  <c r="F545" i="18"/>
  <c r="E545" i="18" s="1"/>
  <c r="F594" i="18"/>
  <c r="E594" i="18" s="1"/>
  <c r="F7" i="18"/>
  <c r="F36" i="18"/>
  <c r="F69" i="18"/>
  <c r="F157" i="18"/>
  <c r="F209" i="18"/>
  <c r="F239" i="18"/>
  <c r="F279" i="18"/>
  <c r="F372" i="18"/>
  <c r="F410" i="18"/>
  <c r="F460" i="18"/>
  <c r="F468" i="18"/>
  <c r="F476" i="18"/>
  <c r="F485" i="18"/>
  <c r="F493" i="18"/>
  <c r="F502" i="18"/>
  <c r="F510" i="18"/>
  <c r="F518" i="18"/>
  <c r="F526" i="18"/>
  <c r="F611" i="18"/>
  <c r="F619" i="18"/>
  <c r="F627" i="18"/>
  <c r="F16" i="18"/>
  <c r="E16" i="18" s="1"/>
  <c r="H62" i="12" s="1"/>
  <c r="M62" i="12" s="1"/>
  <c r="M76" i="12" s="1"/>
  <c r="F10" i="18"/>
  <c r="E10" i="18" s="1"/>
  <c r="F57" i="18"/>
  <c r="E57" i="18" s="1"/>
  <c r="F86" i="18"/>
  <c r="E86" i="18" s="1"/>
  <c r="H670" i="12" s="1"/>
  <c r="M670" i="12" s="1"/>
  <c r="F105" i="18"/>
  <c r="E105" i="18" s="1"/>
  <c r="F121" i="18"/>
  <c r="E121" i="18" s="1"/>
  <c r="F137" i="18"/>
  <c r="E137" i="18" s="1"/>
  <c r="F174" i="18"/>
  <c r="E174" i="18" s="1"/>
  <c r="F190" i="18"/>
  <c r="E190" i="18" s="1"/>
  <c r="F206" i="18"/>
  <c r="E206" i="18" s="1"/>
  <c r="F243" i="18"/>
  <c r="H1202" i="12" s="1"/>
  <c r="M1202" i="12" s="1"/>
  <c r="K940" i="9" s="1"/>
  <c r="L940" i="9" s="1"/>
  <c r="F317" i="18"/>
  <c r="E317" i="18" s="1"/>
  <c r="F321" i="18"/>
  <c r="E321" i="18" s="1"/>
  <c r="F328" i="18"/>
  <c r="E328" i="18" s="1"/>
  <c r="F482" i="18"/>
  <c r="F425" i="18"/>
  <c r="F443" i="18"/>
  <c r="F452" i="18"/>
  <c r="F45" i="18"/>
  <c r="E45" i="18" s="1"/>
  <c r="H347" i="12" s="1"/>
  <c r="M347" i="12" s="1"/>
  <c r="K1323" i="9" s="1"/>
  <c r="L1323" i="9" s="1"/>
  <c r="L1324" i="9" s="1"/>
  <c r="J235" i="4" s="1"/>
  <c r="K235" i="4" s="1"/>
  <c r="F60" i="18"/>
  <c r="E60" i="18" s="1"/>
  <c r="F87" i="18"/>
  <c r="E87" i="18" s="1"/>
  <c r="F98" i="18"/>
  <c r="E98" i="18" s="1"/>
  <c r="F106" i="18"/>
  <c r="E106" i="18" s="1"/>
  <c r="F114" i="18"/>
  <c r="E114" i="18" s="1"/>
  <c r="F122" i="18"/>
  <c r="E122" i="18" s="1"/>
  <c r="F130" i="18"/>
  <c r="E130" i="18" s="1"/>
  <c r="F138" i="18"/>
  <c r="E138" i="18" s="1"/>
  <c r="F146" i="18"/>
  <c r="E146" i="18" s="1"/>
  <c r="H841" i="12" s="1"/>
  <c r="M841" i="12" s="1"/>
  <c r="K1398" i="9" s="1"/>
  <c r="L1398" i="9" s="1"/>
  <c r="L1399" i="9" s="1"/>
  <c r="J260" i="4" s="1"/>
  <c r="K260" i="4" s="1"/>
  <c r="F173" i="18"/>
  <c r="E173" i="18" s="1"/>
  <c r="F181" i="18"/>
  <c r="E181" i="18" s="1"/>
  <c r="F189" i="18"/>
  <c r="E189" i="18" s="1"/>
  <c r="F197" i="18"/>
  <c r="E197" i="18" s="1"/>
  <c r="F205" i="18"/>
  <c r="E205" i="18" s="1"/>
  <c r="F223" i="18"/>
  <c r="E223" i="18" s="1"/>
  <c r="F237" i="18"/>
  <c r="E237" i="18" s="1"/>
  <c r="H1183" i="12" s="1"/>
  <c r="M1183" i="12" s="1"/>
  <c r="K1449" i="9" s="1"/>
  <c r="L1449" i="9" s="1"/>
  <c r="L1450" i="9" s="1"/>
  <c r="J277" i="4" s="1"/>
  <c r="K277" i="4" s="1"/>
  <c r="F335" i="18"/>
  <c r="E335" i="18" s="1"/>
  <c r="F343" i="18"/>
  <c r="E343" i="18" s="1"/>
  <c r="F352" i="18"/>
  <c r="E352" i="18" s="1"/>
  <c r="F370" i="18"/>
  <c r="E370" i="18" s="1"/>
  <c r="F390" i="18"/>
  <c r="E390" i="18" s="1"/>
  <c r="F399" i="18"/>
  <c r="E399" i="18" s="1"/>
  <c r="F418" i="18"/>
  <c r="E418" i="18" s="1"/>
  <c r="F426" i="18"/>
  <c r="E426" i="18" s="1"/>
  <c r="F437" i="18"/>
  <c r="E437" i="18" s="1"/>
  <c r="F542" i="18"/>
  <c r="E542" i="18" s="1"/>
  <c r="F546" i="18"/>
  <c r="E546" i="18" s="1"/>
  <c r="F550" i="18"/>
  <c r="E550" i="18" s="1"/>
  <c r="F554" i="18"/>
  <c r="E554" i="18" s="1"/>
  <c r="F558" i="18"/>
  <c r="E558" i="18" s="1"/>
  <c r="F562" i="18"/>
  <c r="E562" i="18" s="1"/>
  <c r="F566" i="18"/>
  <c r="E566" i="18" s="1"/>
  <c r="F572" i="18"/>
  <c r="E572" i="18" s="1"/>
  <c r="F576" i="18"/>
  <c r="E576" i="18" s="1"/>
  <c r="F579" i="18"/>
  <c r="E579" i="18" s="1"/>
  <c r="F583" i="18"/>
  <c r="E583" i="18" s="1"/>
  <c r="F587" i="18"/>
  <c r="E587" i="18" s="1"/>
  <c r="F591" i="18"/>
  <c r="E591" i="18" s="1"/>
  <c r="F595" i="18"/>
  <c r="E595" i="18" s="1"/>
  <c r="F599" i="18"/>
  <c r="E599" i="18" s="1"/>
  <c r="F605" i="18"/>
  <c r="E605" i="18" s="1"/>
  <c r="F19" i="18"/>
  <c r="F30" i="18"/>
  <c r="F39" i="18"/>
  <c r="F55" i="18"/>
  <c r="F72" i="18"/>
  <c r="F142" i="18"/>
  <c r="F160" i="18"/>
  <c r="F168" i="18"/>
  <c r="F212" i="18"/>
  <c r="F226" i="18"/>
  <c r="F242" i="18"/>
  <c r="F268" i="18"/>
  <c r="F285" i="18"/>
  <c r="F361" i="18"/>
  <c r="F378" i="18"/>
  <c r="F392" i="18"/>
  <c r="F415" i="18"/>
  <c r="F433" i="18"/>
  <c r="F445" i="18"/>
  <c r="F246" i="18"/>
  <c r="E246" i="18" s="1"/>
  <c r="F248" i="18"/>
  <c r="E248" i="18" s="1"/>
  <c r="F252" i="18"/>
  <c r="E252" i="18" s="1"/>
  <c r="F256" i="18"/>
  <c r="E256" i="18" s="1"/>
  <c r="F260" i="18"/>
  <c r="E260" i="18" s="1"/>
  <c r="F274" i="18"/>
  <c r="E274" i="18" s="1"/>
  <c r="F282" i="18"/>
  <c r="E282" i="18" s="1"/>
  <c r="F289" i="18"/>
  <c r="E289" i="18" s="1"/>
  <c r="F293" i="18"/>
  <c r="E293" i="18" s="1"/>
  <c r="F297" i="18"/>
  <c r="E297" i="18" s="1"/>
  <c r="F301" i="18"/>
  <c r="E301" i="18" s="1"/>
  <c r="F305" i="18"/>
  <c r="E305" i="18" s="1"/>
  <c r="F309" i="18"/>
  <c r="E309" i="18" s="1"/>
  <c r="F313" i="18"/>
  <c r="E313" i="18" s="1"/>
  <c r="F459" i="18"/>
  <c r="F467" i="18"/>
  <c r="F475" i="18"/>
  <c r="F484" i="18"/>
  <c r="F492" i="18"/>
  <c r="F434" i="18"/>
  <c r="E434" i="18" s="1"/>
  <c r="F400" i="18"/>
  <c r="E400" i="18" s="1"/>
  <c r="F371" i="18"/>
  <c r="E371" i="18" s="1"/>
  <c r="F344" i="18"/>
  <c r="E344" i="18" s="1"/>
  <c r="F329" i="18"/>
  <c r="E329" i="18" s="1"/>
  <c r="F236" i="18"/>
  <c r="E236" i="18" s="1"/>
  <c r="H1164" i="12" s="1"/>
  <c r="M1164" i="12" s="1"/>
  <c r="K1446" i="9" s="1"/>
  <c r="L1446" i="9" s="1"/>
  <c r="L1447" i="9" s="1"/>
  <c r="J276" i="4" s="1"/>
  <c r="K276" i="4" s="1"/>
  <c r="F204" i="18"/>
  <c r="E204" i="18" s="1"/>
  <c r="F188" i="18"/>
  <c r="E188" i="18" s="1"/>
  <c r="F172" i="18"/>
  <c r="E172" i="18" s="1"/>
  <c r="F135" i="18"/>
  <c r="E135" i="18" s="1"/>
  <c r="F119" i="18"/>
  <c r="E119" i="18" s="1"/>
  <c r="F103" i="18"/>
  <c r="E103" i="18" s="1"/>
  <c r="F84" i="18"/>
  <c r="E84" i="18" s="1"/>
  <c r="H632" i="12" s="1"/>
  <c r="M632" i="12" s="1"/>
  <c r="F46" i="18"/>
  <c r="E46" i="18" s="1"/>
  <c r="F9" i="18"/>
  <c r="E9" i="18" s="1"/>
  <c r="F532" i="18"/>
  <c r="F624" i="18"/>
  <c r="F616" i="18"/>
  <c r="F539" i="18"/>
  <c r="F523" i="18"/>
  <c r="F515" i="18"/>
  <c r="F507" i="18"/>
  <c r="F499" i="18"/>
  <c r="F490" i="18"/>
  <c r="F481" i="18"/>
  <c r="F473" i="18"/>
  <c r="F465" i="18"/>
  <c r="F457" i="18"/>
  <c r="F314" i="18"/>
  <c r="E314" i="18" s="1"/>
  <c r="F310" i="18"/>
  <c r="E310" i="18" s="1"/>
  <c r="F306" i="18"/>
  <c r="E306" i="18" s="1"/>
  <c r="F302" i="18"/>
  <c r="E302" i="18" s="1"/>
  <c r="F298" i="18"/>
  <c r="E298" i="18" s="1"/>
  <c r="F294" i="18"/>
  <c r="E294" i="18" s="1"/>
  <c r="F290" i="18"/>
  <c r="E290" i="18" s="1"/>
  <c r="F283" i="18"/>
  <c r="E283" i="18" s="1"/>
  <c r="F275" i="18"/>
  <c r="E275" i="18" s="1"/>
  <c r="F271" i="18"/>
  <c r="E271" i="18" s="1"/>
  <c r="F257" i="18"/>
  <c r="E257" i="18" s="1"/>
  <c r="F253" i="18"/>
  <c r="E253" i="18" s="1"/>
  <c r="F249" i="18"/>
  <c r="E249" i="18" s="1"/>
  <c r="H1240" i="12" s="1"/>
  <c r="M1240" i="12" s="1"/>
  <c r="F567" i="18"/>
  <c r="E567" i="18" s="1"/>
  <c r="F447" i="18"/>
  <c r="F436" i="18"/>
  <c r="F423" i="18"/>
  <c r="F407" i="18"/>
  <c r="F380" i="18"/>
  <c r="F363" i="18"/>
  <c r="F347" i="18"/>
  <c r="F270" i="18"/>
  <c r="F262" i="18"/>
  <c r="F228" i="18"/>
  <c r="F214" i="18"/>
  <c r="F170" i="18"/>
  <c r="F162" i="18"/>
  <c r="F151" i="18"/>
  <c r="F74" i="18"/>
  <c r="F66" i="18"/>
  <c r="F49" i="18"/>
  <c r="F32" i="18"/>
  <c r="F21" i="18"/>
  <c r="F607" i="18"/>
  <c r="E607" i="18" s="1"/>
  <c r="F420" i="18"/>
  <c r="E420" i="18" s="1"/>
  <c r="H1544" i="12" s="1"/>
  <c r="M1544" i="12" s="1"/>
  <c r="K1508" i="9" s="1"/>
  <c r="L1508" i="9" s="1"/>
  <c r="L1509" i="9" s="1"/>
  <c r="J296" i="4" s="1"/>
  <c r="K296" i="4" s="1"/>
  <c r="F401" i="18"/>
  <c r="E401" i="18" s="1"/>
  <c r="F393" i="18"/>
  <c r="E393" i="18" s="1"/>
  <c r="H1487" i="12" s="1"/>
  <c r="M1487" i="12" s="1"/>
  <c r="K1499" i="9" s="1"/>
  <c r="L1499" i="9" s="1"/>
  <c r="L1500" i="9" s="1"/>
  <c r="J293" i="4" s="1"/>
  <c r="K293" i="4" s="1"/>
  <c r="F373" i="18"/>
  <c r="E373" i="18" s="1"/>
  <c r="H1449" i="12" s="1"/>
  <c r="M1449" i="12" s="1"/>
  <c r="K1490" i="9" s="1"/>
  <c r="L1490" i="9" s="1"/>
  <c r="L1491" i="9" s="1"/>
  <c r="J290" i="4" s="1"/>
  <c r="K290" i="4" s="1"/>
  <c r="F354" i="18"/>
  <c r="E354" i="18" s="1"/>
  <c r="F345" i="18"/>
  <c r="E345" i="18" s="1"/>
  <c r="F337" i="18"/>
  <c r="E337" i="18" s="1"/>
  <c r="F245" i="18"/>
  <c r="E245" i="18" s="1"/>
  <c r="H1221" i="12" s="1"/>
  <c r="M1221" i="12" s="1"/>
  <c r="AC28" i="23" s="1"/>
  <c r="F231" i="18"/>
  <c r="E231" i="18" s="1"/>
  <c r="F207" i="18"/>
  <c r="E207" i="18" s="1"/>
  <c r="F199" i="18"/>
  <c r="E199" i="18" s="1"/>
  <c r="F191" i="18"/>
  <c r="E191" i="18" s="1"/>
  <c r="F183" i="18"/>
  <c r="E183" i="18" s="1"/>
  <c r="F175" i="18"/>
  <c r="E175" i="18" s="1"/>
  <c r="F148" i="18"/>
  <c r="E148" i="18" s="1"/>
  <c r="H860" i="12" s="1"/>
  <c r="M860" i="12" s="1"/>
  <c r="K1401" i="9" s="1"/>
  <c r="L1401" i="9" s="1"/>
  <c r="L1402" i="9" s="1"/>
  <c r="J261" i="4" s="1"/>
  <c r="K261" i="4" s="1"/>
  <c r="F140" i="18"/>
  <c r="E140" i="18" s="1"/>
  <c r="F132" i="18"/>
  <c r="E132" i="18" s="1"/>
  <c r="F124" i="18"/>
  <c r="E124" i="18" s="1"/>
  <c r="F116" i="18"/>
  <c r="E116" i="18" s="1"/>
  <c r="F108" i="18"/>
  <c r="E108" i="18" s="1"/>
  <c r="F100" i="18"/>
  <c r="E100" i="18" s="1"/>
  <c r="F89" i="18"/>
  <c r="E89" i="18" s="1"/>
  <c r="F81" i="18"/>
  <c r="E81" i="18" s="1"/>
  <c r="H594" i="12" s="1"/>
  <c r="M594" i="12" s="1"/>
  <c r="K941" i="9" s="1"/>
  <c r="L941" i="9" s="1"/>
  <c r="F47" i="18"/>
  <c r="E47" i="18" s="1"/>
  <c r="H366" i="12" s="1"/>
  <c r="M366" i="12" s="1"/>
  <c r="K1326" i="9" s="1"/>
  <c r="L1326" i="9" s="1"/>
  <c r="L1327" i="9" s="1"/>
  <c r="J236" i="4" s="1"/>
  <c r="K236" i="4" s="1"/>
  <c r="F18" i="18"/>
  <c r="E18" i="18" s="1"/>
  <c r="F446" i="18"/>
  <c r="F435" i="18"/>
  <c r="F416" i="18"/>
  <c r="F565" i="18"/>
  <c r="E565" i="18" s="1"/>
  <c r="F549" i="18"/>
  <c r="E549" i="18" s="1"/>
  <c r="F424" i="18"/>
  <c r="E424" i="18" s="1"/>
  <c r="F396" i="18"/>
  <c r="E396" i="18" s="1"/>
  <c r="F367" i="18"/>
  <c r="E367" i="18" s="1"/>
  <c r="F340" i="18"/>
  <c r="E340" i="18" s="1"/>
  <c r="F327" i="18"/>
  <c r="E327" i="18" s="1"/>
  <c r="F232" i="18"/>
  <c r="E232" i="18" s="1"/>
  <c r="H1107" i="12" s="1"/>
  <c r="M1107" i="12" s="1"/>
  <c r="K1437" i="9" s="1"/>
  <c r="L1437" i="9" s="1"/>
  <c r="L1438" i="9" s="1"/>
  <c r="J273" i="4" s="1"/>
  <c r="K273" i="4" s="1"/>
  <c r="F200" i="18"/>
  <c r="E200" i="18" s="1"/>
  <c r="F184" i="18"/>
  <c r="E184" i="18" s="1"/>
  <c r="F150" i="18"/>
  <c r="E150" i="18" s="1"/>
  <c r="F131" i="18"/>
  <c r="E131" i="18" s="1"/>
  <c r="F115" i="18"/>
  <c r="E115" i="18" s="1"/>
  <c r="F99" i="18"/>
  <c r="E99" i="18" s="1"/>
  <c r="F80" i="18"/>
  <c r="E80" i="18" s="1"/>
  <c r="H575" i="12" s="1"/>
  <c r="M575" i="12" s="1"/>
  <c r="F42" i="18"/>
  <c r="E42" i="18" s="1"/>
  <c r="F11" i="18"/>
  <c r="E11" i="18" s="1"/>
  <c r="F530" i="18"/>
  <c r="F622" i="18"/>
  <c r="F614" i="18"/>
  <c r="F537" i="18"/>
  <c r="F521" i="18"/>
  <c r="F513" i="18"/>
  <c r="F505" i="18"/>
  <c r="F497" i="18"/>
  <c r="F479" i="18"/>
  <c r="F463" i="18"/>
  <c r="F311" i="18"/>
  <c r="E311" i="18" s="1"/>
  <c r="F303" i="18"/>
  <c r="E303" i="18" s="1"/>
  <c r="F295" i="18"/>
  <c r="E295" i="18" s="1"/>
  <c r="F287" i="18"/>
  <c r="E287" i="18" s="1"/>
  <c r="F272" i="18"/>
  <c r="E272" i="18" s="1"/>
  <c r="F254" i="18"/>
  <c r="E254" i="18" s="1"/>
  <c r="F440" i="18"/>
  <c r="F409" i="18"/>
  <c r="F365" i="18"/>
  <c r="F278" i="18"/>
  <c r="F238" i="18"/>
  <c r="F208" i="18"/>
  <c r="F156" i="18"/>
  <c r="F68" i="18"/>
  <c r="F35" i="18"/>
  <c r="F4" i="18"/>
  <c r="F597" i="18"/>
  <c r="E597" i="18" s="1"/>
  <c r="F589" i="18"/>
  <c r="E589" i="18" s="1"/>
  <c r="F581" i="18"/>
  <c r="E581" i="18" s="1"/>
  <c r="F574" i="18"/>
  <c r="E574" i="18" s="1"/>
  <c r="F564" i="18"/>
  <c r="E564" i="18" s="1"/>
  <c r="F556" i="18"/>
  <c r="E556" i="18" s="1"/>
  <c r="F548" i="18"/>
  <c r="E548" i="18" s="1"/>
  <c r="F540" i="18"/>
  <c r="E540" i="18" s="1"/>
  <c r="F422" i="18"/>
  <c r="E422" i="18" s="1"/>
  <c r="F395" i="18"/>
  <c r="E395" i="18" s="1"/>
  <c r="F366" i="18"/>
  <c r="F339" i="18"/>
  <c r="E339" i="18" s="1"/>
  <c r="F233" i="18"/>
  <c r="E233" i="18" s="1"/>
  <c r="F201" i="18"/>
  <c r="E201" i="18" s="1"/>
  <c r="F185" i="18"/>
  <c r="E185" i="18" s="1"/>
  <c r="F152" i="18"/>
  <c r="E152" i="18" s="1"/>
  <c r="H898" i="12" s="1"/>
  <c r="M898" i="12" s="1"/>
  <c r="F134" i="18"/>
  <c r="E134" i="18" s="1"/>
  <c r="F118" i="18"/>
  <c r="E118" i="18" s="1"/>
  <c r="F102" i="18"/>
  <c r="E102" i="18" s="1"/>
  <c r="F83" i="18"/>
  <c r="E83" i="18" s="1"/>
  <c r="H613" i="12" s="1"/>
  <c r="M613" i="12" s="1"/>
  <c r="K1368" i="9" s="1"/>
  <c r="L1368" i="9" s="1"/>
  <c r="L1369" i="9" s="1"/>
  <c r="J250" i="4" s="1"/>
  <c r="K250" i="4" s="1"/>
  <c r="F58" i="18"/>
  <c r="E58" i="18" s="1"/>
  <c r="F448" i="18"/>
  <c r="F412" i="18"/>
  <c r="F324" i="18"/>
  <c r="E324" i="18" s="1"/>
  <c r="F315" i="18"/>
  <c r="E315" i="18" s="1"/>
  <c r="F198" i="18"/>
  <c r="E198" i="18" s="1"/>
  <c r="F147" i="18"/>
  <c r="E147" i="18" s="1"/>
  <c r="F113" i="18"/>
  <c r="E113" i="18" s="1"/>
  <c r="F65" i="18"/>
  <c r="E65" i="18" s="1"/>
  <c r="F14" i="18"/>
  <c r="E14" i="18" s="1"/>
  <c r="F623" i="18"/>
  <c r="F538" i="18"/>
  <c r="F514" i="18"/>
  <c r="F498" i="18"/>
  <c r="F480" i="18"/>
  <c r="F464" i="18"/>
  <c r="F383" i="18"/>
  <c r="F265" i="18"/>
  <c r="F165" i="18"/>
  <c r="F52" i="18"/>
  <c r="F602" i="18"/>
  <c r="E602" i="18" s="1"/>
  <c r="F561" i="18"/>
  <c r="E561" i="18" s="1"/>
  <c r="F79" i="18"/>
  <c r="F377" i="18"/>
  <c r="F284" i="18"/>
  <c r="F241" i="18"/>
  <c r="F211" i="18"/>
  <c r="F159" i="18"/>
  <c r="F71" i="18"/>
  <c r="F38" i="18"/>
  <c r="F17" i="18"/>
  <c r="F596" i="18"/>
  <c r="E596" i="18" s="1"/>
  <c r="F580" i="18"/>
  <c r="E580" i="18" s="1"/>
  <c r="F573" i="18"/>
  <c r="E573" i="18" s="1"/>
  <c r="F555" i="18"/>
  <c r="E555" i="18" s="1"/>
  <c r="F494" i="18"/>
  <c r="E494" i="18" s="1"/>
  <c r="F402" i="18"/>
  <c r="E402" i="18" s="1"/>
  <c r="F374" i="18"/>
  <c r="E374" i="18" s="1"/>
  <c r="F346" i="18"/>
  <c r="E346" i="18" s="1"/>
  <c r="F330" i="18"/>
  <c r="E330" i="18" s="1"/>
  <c r="F318" i="18"/>
  <c r="E318" i="18" s="1"/>
  <c r="F219" i="18"/>
  <c r="F178" i="18"/>
  <c r="E178" i="18" s="1"/>
  <c r="F125" i="18"/>
  <c r="E125" i="18" s="1"/>
  <c r="F90" i="18"/>
  <c r="E90" i="18" s="1"/>
  <c r="F6" i="18"/>
  <c r="E6" i="18" s="1"/>
  <c r="F528" i="18"/>
  <c r="F613" i="18"/>
  <c r="F520" i="18"/>
  <c r="F504" i="18"/>
  <c r="F487" i="18"/>
  <c r="F470" i="18"/>
  <c r="F454" i="18"/>
  <c r="F286" i="18"/>
  <c r="F213" i="18"/>
  <c r="F73" i="18"/>
  <c r="F20" i="18"/>
  <c r="F578" i="18"/>
  <c r="E578" i="18" s="1"/>
  <c r="K781" i="9"/>
  <c r="L781" i="9" s="1"/>
  <c r="C1248" i="11"/>
  <c r="K813" i="9"/>
  <c r="L813" i="9" s="1"/>
  <c r="C1107" i="11"/>
  <c r="C1108" i="11" s="1"/>
  <c r="K769" i="9"/>
  <c r="L769" i="9" s="1"/>
  <c r="K839" i="9"/>
  <c r="L839" i="9" s="1"/>
  <c r="K1299" i="9"/>
  <c r="L1299" i="9" s="1"/>
  <c r="L1300" i="9" s="1"/>
  <c r="J227" i="4" s="1"/>
  <c r="K227" i="4" s="1"/>
  <c r="I409" i="9"/>
  <c r="J409" i="9" s="1"/>
  <c r="I1800" i="9"/>
  <c r="J1800" i="9" s="1"/>
  <c r="K867" i="9"/>
  <c r="L867" i="9" s="1"/>
  <c r="C407" i="11"/>
  <c r="C408" i="11" s="1"/>
  <c r="C267" i="11"/>
  <c r="C268" i="11" s="1"/>
  <c r="C302" i="11"/>
  <c r="C303" i="11" s="1"/>
  <c r="C512" i="11"/>
  <c r="C513" i="11" s="1"/>
  <c r="C92" i="11"/>
  <c r="C93" i="11" s="1"/>
  <c r="C582" i="11"/>
  <c r="C583" i="11" s="1"/>
  <c r="C1212" i="11"/>
  <c r="C1213" i="11" s="1"/>
  <c r="G1213" i="11" s="1"/>
  <c r="K553" i="9" s="1"/>
  <c r="L553" i="9" s="1"/>
  <c r="C1247" i="11"/>
  <c r="AK11" i="23"/>
  <c r="C223" i="23"/>
  <c r="G136" i="23"/>
  <c r="G257" i="23"/>
  <c r="G137" i="23"/>
  <c r="G258" i="23"/>
  <c r="G256" i="23"/>
  <c r="G138" i="23"/>
  <c r="S138" i="23"/>
  <c r="G33" i="23"/>
  <c r="I769" i="9"/>
  <c r="J769" i="9" s="1"/>
  <c r="L91" i="21"/>
  <c r="C1250" i="11"/>
  <c r="C1251" i="11" s="1"/>
  <c r="M1049" i="9"/>
  <c r="H2140" i="9"/>
  <c r="N2140" i="9" s="1"/>
  <c r="G1046" i="9"/>
  <c r="H1046" i="9" s="1"/>
  <c r="G1058" i="9"/>
  <c r="M1058" i="9" s="1"/>
  <c r="J1063" i="9"/>
  <c r="F529" i="18"/>
  <c r="F28" i="18"/>
  <c r="F413" i="18"/>
  <c r="F444" i="18"/>
  <c r="F384" i="18"/>
  <c r="K995" i="9"/>
  <c r="L995" i="9" s="1"/>
  <c r="K1003" i="9"/>
  <c r="L1003" i="9" s="1"/>
  <c r="C1110" i="11"/>
  <c r="C1111" i="11" s="1"/>
  <c r="G1111" i="11" s="1"/>
  <c r="I414" i="9" s="1"/>
  <c r="J414" i="9" s="1"/>
  <c r="C410" i="11"/>
  <c r="C411" i="11" s="1"/>
  <c r="I867" i="9"/>
  <c r="J867" i="9" s="1"/>
  <c r="C1215" i="11"/>
  <c r="C1216" i="11" s="1"/>
  <c r="I839" i="9"/>
  <c r="J839" i="9" s="1"/>
  <c r="C270" i="11"/>
  <c r="C271" i="11" s="1"/>
  <c r="I813" i="9"/>
  <c r="J813" i="9" s="1"/>
  <c r="I781" i="9"/>
  <c r="J781" i="9" s="1"/>
  <c r="C585" i="11"/>
  <c r="C586" i="11" s="1"/>
  <c r="C515" i="11"/>
  <c r="C516" i="11" s="1"/>
  <c r="F414" i="18"/>
  <c r="F553" i="18"/>
  <c r="E553" i="18" s="1"/>
  <c r="F48" i="18"/>
  <c r="F261" i="18"/>
  <c r="F462" i="18"/>
  <c r="F496" i="18"/>
  <c r="F536" i="18"/>
  <c r="F15" i="18"/>
  <c r="E15" i="18" s="1"/>
  <c r="F61" i="18"/>
  <c r="E61" i="18" s="1"/>
  <c r="F109" i="18"/>
  <c r="E109" i="18" s="1"/>
  <c r="H765" i="12" s="1"/>
  <c r="M765" i="12" s="1"/>
  <c r="K1389" i="9" s="1"/>
  <c r="L1389" i="9" s="1"/>
  <c r="L1390" i="9" s="1"/>
  <c r="K990" i="9" s="1"/>
  <c r="L990" i="9" s="1"/>
  <c r="F141" i="18"/>
  <c r="E141" i="18" s="1"/>
  <c r="F194" i="18"/>
  <c r="E194" i="18" s="1"/>
  <c r="F244" i="18"/>
  <c r="E244" i="18" s="1"/>
  <c r="F322" i="18"/>
  <c r="E322" i="18" s="1"/>
  <c r="F338" i="18"/>
  <c r="E338" i="18" s="1"/>
  <c r="F355" i="18"/>
  <c r="E355" i="18" s="1"/>
  <c r="F394" i="18"/>
  <c r="E394" i="18" s="1"/>
  <c r="H1506" i="12" s="1"/>
  <c r="M1506" i="12" s="1"/>
  <c r="K1502" i="9" s="1"/>
  <c r="L1502" i="9" s="1"/>
  <c r="L1503" i="9" s="1"/>
  <c r="J294" i="4" s="1"/>
  <c r="K294" i="4" s="1"/>
  <c r="F54" i="18"/>
  <c r="F167" i="18"/>
  <c r="F267" i="18"/>
  <c r="F388" i="18"/>
  <c r="F586" i="18"/>
  <c r="E586" i="18" s="1"/>
  <c r="J361" i="9"/>
  <c r="J349" i="9"/>
  <c r="H362" i="9"/>
  <c r="J355" i="9"/>
  <c r="J342" i="9"/>
  <c r="J1952" i="9"/>
  <c r="J1956" i="9"/>
  <c r="N1956" i="9" s="1"/>
  <c r="J1963" i="9"/>
  <c r="J1966" i="9"/>
  <c r="J1946" i="9"/>
  <c r="N1946" i="9" s="1"/>
  <c r="J1923" i="9"/>
  <c r="J1926" i="9"/>
  <c r="J1934" i="9"/>
  <c r="N1934" i="9" s="1"/>
  <c r="J1912" i="9"/>
  <c r="J1914" i="9"/>
  <c r="J1906" i="9"/>
  <c r="J751" i="9"/>
  <c r="H151" i="4" s="1"/>
  <c r="I151" i="4" s="1"/>
  <c r="M1675" i="9"/>
  <c r="M1687" i="9"/>
  <c r="M1663" i="9"/>
  <c r="O721" i="9"/>
  <c r="M1244" i="9"/>
  <c r="M52" i="9"/>
  <c r="M77" i="9"/>
  <c r="L1011" i="9"/>
  <c r="J80" i="9"/>
  <c r="M95" i="9"/>
  <c r="M103" i="9"/>
  <c r="J103" i="9"/>
  <c r="M119" i="9"/>
  <c r="J290" i="9"/>
  <c r="N290" i="9" s="1"/>
  <c r="J393" i="9"/>
  <c r="J446" i="9"/>
  <c r="M560" i="9"/>
  <c r="J560" i="9"/>
  <c r="M804" i="9"/>
  <c r="M857" i="9"/>
  <c r="M884" i="9"/>
  <c r="M895" i="9"/>
  <c r="M1012" i="9"/>
  <c r="M201" i="9"/>
  <c r="N924" i="9"/>
  <c r="L2122" i="9"/>
  <c r="N288" i="9"/>
  <c r="J2123" i="9"/>
  <c r="N635" i="9"/>
  <c r="M18" i="9"/>
  <c r="H1681" i="9"/>
  <c r="H1693" i="9"/>
  <c r="H1669" i="9"/>
  <c r="H1657" i="9"/>
  <c r="M1651" i="9"/>
  <c r="H1651" i="9"/>
  <c r="J2122" i="9"/>
  <c r="J2124" i="9"/>
  <c r="M2125" i="9"/>
  <c r="G332" i="9"/>
  <c r="I338" i="9"/>
  <c r="J338" i="9" s="1"/>
  <c r="G1666" i="9"/>
  <c r="H1666" i="9" s="1"/>
  <c r="G1654" i="9"/>
  <c r="M1654" i="9" s="1"/>
  <c r="G1678" i="9"/>
  <c r="H1678" i="9" s="1"/>
  <c r="G1059" i="9"/>
  <c r="H1905" i="9"/>
  <c r="G1925" i="9"/>
  <c r="H1925" i="9" s="1"/>
  <c r="G1945" i="9"/>
  <c r="H1945" i="9" s="1"/>
  <c r="G1965" i="9"/>
  <c r="I952" i="9"/>
  <c r="J952" i="9" s="1"/>
  <c r="F391" i="4"/>
  <c r="G391" i="4" s="1"/>
  <c r="N2250" i="9"/>
  <c r="M985" i="9"/>
  <c r="L2123" i="9"/>
  <c r="M70" i="9"/>
  <c r="M76" i="9"/>
  <c r="L2124" i="9"/>
  <c r="H2123" i="9"/>
  <c r="H2124" i="9"/>
  <c r="M2124" i="9"/>
  <c r="G49" i="22"/>
  <c r="H777" i="9"/>
  <c r="M185" i="20"/>
  <c r="G787" i="9" s="1"/>
  <c r="K967" i="9"/>
  <c r="L967" i="9" s="1"/>
  <c r="K943" i="9"/>
  <c r="L943" i="9" s="1"/>
  <c r="K979" i="9"/>
  <c r="L979" i="9" s="1"/>
  <c r="K953" i="9"/>
  <c r="L953" i="9" s="1"/>
  <c r="K908" i="9"/>
  <c r="L908" i="9" s="1"/>
  <c r="G51" i="9"/>
  <c r="G30" i="9"/>
  <c r="G1534" i="9"/>
  <c r="M1534" i="9" s="1"/>
  <c r="G1128" i="9"/>
  <c r="M1128" i="9" s="1"/>
  <c r="G1120" i="9"/>
  <c r="H1120" i="9" s="1"/>
  <c r="G66" i="9"/>
  <c r="M66" i="9" s="1"/>
  <c r="G1960" i="9"/>
  <c r="H1960" i="9" s="1"/>
  <c r="G1940" i="9"/>
  <c r="H1940" i="9" s="1"/>
  <c r="G1920" i="9"/>
  <c r="H1920" i="9" s="1"/>
  <c r="G1900" i="9"/>
  <c r="H1900" i="9" s="1"/>
  <c r="G1950" i="9"/>
  <c r="H1950" i="9" s="1"/>
  <c r="G1930" i="9"/>
  <c r="H1930" i="9" s="1"/>
  <c r="G1910" i="9"/>
  <c r="H1910" i="9" s="1"/>
  <c r="G1744" i="9"/>
  <c r="H1744" i="9" s="1"/>
  <c r="G1763" i="9"/>
  <c r="H1763" i="9" s="1"/>
  <c r="G1782" i="9"/>
  <c r="H1782" i="9" s="1"/>
  <c r="G1801" i="9"/>
  <c r="H1801" i="9" s="1"/>
  <c r="G1820" i="9"/>
  <c r="H1820" i="9" s="1"/>
  <c r="G2147" i="9"/>
  <c r="H2147" i="9" s="1"/>
  <c r="T29" i="22"/>
  <c r="V29" i="22" s="1"/>
  <c r="Q34" i="22" s="1"/>
  <c r="R41" i="22" s="1"/>
  <c r="T41" i="22" s="1"/>
  <c r="K1606" i="9" s="1"/>
  <c r="L1606" i="9" s="1"/>
  <c r="AM1" i="22"/>
  <c r="AS1" i="22" s="1"/>
  <c r="AG5" i="22" s="1"/>
  <c r="G253" i="9"/>
  <c r="M253" i="9" s="1"/>
  <c r="G1116" i="9"/>
  <c r="M1116" i="9" s="1"/>
  <c r="K1199" i="9"/>
  <c r="K1200" i="9" s="1"/>
  <c r="K1213" i="9"/>
  <c r="L1213" i="9" s="1"/>
  <c r="K1234" i="9"/>
  <c r="L1234" i="9" s="1"/>
  <c r="C795" i="11"/>
  <c r="C796" i="11" s="1"/>
  <c r="G338" i="9"/>
  <c r="H338" i="9" s="1"/>
  <c r="I556" i="9"/>
  <c r="J556" i="9" s="1"/>
  <c r="K1673" i="9"/>
  <c r="L1673" i="9" s="1"/>
  <c r="K284" i="9"/>
  <c r="L284" i="9" s="1"/>
  <c r="G544" i="9"/>
  <c r="H544" i="9" s="1"/>
  <c r="I1743" i="9"/>
  <c r="J1743" i="9" s="1"/>
  <c r="K977" i="9"/>
  <c r="L977" i="9" s="1"/>
  <c r="K991" i="9"/>
  <c r="L991" i="9" s="1"/>
  <c r="C1283" i="11"/>
  <c r="C1284" i="11" s="1"/>
  <c r="K1329" i="9"/>
  <c r="L1329" i="9" s="1"/>
  <c r="L1330" i="9" s="1"/>
  <c r="J237" i="4" s="1"/>
  <c r="K237" i="4" s="1"/>
  <c r="G1490" i="9"/>
  <c r="H1490" i="9" s="1"/>
  <c r="I1830" i="9"/>
  <c r="J1830" i="9" s="1"/>
  <c r="P80" i="23"/>
  <c r="K1392" i="9"/>
  <c r="L1392" i="9" s="1"/>
  <c r="L1393" i="9" s="1"/>
  <c r="J258" i="4" s="1"/>
  <c r="K258" i="4" s="1"/>
  <c r="I415" i="9"/>
  <c r="J415" i="9" s="1"/>
  <c r="G1484" i="9"/>
  <c r="I1705" i="9"/>
  <c r="J1705" i="9" s="1"/>
  <c r="K964" i="9"/>
  <c r="L964" i="9" s="1"/>
  <c r="K305" i="9"/>
  <c r="L305" i="9" s="1"/>
  <c r="G562" i="9"/>
  <c r="H562" i="9" s="1"/>
  <c r="I1753" i="9"/>
  <c r="J1753" i="9" s="1"/>
  <c r="K722" i="9"/>
  <c r="L722" i="9" s="1"/>
  <c r="K704" i="9"/>
  <c r="L704" i="9" s="1"/>
  <c r="I1811" i="9"/>
  <c r="J1811" i="9" s="1"/>
  <c r="I1763" i="9"/>
  <c r="J1763" i="9" s="1"/>
  <c r="I1899" i="9"/>
  <c r="J1899" i="9" s="1"/>
  <c r="I1909" i="9"/>
  <c r="J1909" i="9" s="1"/>
  <c r="I1949" i="9"/>
  <c r="J1949" i="9" s="1"/>
  <c r="K931" i="9"/>
  <c r="L931" i="9" s="1"/>
  <c r="I1879" i="9"/>
  <c r="J1879" i="9" s="1"/>
  <c r="I1839" i="9"/>
  <c r="J1839" i="9" s="1"/>
  <c r="G409" i="9"/>
  <c r="H409" i="9" s="1"/>
  <c r="C760" i="11"/>
  <c r="C761" i="11" s="1"/>
  <c r="N960" i="9"/>
  <c r="M518" i="12"/>
  <c r="K1350" i="9" s="1"/>
  <c r="L1350" i="9" s="1"/>
  <c r="L1351" i="9" s="1"/>
  <c r="J244" i="4" s="1"/>
  <c r="K244" i="4" s="1"/>
  <c r="G1959" i="9"/>
  <c r="P116" i="23"/>
  <c r="K1679" i="9"/>
  <c r="L1679" i="9" s="1"/>
  <c r="K952" i="9"/>
  <c r="L952" i="9" s="1"/>
  <c r="K976" i="9"/>
  <c r="L976" i="9" s="1"/>
  <c r="K988" i="9"/>
  <c r="L988" i="9" s="1"/>
  <c r="P19" i="23"/>
  <c r="F192" i="21"/>
  <c r="K868" i="9"/>
  <c r="L868" i="9" s="1"/>
  <c r="K930" i="9"/>
  <c r="L930" i="9" s="1"/>
  <c r="K1649" i="9"/>
  <c r="G426" i="9"/>
  <c r="H426" i="9" s="1"/>
  <c r="G536" i="9"/>
  <c r="H536" i="9" s="1"/>
  <c r="P140" i="23"/>
  <c r="D236" i="23"/>
  <c r="D116" i="23"/>
  <c r="K1338" i="9"/>
  <c r="L1338" i="9" s="1"/>
  <c r="L1339" i="9" s="1"/>
  <c r="J240" i="4" s="1"/>
  <c r="K240" i="4" s="1"/>
  <c r="K830" i="9"/>
  <c r="L830" i="9" s="1"/>
  <c r="K1472" i="9"/>
  <c r="L1472" i="9" s="1"/>
  <c r="L1473" i="9" s="1"/>
  <c r="J284" i="4" s="1"/>
  <c r="K284" i="4" s="1"/>
  <c r="M1710" i="12"/>
  <c r="C547" i="11"/>
  <c r="C548" i="11" s="1"/>
  <c r="C1142" i="11"/>
  <c r="C1143" i="11" s="1"/>
  <c r="C1072" i="11"/>
  <c r="C1073" i="11" s="1"/>
  <c r="K1287" i="9"/>
  <c r="L1287" i="9" s="1"/>
  <c r="L1288" i="9" s="1"/>
  <c r="J223" i="4" s="1"/>
  <c r="K223" i="4" s="1"/>
  <c r="K1371" i="9"/>
  <c r="L1371" i="9" s="1"/>
  <c r="L1372" i="9" s="1"/>
  <c r="J251" i="4" s="1"/>
  <c r="K251" i="4" s="1"/>
  <c r="D211" i="23"/>
  <c r="I1380" i="9"/>
  <c r="J1380" i="9" s="1"/>
  <c r="J1381" i="9" s="1"/>
  <c r="H254" i="4" s="1"/>
  <c r="I254" i="4" s="1"/>
  <c r="I1496" i="9"/>
  <c r="J1496" i="9" s="1"/>
  <c r="J1497" i="9" s="1"/>
  <c r="H292" i="4" s="1"/>
  <c r="I292" i="4" s="1"/>
  <c r="I1015" i="9"/>
  <c r="J1015" i="9" s="1"/>
  <c r="O703" i="9"/>
  <c r="P15" i="9"/>
  <c r="P20" i="9" s="1"/>
  <c r="O803" i="9" s="1"/>
  <c r="M252" i="9"/>
  <c r="O694" i="9"/>
  <c r="M36" i="9"/>
  <c r="H140" i="9"/>
  <c r="N903" i="9"/>
  <c r="L399" i="9"/>
  <c r="J71" i="4" s="1"/>
  <c r="K71" i="4" s="1"/>
  <c r="N984" i="9"/>
  <c r="H210" i="9"/>
  <c r="L210" i="9"/>
  <c r="J141" i="9"/>
  <c r="J1197" i="9"/>
  <c r="H204" i="4" s="1"/>
  <c r="I204" i="4" s="1"/>
  <c r="N701" i="9"/>
  <c r="L1118" i="9"/>
  <c r="H517" i="9"/>
  <c r="F101" i="4" s="1"/>
  <c r="L1012" i="9"/>
  <c r="H2177" i="9"/>
  <c r="N535" i="9"/>
  <c r="N1000" i="9"/>
  <c r="B15" i="9"/>
  <c r="D47" i="23"/>
  <c r="P64" i="23"/>
  <c r="S229" i="23"/>
  <c r="S230" i="23"/>
  <c r="S228" i="23"/>
  <c r="I1781" i="9"/>
  <c r="J1781" i="9" s="1"/>
  <c r="I1829" i="9"/>
  <c r="J1829" i="9" s="1"/>
  <c r="I1792" i="9"/>
  <c r="J1792" i="9" s="1"/>
  <c r="I1725" i="9"/>
  <c r="J1725" i="9" s="1"/>
  <c r="I1840" i="9"/>
  <c r="I1859" i="9"/>
  <c r="J1859" i="9" s="1"/>
  <c r="I1860" i="9"/>
  <c r="I1754" i="9"/>
  <c r="J1754" i="9" s="1"/>
  <c r="I1880" i="9"/>
  <c r="J1880" i="9" s="1"/>
  <c r="I1724" i="9"/>
  <c r="J1724" i="9" s="1"/>
  <c r="I1773" i="9"/>
  <c r="J1773" i="9" s="1"/>
  <c r="I1810" i="9"/>
  <c r="J1810" i="9" s="1"/>
  <c r="I1782" i="9"/>
  <c r="J1782" i="9" s="1"/>
  <c r="I1849" i="9"/>
  <c r="J1849" i="9" s="1"/>
  <c r="I1744" i="9"/>
  <c r="J1744" i="9" s="1"/>
  <c r="I1870" i="9"/>
  <c r="J1870" i="9" s="1"/>
  <c r="I1715" i="9"/>
  <c r="J1715" i="9" s="1"/>
  <c r="I1762" i="9"/>
  <c r="J1762" i="9" s="1"/>
  <c r="I1890" i="9"/>
  <c r="I1706" i="9"/>
  <c r="I1801" i="9"/>
  <c r="I1869" i="9"/>
  <c r="J1869" i="9" s="1"/>
  <c r="I1959" i="9"/>
  <c r="J1959" i="9" s="1"/>
  <c r="I1950" i="9"/>
  <c r="I1940" i="9"/>
  <c r="J1940" i="9" s="1"/>
  <c r="I1939" i="9"/>
  <c r="J1939" i="9" s="1"/>
  <c r="I1920" i="9"/>
  <c r="J1920" i="9" s="1"/>
  <c r="I1919" i="9"/>
  <c r="J1919" i="9" s="1"/>
  <c r="I1910" i="9"/>
  <c r="G1849" i="9"/>
  <c r="G1800" i="9"/>
  <c r="H1800" i="9" s="1"/>
  <c r="G1724" i="9"/>
  <c r="H1724" i="9" s="1"/>
  <c r="G1889" i="9"/>
  <c r="H1889" i="9" s="1"/>
  <c r="G1715" i="9"/>
  <c r="H1715" i="9" s="1"/>
  <c r="G1734" i="9"/>
  <c r="H1734" i="9" s="1"/>
  <c r="G1929" i="9"/>
  <c r="G1899" i="9"/>
  <c r="H1899" i="9" s="1"/>
  <c r="K1051" i="9"/>
  <c r="L1051" i="9" s="1"/>
  <c r="I292" i="9"/>
  <c r="J292" i="9" s="1"/>
  <c r="I299" i="9"/>
  <c r="J299" i="9" s="1"/>
  <c r="I285" i="9"/>
  <c r="J285" i="9" s="1"/>
  <c r="N2059" i="9"/>
  <c r="N2031" i="9"/>
  <c r="E471" i="21"/>
  <c r="J471" i="21" s="1"/>
  <c r="E468" i="21" s="1"/>
  <c r="K1407" i="9"/>
  <c r="L1407" i="9" s="1"/>
  <c r="L1408" i="9" s="1"/>
  <c r="J263" i="4" s="1"/>
  <c r="K263" i="4" s="1"/>
  <c r="E869" i="11"/>
  <c r="G92" i="23"/>
  <c r="I92" i="23" s="1"/>
  <c r="G91" i="23"/>
  <c r="S255" i="23"/>
  <c r="O9" i="23"/>
  <c r="S18" i="23" s="1"/>
  <c r="O7" i="23"/>
  <c r="AI60" i="23"/>
  <c r="AI61" i="23" s="1"/>
  <c r="AK59" i="23"/>
  <c r="AB58" i="23"/>
  <c r="AB60" i="23"/>
  <c r="AK61" i="23" s="1"/>
  <c r="AI62" i="23" s="1"/>
  <c r="AI58" i="23" s="1"/>
  <c r="K1317" i="9"/>
  <c r="L1317" i="9" s="1"/>
  <c r="L1318" i="9" s="1"/>
  <c r="J233" i="4" s="1"/>
  <c r="K233" i="4" s="1"/>
  <c r="M323" i="12"/>
  <c r="E267" i="21"/>
  <c r="L267" i="21" s="1"/>
  <c r="H269" i="21" s="1"/>
  <c r="E270" i="21" s="1"/>
  <c r="E263" i="21" s="1"/>
  <c r="N2110" i="9"/>
  <c r="J492" i="9"/>
  <c r="M492" i="9"/>
  <c r="M696" i="9"/>
  <c r="J696" i="9"/>
  <c r="J705" i="9"/>
  <c r="N705" i="9" s="1"/>
  <c r="J874" i="9"/>
  <c r="M874" i="9"/>
  <c r="J905" i="9"/>
  <c r="M905" i="9"/>
  <c r="J963" i="9"/>
  <c r="M963" i="9"/>
  <c r="J1602" i="9"/>
  <c r="M1602" i="9"/>
  <c r="J1631" i="9"/>
  <c r="M1631" i="9"/>
  <c r="M1708" i="9"/>
  <c r="J1718" i="9"/>
  <c r="N1718" i="9" s="1"/>
  <c r="M1718" i="9"/>
  <c r="J1823" i="9"/>
  <c r="N1823" i="9" s="1"/>
  <c r="M1823" i="9"/>
  <c r="M1864" i="9"/>
  <c r="J1864" i="9"/>
  <c r="J1883" i="9"/>
  <c r="N1883" i="9" s="1"/>
  <c r="M1883" i="9"/>
  <c r="M331" i="9"/>
  <c r="J331" i="9"/>
  <c r="N331" i="9" s="1"/>
  <c r="M2201" i="9"/>
  <c r="J2201" i="9"/>
  <c r="J2202" i="9" s="1"/>
  <c r="I2137" i="9" s="1"/>
  <c r="J2137" i="9" s="1"/>
  <c r="C305" i="11"/>
  <c r="C306" i="11" s="1"/>
  <c r="I1299" i="9"/>
  <c r="J1299" i="9" s="1"/>
  <c r="J1300" i="9" s="1"/>
  <c r="H227" i="4" s="1"/>
  <c r="I227" i="4" s="1"/>
  <c r="C95" i="11"/>
  <c r="C96" i="11" s="1"/>
  <c r="K1004" i="9"/>
  <c r="L1004" i="9" s="1"/>
  <c r="K1296" i="9"/>
  <c r="L1296" i="9" s="1"/>
  <c r="L1297" i="9" s="1"/>
  <c r="J226" i="4" s="1"/>
  <c r="K226" i="4" s="1"/>
  <c r="E134" i="11"/>
  <c r="G280" i="23"/>
  <c r="C105" i="23"/>
  <c r="C107" i="23" s="1"/>
  <c r="C109" i="23" s="1"/>
  <c r="G19" i="14"/>
  <c r="K562" i="9"/>
  <c r="L562" i="9" s="1"/>
  <c r="K556" i="9"/>
  <c r="L556" i="9" s="1"/>
  <c r="K415" i="9"/>
  <c r="L415" i="9" s="1"/>
  <c r="S64" i="23"/>
  <c r="C232" i="11"/>
  <c r="C233" i="11" s="1"/>
  <c r="C477" i="11"/>
  <c r="C478" i="11" s="1"/>
  <c r="C57" i="11"/>
  <c r="C58" i="11" s="1"/>
  <c r="C372" i="11"/>
  <c r="C373" i="11" s="1"/>
  <c r="C197" i="11"/>
  <c r="C198" i="11" s="1"/>
  <c r="M45" i="9"/>
  <c r="J131" i="9"/>
  <c r="J283" i="9"/>
  <c r="M297" i="9"/>
  <c r="M425" i="9"/>
  <c r="J443" i="9"/>
  <c r="N443" i="9" s="1"/>
  <c r="E1104" i="21"/>
  <c r="J1104" i="21" s="1"/>
  <c r="E1102" i="21" s="1"/>
  <c r="E1108" i="21" s="1"/>
  <c r="G1097" i="21" s="1"/>
  <c r="D1115" i="21" s="1"/>
  <c r="K1115" i="21" s="1"/>
  <c r="M130" i="9"/>
  <c r="M271" i="9"/>
  <c r="J1555" i="9"/>
  <c r="N1555" i="9" s="1"/>
  <c r="M1555" i="9"/>
  <c r="G810" i="9"/>
  <c r="M810" i="9" s="1"/>
  <c r="G827" i="9"/>
  <c r="M827" i="9" s="1"/>
  <c r="G241" i="9"/>
  <c r="M241" i="9" s="1"/>
  <c r="G250" i="9"/>
  <c r="H250" i="9" s="1"/>
  <c r="E373" i="21"/>
  <c r="J373" i="21" s="1"/>
  <c r="E370" i="21" s="1"/>
  <c r="M1792" i="9"/>
  <c r="G724" i="21" l="1"/>
  <c r="E709" i="21"/>
  <c r="L709" i="21" s="1"/>
  <c r="H711" i="21" s="1"/>
  <c r="E712" i="21" s="1"/>
  <c r="E704" i="21" s="1"/>
  <c r="E720" i="21" s="1"/>
  <c r="G702" i="21" s="1"/>
  <c r="D725" i="21" s="1"/>
  <c r="K725" i="21" s="1"/>
  <c r="N1114" i="21"/>
  <c r="U80" i="23"/>
  <c r="T90" i="23" s="1"/>
  <c r="L793" i="9"/>
  <c r="L789" i="9"/>
  <c r="J156" i="4" s="1"/>
  <c r="K156" i="4" s="1"/>
  <c r="N744" i="9"/>
  <c r="N738" i="9"/>
  <c r="N714" i="9"/>
  <c r="N697" i="9"/>
  <c r="J690" i="9"/>
  <c r="H140" i="4" s="1"/>
  <c r="I140" i="4" s="1"/>
  <c r="L604" i="21"/>
  <c r="E225" i="21"/>
  <c r="J225" i="21" s="1"/>
  <c r="E223" i="21" s="1"/>
  <c r="N92" i="9"/>
  <c r="N1020" i="9"/>
  <c r="O159" i="11"/>
  <c r="E569" i="21"/>
  <c r="J569" i="21" s="1"/>
  <c r="E566" i="21" s="1"/>
  <c r="R22" i="14"/>
  <c r="L1045" i="21"/>
  <c r="G1065" i="21" s="1"/>
  <c r="AB108" i="23"/>
  <c r="AK109" i="23" s="1"/>
  <c r="H1232" i="9"/>
  <c r="F209" i="4" s="1"/>
  <c r="G209" i="4" s="1"/>
  <c r="E813" i="21"/>
  <c r="J813" i="21" s="1"/>
  <c r="E811" i="21" s="1"/>
  <c r="L111" i="21"/>
  <c r="L202" i="9"/>
  <c r="J34" i="4" s="1"/>
  <c r="K34" i="4" s="1"/>
  <c r="L182" i="9"/>
  <c r="J31" i="4" s="1"/>
  <c r="K31" i="4" s="1"/>
  <c r="L177" i="9"/>
  <c r="J30" i="4" s="1"/>
  <c r="K30" i="4" s="1"/>
  <c r="L162" i="9"/>
  <c r="K2067" i="9" s="1"/>
  <c r="L2067" i="9" s="1"/>
  <c r="N199" i="9"/>
  <c r="N2005" i="9"/>
  <c r="L562" i="21"/>
  <c r="H564" i="21" s="1"/>
  <c r="E565" i="21" s="1"/>
  <c r="E557" i="21" s="1"/>
  <c r="K97" i="9"/>
  <c r="M97" i="9" s="1"/>
  <c r="J457" i="9"/>
  <c r="H82" i="4" s="1"/>
  <c r="I82" i="4" s="1"/>
  <c r="N643" i="9"/>
  <c r="N895" i="9"/>
  <c r="O495" i="9"/>
  <c r="K989" i="9"/>
  <c r="L989" i="9" s="1"/>
  <c r="K965" i="9"/>
  <c r="L965" i="9" s="1"/>
  <c r="K283" i="21"/>
  <c r="K724" i="21"/>
  <c r="L16" i="21"/>
  <c r="H59" i="23"/>
  <c r="N948" i="9"/>
  <c r="O229" i="11"/>
  <c r="O299" i="11"/>
  <c r="L993" i="21"/>
  <c r="E961" i="21"/>
  <c r="J961" i="21" s="1"/>
  <c r="E958" i="21" s="1"/>
  <c r="L944" i="21"/>
  <c r="E324" i="21"/>
  <c r="J324" i="21" s="1"/>
  <c r="E321" i="21" s="1"/>
  <c r="G1178" i="11"/>
  <c r="I257" i="23"/>
  <c r="N375" i="9"/>
  <c r="N376" i="9" s="1"/>
  <c r="N857" i="9"/>
  <c r="N884" i="9"/>
  <c r="K1909" i="9"/>
  <c r="L1909" i="9" s="1"/>
  <c r="L1917" i="9" s="1"/>
  <c r="J354" i="4" s="1"/>
  <c r="K354" i="4" s="1"/>
  <c r="K1889" i="9"/>
  <c r="L1889" i="9" s="1"/>
  <c r="K1919" i="9"/>
  <c r="L1919" i="9" s="1"/>
  <c r="L1927" i="9" s="1"/>
  <c r="J355" i="4" s="1"/>
  <c r="K355" i="4" s="1"/>
  <c r="K1705" i="9"/>
  <c r="L1705" i="9" s="1"/>
  <c r="K1949" i="9"/>
  <c r="L1949" i="9" s="1"/>
  <c r="L1957" i="9" s="1"/>
  <c r="J358" i="4" s="1"/>
  <c r="K358" i="4" s="1"/>
  <c r="K1939" i="9"/>
  <c r="L1939" i="9" s="1"/>
  <c r="K1791" i="9"/>
  <c r="L1791" i="9" s="1"/>
  <c r="K1869" i="9"/>
  <c r="L1869" i="9" s="1"/>
  <c r="J1125" i="9"/>
  <c r="J68" i="9"/>
  <c r="K869" i="9"/>
  <c r="L869" i="9" s="1"/>
  <c r="K815" i="9"/>
  <c r="L815" i="9" s="1"/>
  <c r="F731" i="21"/>
  <c r="M643" i="9"/>
  <c r="L1181" i="9"/>
  <c r="M1777" i="9"/>
  <c r="J1803" i="9"/>
  <c r="M1632" i="9"/>
  <c r="J1597" i="9"/>
  <c r="M318" i="9"/>
  <c r="M1267" i="9"/>
  <c r="J1796" i="9"/>
  <c r="N1777" i="9"/>
  <c r="N516" i="9"/>
  <c r="N517" i="9" s="1"/>
  <c r="J915" i="9"/>
  <c r="M1567" i="9"/>
  <c r="G1633" i="9"/>
  <c r="M1633" i="9" s="1"/>
  <c r="K544" i="9"/>
  <c r="L544" i="9" s="1"/>
  <c r="D162" i="23"/>
  <c r="M740" i="9"/>
  <c r="K900" i="9"/>
  <c r="L900" i="9" s="1"/>
  <c r="AC220" i="23"/>
  <c r="K1377" i="9"/>
  <c r="L1377" i="9" s="1"/>
  <c r="L1378" i="9" s="1"/>
  <c r="J253" i="4" s="1"/>
  <c r="K253" i="4" s="1"/>
  <c r="K1667" i="9"/>
  <c r="L1667" i="9" s="1"/>
  <c r="K1341" i="9"/>
  <c r="L1341" i="9" s="1"/>
  <c r="L1342" i="9" s="1"/>
  <c r="J241" i="4" s="1"/>
  <c r="K241" i="4" s="1"/>
  <c r="K1054" i="9"/>
  <c r="L1054" i="9" s="1"/>
  <c r="K1452" i="9"/>
  <c r="L1452" i="9" s="1"/>
  <c r="L1453" i="9" s="1"/>
  <c r="J278" i="4" s="1"/>
  <c r="K278" i="4" s="1"/>
  <c r="K1431" i="9"/>
  <c r="L1431" i="9" s="1"/>
  <c r="L1432" i="9" s="1"/>
  <c r="J271" i="4" s="1"/>
  <c r="K271" i="4" s="1"/>
  <c r="K1691" i="9"/>
  <c r="L1691" i="9" s="1"/>
  <c r="K299" i="9"/>
  <c r="L299" i="9" s="1"/>
  <c r="K907" i="9"/>
  <c r="L907" i="9" s="1"/>
  <c r="K695" i="9"/>
  <c r="L695" i="9" s="1"/>
  <c r="K1661" i="9"/>
  <c r="K955" i="9"/>
  <c r="L955" i="9" s="1"/>
  <c r="K1362" i="9"/>
  <c r="L1362" i="9" s="1"/>
  <c r="L1363" i="9" s="1"/>
  <c r="J248" i="4" s="1"/>
  <c r="K248" i="4" s="1"/>
  <c r="J1579" i="9"/>
  <c r="M111" i="9"/>
  <c r="M86" i="9"/>
  <c r="J1903" i="9"/>
  <c r="J1932" i="9"/>
  <c r="J1943" i="9"/>
  <c r="J1954" i="9"/>
  <c r="M1992" i="9"/>
  <c r="M59" i="9"/>
  <c r="M1621" i="9"/>
  <c r="M372" i="9"/>
  <c r="M265" i="9"/>
  <c r="AP7" i="22"/>
  <c r="M856" i="9"/>
  <c r="J1815" i="9"/>
  <c r="N856" i="9"/>
  <c r="J829" i="9"/>
  <c r="T26" i="22"/>
  <c r="K914" i="9" s="1"/>
  <c r="J1549" i="9"/>
  <c r="M255" i="12"/>
  <c r="M258" i="12" s="1"/>
  <c r="K1469" i="9"/>
  <c r="R40" i="22"/>
  <c r="T40" i="22" s="1"/>
  <c r="K1600" i="9" s="1"/>
  <c r="M1600" i="9" s="1"/>
  <c r="K1655" i="9"/>
  <c r="L1655" i="9" s="1"/>
  <c r="K1386" i="9"/>
  <c r="L1386" i="9" s="1"/>
  <c r="L1387" i="9" s="1"/>
  <c r="J256" i="4" s="1"/>
  <c r="K256" i="4" s="1"/>
  <c r="F1073" i="21"/>
  <c r="F1122" i="21"/>
  <c r="K409" i="9"/>
  <c r="L409" i="9" s="1"/>
  <c r="F93" i="21"/>
  <c r="K1014" i="9"/>
  <c r="J1561" i="9"/>
  <c r="N1561" i="9" s="1"/>
  <c r="J1001" i="9"/>
  <c r="J367" i="9"/>
  <c r="F780" i="21"/>
  <c r="J1729" i="9"/>
  <c r="M1758" i="9"/>
  <c r="J1609" i="9"/>
  <c r="M723" i="9"/>
  <c r="M455" i="9"/>
  <c r="M548" i="9"/>
  <c r="M416" i="9"/>
  <c r="M303" i="9"/>
  <c r="J336" i="9"/>
  <c r="M975" i="9"/>
  <c r="J1268" i="9"/>
  <c r="AJ82" i="23"/>
  <c r="J928" i="9"/>
  <c r="K1068" i="9"/>
  <c r="L1068" i="9" s="1"/>
  <c r="J1585" i="9"/>
  <c r="G456" i="9"/>
  <c r="H456" i="9" s="1"/>
  <c r="H457" i="9" s="1"/>
  <c r="F82" i="4" s="1"/>
  <c r="J767" i="9"/>
  <c r="J95" i="9"/>
  <c r="N201" i="9"/>
  <c r="J157" i="4"/>
  <c r="K157" i="4" s="1"/>
  <c r="K807" i="9"/>
  <c r="L807" i="9" s="1"/>
  <c r="N724" i="21"/>
  <c r="S161" i="23"/>
  <c r="S159" i="23"/>
  <c r="S160" i="23"/>
  <c r="AI65" i="23"/>
  <c r="AI64" i="23"/>
  <c r="K707" i="9"/>
  <c r="L707" i="9" s="1"/>
  <c r="J32" i="4"/>
  <c r="K32" i="4" s="1"/>
  <c r="K725" i="9"/>
  <c r="L725" i="9" s="1"/>
  <c r="E239" i="11"/>
  <c r="E236" i="11"/>
  <c r="E233" i="11"/>
  <c r="C53" i="23"/>
  <c r="C55" i="23"/>
  <c r="G234" i="23"/>
  <c r="G236" i="23"/>
  <c r="J236" i="23" s="1"/>
  <c r="G235" i="23"/>
  <c r="G116" i="23"/>
  <c r="J116" i="23" s="1"/>
  <c r="G114" i="23"/>
  <c r="G115" i="23"/>
  <c r="H610" i="21"/>
  <c r="J610" i="21" s="1"/>
  <c r="E609" i="21" s="1"/>
  <c r="E618" i="21" s="1"/>
  <c r="G607" i="21" s="1"/>
  <c r="G624" i="21"/>
  <c r="G381" i="21"/>
  <c r="K381" i="21" s="1"/>
  <c r="E366" i="21"/>
  <c r="L366" i="21" s="1"/>
  <c r="H368" i="21" s="1"/>
  <c r="AI199" i="23"/>
  <c r="AI205" i="23" s="1"/>
  <c r="AL201" i="23"/>
  <c r="K1734" i="9"/>
  <c r="L1734" i="9" s="1"/>
  <c r="K1829" i="9"/>
  <c r="L1829" i="9" s="1"/>
  <c r="K1743" i="9"/>
  <c r="L1743" i="9" s="1"/>
  <c r="K1929" i="9"/>
  <c r="L1929" i="9" s="1"/>
  <c r="E807" i="21"/>
  <c r="G822" i="21"/>
  <c r="J79" i="9"/>
  <c r="J81" i="9" s="1"/>
  <c r="H16" i="4" s="1"/>
  <c r="I16" i="4" s="1"/>
  <c r="M79" i="9"/>
  <c r="J118" i="9"/>
  <c r="N118" i="9" s="1"/>
  <c r="M118" i="9"/>
  <c r="J254" i="9"/>
  <c r="J257" i="9" s="1"/>
  <c r="H42" i="4" s="1"/>
  <c r="I42" i="4" s="1"/>
  <c r="M254" i="9"/>
  <c r="J1537" i="9"/>
  <c r="M1537" i="9"/>
  <c r="J1614" i="9"/>
  <c r="N1614" i="9" s="1"/>
  <c r="M1614" i="9"/>
  <c r="M1699" i="9"/>
  <c r="J1699" i="9"/>
  <c r="M1720" i="9"/>
  <c r="J1720" i="9"/>
  <c r="J2058" i="9"/>
  <c r="M2058" i="9"/>
  <c r="J2196" i="9"/>
  <c r="G2198" i="9" s="1"/>
  <c r="M2196" i="9"/>
  <c r="M1953" i="9"/>
  <c r="J1953" i="9"/>
  <c r="N1953" i="9" s="1"/>
  <c r="F143" i="21"/>
  <c r="K1081" i="9"/>
  <c r="L1081" i="9" s="1"/>
  <c r="K1095" i="9"/>
  <c r="L1095" i="9" s="1"/>
  <c r="F632" i="21"/>
  <c r="K1016" i="9"/>
  <c r="L1016" i="9" s="1"/>
  <c r="K1053" i="9"/>
  <c r="L1053" i="9" s="1"/>
  <c r="G836" i="9"/>
  <c r="M836" i="9" s="1"/>
  <c r="G864" i="9"/>
  <c r="G872" i="9"/>
  <c r="M872" i="9" s="1"/>
  <c r="G207" i="9"/>
  <c r="G197" i="9"/>
  <c r="H197" i="9" s="1"/>
  <c r="N197" i="9" s="1"/>
  <c r="G57" i="9"/>
  <c r="G109" i="9"/>
  <c r="M109" i="9" s="1"/>
  <c r="K1164" i="9"/>
  <c r="M1164" i="9" s="1"/>
  <c r="K1185" i="9"/>
  <c r="K1186" i="9" s="1"/>
  <c r="L1186" i="9" s="1"/>
  <c r="N1186" i="9" s="1"/>
  <c r="M778" i="9"/>
  <c r="J778" i="9"/>
  <c r="N778" i="9" s="1"/>
  <c r="E128" i="21"/>
  <c r="J128" i="21" s="1"/>
  <c r="E125" i="21" s="1"/>
  <c r="L272" i="9"/>
  <c r="J45" i="4" s="1"/>
  <c r="K45" i="4" s="1"/>
  <c r="L1134" i="9"/>
  <c r="J489" i="9"/>
  <c r="J490" i="9" s="1"/>
  <c r="H92" i="4" s="1"/>
  <c r="I92" i="4" s="1"/>
  <c r="AB106" i="23"/>
  <c r="K1762" i="9"/>
  <c r="L1762" i="9" s="1"/>
  <c r="D34" i="23"/>
  <c r="M61" i="9"/>
  <c r="J24" i="9"/>
  <c r="N24" i="9" s="1"/>
  <c r="R37" i="22"/>
  <c r="T37" i="22" s="1"/>
  <c r="R44" i="22"/>
  <c r="T44" i="22" s="1"/>
  <c r="G282" i="23"/>
  <c r="G281" i="23"/>
  <c r="G773" i="21"/>
  <c r="K773" i="21" s="1"/>
  <c r="E758" i="21"/>
  <c r="L758" i="21" s="1"/>
  <c r="H760" i="21" s="1"/>
  <c r="E761" i="21" s="1"/>
  <c r="E753" i="21" s="1"/>
  <c r="E769" i="21" s="1"/>
  <c r="G751" i="21" s="1"/>
  <c r="D774" i="21" s="1"/>
  <c r="K774" i="21" s="1"/>
  <c r="K291" i="9"/>
  <c r="L291" i="9" s="1"/>
  <c r="K298" i="9"/>
  <c r="L298" i="9" s="1"/>
  <c r="I555" i="9"/>
  <c r="J555" i="9" s="1"/>
  <c r="I543" i="9"/>
  <c r="J543" i="9" s="1"/>
  <c r="I437" i="9"/>
  <c r="J437" i="9" s="1"/>
  <c r="I561" i="9"/>
  <c r="I426" i="9"/>
  <c r="J426" i="9" s="1"/>
  <c r="G969" i="21"/>
  <c r="K969" i="21" s="1"/>
  <c r="E954" i="21"/>
  <c r="L954" i="21" s="1"/>
  <c r="H956" i="21" s="1"/>
  <c r="E957" i="21" s="1"/>
  <c r="E949" i="21" s="1"/>
  <c r="E965" i="21" s="1"/>
  <c r="G947" i="21" s="1"/>
  <c r="D970" i="21" s="1"/>
  <c r="K970" i="21" s="1"/>
  <c r="J746" i="9"/>
  <c r="M746" i="9"/>
  <c r="J387" i="9"/>
  <c r="J388" i="9" s="1"/>
  <c r="H68" i="4" s="1"/>
  <c r="I68" i="4" s="1"/>
  <c r="M387" i="9"/>
  <c r="J435" i="9"/>
  <c r="G439" i="9"/>
  <c r="M534" i="9"/>
  <c r="G538" i="9"/>
  <c r="J534" i="9"/>
  <c r="M896" i="9"/>
  <c r="J896" i="9"/>
  <c r="J962" i="9"/>
  <c r="M962" i="9"/>
  <c r="M1024" i="9"/>
  <c r="J1024" i="9"/>
  <c r="N1024" i="9" s="1"/>
  <c r="J1590" i="9"/>
  <c r="M1590" i="9"/>
  <c r="J1737" i="9"/>
  <c r="N1737" i="9" s="1"/>
  <c r="M1737" i="9"/>
  <c r="M1775" i="9"/>
  <c r="J1775" i="9"/>
  <c r="M1814" i="9"/>
  <c r="J1814" i="9"/>
  <c r="M1852" i="9"/>
  <c r="J1852" i="9"/>
  <c r="M1863" i="9"/>
  <c r="J1863" i="9"/>
  <c r="J1874" i="9"/>
  <c r="M1874" i="9"/>
  <c r="J2097" i="9"/>
  <c r="N2097" i="9" s="1"/>
  <c r="M2097" i="9"/>
  <c r="J2155" i="9"/>
  <c r="M2155" i="9"/>
  <c r="J2210" i="9"/>
  <c r="N2210" i="9" s="1"/>
  <c r="K2211" i="9"/>
  <c r="M2210" i="9"/>
  <c r="M1189" i="9"/>
  <c r="L1189" i="9"/>
  <c r="N1189" i="9" s="1"/>
  <c r="M1578" i="9"/>
  <c r="J1578" i="9"/>
  <c r="N1578" i="9" s="1"/>
  <c r="M1669" i="9"/>
  <c r="J1669" i="9"/>
  <c r="N1669" i="9" s="1"/>
  <c r="E131" i="11"/>
  <c r="E128" i="11"/>
  <c r="AK155" i="23"/>
  <c r="AI156" i="23"/>
  <c r="AI157" i="23" s="1"/>
  <c r="H2197" i="9"/>
  <c r="N2197" i="9" s="1"/>
  <c r="M2197" i="9"/>
  <c r="M342" i="12"/>
  <c r="K1320" i="9"/>
  <c r="L1320" i="9" s="1"/>
  <c r="L1321" i="9" s="1"/>
  <c r="J234" i="4" s="1"/>
  <c r="K234" i="4" s="1"/>
  <c r="M234" i="4" s="1"/>
  <c r="K858" i="9"/>
  <c r="L858" i="9" s="1"/>
  <c r="K886" i="9"/>
  <c r="L886" i="9" s="1"/>
  <c r="K2234" i="9"/>
  <c r="L2234" i="9" s="1"/>
  <c r="K2225" i="9"/>
  <c r="L2225" i="9" s="1"/>
  <c r="K2243" i="9"/>
  <c r="L2243" i="9" s="1"/>
  <c r="K2216" i="9"/>
  <c r="L2216" i="9" s="1"/>
  <c r="K1511" i="9"/>
  <c r="L1511" i="9" s="1"/>
  <c r="L1512" i="9" s="1"/>
  <c r="J297" i="4" s="1"/>
  <c r="K841" i="9"/>
  <c r="L841" i="9" s="1"/>
  <c r="K1455" i="9"/>
  <c r="L1455" i="9" s="1"/>
  <c r="L1456" i="9" s="1"/>
  <c r="J279" i="4" s="1"/>
  <c r="K279" i="4" s="1"/>
  <c r="AC76" i="23"/>
  <c r="AK107" i="23"/>
  <c r="AI108" i="23"/>
  <c r="AI109" i="23" s="1"/>
  <c r="AI110" i="23" s="1"/>
  <c r="AI106" i="23" s="1"/>
  <c r="AI113" i="23" s="1"/>
  <c r="G1705" i="9"/>
  <c r="H1705" i="9" s="1"/>
  <c r="G1772" i="9"/>
  <c r="H1772" i="9" s="1"/>
  <c r="G1781" i="9"/>
  <c r="H1781" i="9" s="1"/>
  <c r="G415" i="9"/>
  <c r="H415" i="9" s="1"/>
  <c r="N415" i="9" s="1"/>
  <c r="G556" i="9"/>
  <c r="H556" i="9" s="1"/>
  <c r="M961" i="9"/>
  <c r="H961" i="9"/>
  <c r="E275" i="21"/>
  <c r="J275" i="21" s="1"/>
  <c r="E271" i="21" s="1"/>
  <c r="E279" i="21" s="1"/>
  <c r="G261" i="21" s="1"/>
  <c r="D284" i="21" s="1"/>
  <c r="K284" i="21" s="1"/>
  <c r="N283" i="21" s="1"/>
  <c r="J1204" i="9"/>
  <c r="H205" i="4" s="1"/>
  <c r="I205" i="4" s="1"/>
  <c r="L807" i="21"/>
  <c r="H809" i="21" s="1"/>
  <c r="E810" i="21" s="1"/>
  <c r="E802" i="21" s="1"/>
  <c r="E818" i="21" s="1"/>
  <c r="G800" i="21" s="1"/>
  <c r="D823" i="21" s="1"/>
  <c r="K823" i="21" s="1"/>
  <c r="I549" i="9"/>
  <c r="J549" i="9" s="1"/>
  <c r="R34" i="22"/>
  <c r="T34" i="22" s="1"/>
  <c r="G1073" i="11"/>
  <c r="K408" i="9" s="1"/>
  <c r="L408" i="9" s="1"/>
  <c r="I403" i="9"/>
  <c r="J403" i="9" s="1"/>
  <c r="N1120" i="9"/>
  <c r="H272" i="9"/>
  <c r="F45" i="4" s="1"/>
  <c r="G45" i="4" s="1"/>
  <c r="L1539" i="9"/>
  <c r="K1541" i="9" s="1"/>
  <c r="L1541" i="9" s="1"/>
  <c r="L1544" i="9" s="1"/>
  <c r="F27" i="22"/>
  <c r="H27" i="22" s="1"/>
  <c r="I31" i="22" s="1"/>
  <c r="L31" i="22" s="1"/>
  <c r="G35" i="22" s="1"/>
  <c r="L35" i="22" s="1"/>
  <c r="S19" i="23"/>
  <c r="U19" i="23" s="1"/>
  <c r="T84" i="23" s="1"/>
  <c r="J1126" i="9"/>
  <c r="H194" i="4" s="1"/>
  <c r="I194" i="4" s="1"/>
  <c r="M375" i="9"/>
  <c r="M1637" i="9"/>
  <c r="M1626" i="9"/>
  <c r="I536" i="9"/>
  <c r="J536" i="9" s="1"/>
  <c r="M1691" i="12"/>
  <c r="K1810" i="9"/>
  <c r="L1810" i="9" s="1"/>
  <c r="K1464" i="9"/>
  <c r="L1464" i="9" s="1"/>
  <c r="L1465" i="9" s="1"/>
  <c r="J282" i="4" s="1"/>
  <c r="K282" i="4" s="1"/>
  <c r="I544" i="9"/>
  <c r="H1051" i="21"/>
  <c r="J1051" i="21" s="1"/>
  <c r="E1050" i="21" s="1"/>
  <c r="N1585" i="9"/>
  <c r="J838" i="9"/>
  <c r="J343" i="9"/>
  <c r="N343" i="9" s="1"/>
  <c r="M1133" i="9"/>
  <c r="K1065" i="21"/>
  <c r="M1795" i="9"/>
  <c r="L1161" i="9"/>
  <c r="N795" i="9"/>
  <c r="L222" i="9"/>
  <c r="J37" i="4" s="1"/>
  <c r="K37" i="4" s="1"/>
  <c r="N116" i="9"/>
  <c r="L1634" i="9"/>
  <c r="J321" i="4" s="1"/>
  <c r="K321" i="4" s="1"/>
  <c r="S17" i="23"/>
  <c r="S62" i="23"/>
  <c r="R19" i="14"/>
  <c r="E23" i="11"/>
  <c r="I1484" i="9"/>
  <c r="J1484" i="9" s="1"/>
  <c r="J1485" i="9" s="1"/>
  <c r="H288" i="4" s="1"/>
  <c r="M1653" i="12"/>
  <c r="K1772" i="9"/>
  <c r="L1772" i="9" s="1"/>
  <c r="K1715" i="9"/>
  <c r="L1715" i="9" s="1"/>
  <c r="R42" i="22"/>
  <c r="T42" i="22" s="1"/>
  <c r="K1612" i="9" s="1"/>
  <c r="M1612" i="9" s="1"/>
  <c r="M1234" i="9"/>
  <c r="M865" i="9"/>
  <c r="H1012" i="9"/>
  <c r="K932" i="9"/>
  <c r="L932" i="9" s="1"/>
  <c r="D330" i="23"/>
  <c r="K1281" i="9"/>
  <c r="D20" i="23"/>
  <c r="L1649" i="9"/>
  <c r="K1005" i="9"/>
  <c r="L1005" i="9" s="1"/>
  <c r="K312" i="9"/>
  <c r="L312" i="9" s="1"/>
  <c r="F44" i="21"/>
  <c r="N1830" i="9"/>
  <c r="K1959" i="9"/>
  <c r="L1959" i="9" s="1"/>
  <c r="L1967" i="9" s="1"/>
  <c r="J359" i="4" s="1"/>
  <c r="K359" i="4" s="1"/>
  <c r="G137" i="9"/>
  <c r="M137" i="9" s="1"/>
  <c r="N1693" i="9"/>
  <c r="J420" i="9"/>
  <c r="J1011" i="9"/>
  <c r="N1011" i="9" s="1"/>
  <c r="N1914" i="9"/>
  <c r="M2188" i="9"/>
  <c r="H323" i="23"/>
  <c r="C317" i="23" s="1"/>
  <c r="I1983" i="9"/>
  <c r="J1983" i="9" s="1"/>
  <c r="J1987" i="9" s="1"/>
  <c r="H362" i="4" s="1"/>
  <c r="I362" i="4" s="1"/>
  <c r="H1204" i="9"/>
  <c r="F205" i="4" s="1"/>
  <c r="G205" i="4" s="1"/>
  <c r="H1197" i="9"/>
  <c r="F204" i="4" s="1"/>
  <c r="G204" i="4" s="1"/>
  <c r="J1183" i="9"/>
  <c r="H202" i="4" s="1"/>
  <c r="I202" i="4" s="1"/>
  <c r="N939" i="9"/>
  <c r="N985" i="9"/>
  <c r="N972" i="9"/>
  <c r="E520" i="21"/>
  <c r="J520" i="21" s="1"/>
  <c r="E517" i="21" s="1"/>
  <c r="I754" i="9"/>
  <c r="I759" i="9"/>
  <c r="J759" i="9" s="1"/>
  <c r="J761" i="9" s="1"/>
  <c r="A40" i="12"/>
  <c r="O1275" i="9"/>
  <c r="U64" i="23"/>
  <c r="T88" i="23" s="1"/>
  <c r="K1517" i="9"/>
  <c r="L1517" i="9" s="1"/>
  <c r="L1518" i="9" s="1"/>
  <c r="J299" i="4" s="1"/>
  <c r="K299" i="4" s="1"/>
  <c r="K1079" i="9"/>
  <c r="L1079" i="9" s="1"/>
  <c r="K1093" i="9"/>
  <c r="L1093" i="9" s="1"/>
  <c r="F829" i="21"/>
  <c r="K1096" i="9"/>
  <c r="L1096" i="9" s="1"/>
  <c r="K1082" i="9"/>
  <c r="L1082" i="9" s="1"/>
  <c r="A152" i="4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N1882" i="9"/>
  <c r="N1182" i="9"/>
  <c r="J789" i="9"/>
  <c r="H156" i="4" s="1"/>
  <c r="I156" i="4" s="1"/>
  <c r="L895" i="21"/>
  <c r="E905" i="21" s="1"/>
  <c r="L905" i="21" s="1"/>
  <c r="H907" i="21" s="1"/>
  <c r="E908" i="21" s="1"/>
  <c r="E900" i="21" s="1"/>
  <c r="E177" i="21"/>
  <c r="J177" i="21" s="1"/>
  <c r="E174" i="21" s="1"/>
  <c r="M806" i="12"/>
  <c r="M809" i="12" s="1"/>
  <c r="I1025" i="9" s="1"/>
  <c r="J1025" i="9" s="1"/>
  <c r="L503" i="21"/>
  <c r="N740" i="9"/>
  <c r="N18" i="9"/>
  <c r="N303" i="9"/>
  <c r="J433" i="9"/>
  <c r="I647" i="9" s="1"/>
  <c r="J647" i="9" s="1"/>
  <c r="K759" i="9"/>
  <c r="L759" i="9" s="1"/>
  <c r="L761" i="9" s="1"/>
  <c r="K754" i="9"/>
  <c r="K2233" i="9"/>
  <c r="L2233" i="9" s="1"/>
  <c r="L2239" i="9" s="1"/>
  <c r="J396" i="4" s="1"/>
  <c r="K396" i="4" s="1"/>
  <c r="K2224" i="9"/>
  <c r="L2224" i="9" s="1"/>
  <c r="K2242" i="9"/>
  <c r="L2242" i="9" s="1"/>
  <c r="L2248" i="9" s="1"/>
  <c r="J397" i="4" s="1"/>
  <c r="K397" i="4" s="1"/>
  <c r="K2215" i="9"/>
  <c r="L2215" i="9" s="1"/>
  <c r="L2221" i="9" s="1"/>
  <c r="J394" i="4" s="1"/>
  <c r="K394" i="4" s="1"/>
  <c r="J766" i="9"/>
  <c r="G772" i="9"/>
  <c r="K773" i="9"/>
  <c r="N1966" i="9"/>
  <c r="G1251" i="11"/>
  <c r="I559" i="9" s="1"/>
  <c r="J559" i="9" s="1"/>
  <c r="N1980" i="9"/>
  <c r="N1220" i="9"/>
  <c r="J1190" i="9"/>
  <c r="H203" i="4" s="1"/>
  <c r="I203" i="4" s="1"/>
  <c r="H1162" i="9"/>
  <c r="F199" i="4" s="1"/>
  <c r="G199" i="4" s="1"/>
  <c r="L655" i="21"/>
  <c r="L160" i="21"/>
  <c r="L67" i="21"/>
  <c r="N281" i="9"/>
  <c r="L192" i="9"/>
  <c r="L172" i="9"/>
  <c r="K2086" i="9" s="1"/>
  <c r="L2086" i="9" s="1"/>
  <c r="L152" i="9"/>
  <c r="J25" i="4" s="1"/>
  <c r="K25" i="4" s="1"/>
  <c r="L132" i="9"/>
  <c r="J22" i="4" s="1"/>
  <c r="K22" i="4" s="1"/>
  <c r="I91" i="23"/>
  <c r="C652" i="11"/>
  <c r="C653" i="11" s="1"/>
  <c r="G653" i="11" s="1"/>
  <c r="C722" i="11"/>
  <c r="C723" i="11" s="1"/>
  <c r="G723" i="11" s="1"/>
  <c r="N963" i="9"/>
  <c r="I313" i="9"/>
  <c r="J313" i="9" s="1"/>
  <c r="I1467" i="9"/>
  <c r="J1467" i="9" s="1"/>
  <c r="J1470" i="9" s="1"/>
  <c r="H283" i="4" s="1"/>
  <c r="I283" i="4" s="1"/>
  <c r="K1065" i="9"/>
  <c r="L1065" i="9" s="1"/>
  <c r="I1930" i="9"/>
  <c r="J1930" i="9" s="1"/>
  <c r="I1960" i="9"/>
  <c r="J1960" i="9" s="1"/>
  <c r="I1697" i="9"/>
  <c r="M1697" i="9" s="1"/>
  <c r="I1820" i="9"/>
  <c r="J1820" i="9" s="1"/>
  <c r="I1772" i="9"/>
  <c r="J1772" i="9" s="1"/>
  <c r="I1696" i="9"/>
  <c r="J1696" i="9" s="1"/>
  <c r="I1734" i="9"/>
  <c r="J1734" i="9" s="1"/>
  <c r="N1734" i="9" s="1"/>
  <c r="I1735" i="9"/>
  <c r="J1735" i="9" s="1"/>
  <c r="I1716" i="9"/>
  <c r="J1716" i="9" s="1"/>
  <c r="P161" i="23"/>
  <c r="U161" i="23" s="1"/>
  <c r="T185" i="23" s="1"/>
  <c r="D282" i="23"/>
  <c r="I282" i="23" s="1"/>
  <c r="H411" i="9"/>
  <c r="N411" i="9" s="1"/>
  <c r="H141" i="9"/>
  <c r="N141" i="9" s="1"/>
  <c r="H751" i="9"/>
  <c r="F151" i="4" s="1"/>
  <c r="G151" i="4" s="1"/>
  <c r="O712" i="9"/>
  <c r="K1685" i="9"/>
  <c r="L1685" i="9" s="1"/>
  <c r="K840" i="9"/>
  <c r="L840" i="9" s="1"/>
  <c r="F241" i="21"/>
  <c r="F681" i="21"/>
  <c r="K814" i="9"/>
  <c r="L814" i="9" s="1"/>
  <c r="I1889" i="9"/>
  <c r="J1889" i="9" s="1"/>
  <c r="I1819" i="9"/>
  <c r="J1819" i="9" s="1"/>
  <c r="O1392" i="9"/>
  <c r="I1791" i="9"/>
  <c r="J1791" i="9" s="1"/>
  <c r="I1900" i="9"/>
  <c r="J1900" i="9" s="1"/>
  <c r="P176" i="23"/>
  <c r="U176" i="23" s="1"/>
  <c r="T187" i="23" s="1"/>
  <c r="I1929" i="9"/>
  <c r="J1929" i="9" s="1"/>
  <c r="N1001" i="9"/>
  <c r="N393" i="9"/>
  <c r="N80" i="9"/>
  <c r="I284" i="9"/>
  <c r="J284" i="9" s="1"/>
  <c r="N2148" i="9"/>
  <c r="N1609" i="9"/>
  <c r="N1548" i="9"/>
  <c r="N2045" i="9"/>
  <c r="N2195" i="9"/>
  <c r="P932" i="11"/>
  <c r="M931" i="11" s="1"/>
  <c r="O931" i="11" s="1"/>
  <c r="Q1034" i="11"/>
  <c r="Q1035" i="11" s="1"/>
  <c r="E1041" i="11" s="1"/>
  <c r="AJ130" i="23"/>
  <c r="L846" i="21"/>
  <c r="N2189" i="9"/>
  <c r="L2174" i="9"/>
  <c r="K2012" i="9" s="1"/>
  <c r="L2012" i="9" s="1"/>
  <c r="L2185" i="9"/>
  <c r="K2015" i="9" s="1"/>
  <c r="L2015" i="9" s="1"/>
  <c r="N2184" i="9"/>
  <c r="K822" i="21"/>
  <c r="E664" i="21"/>
  <c r="J664" i="21" s="1"/>
  <c r="E662" i="21" s="1"/>
  <c r="E76" i="21"/>
  <c r="J76" i="21" s="1"/>
  <c r="E74" i="21" s="1"/>
  <c r="J1108" i="9"/>
  <c r="N998" i="9"/>
  <c r="L454" i="21"/>
  <c r="N1591" i="9"/>
  <c r="N1590" i="9"/>
  <c r="N1535" i="9"/>
  <c r="B10" i="9"/>
  <c r="U211" i="23"/>
  <c r="N130" i="9"/>
  <c r="N271" i="9"/>
  <c r="N297" i="9"/>
  <c r="N410" i="9"/>
  <c r="N425" i="9"/>
  <c r="J1681" i="9"/>
  <c r="J424" i="9"/>
  <c r="G428" i="9"/>
  <c r="J9" i="9"/>
  <c r="I1547" i="9" s="1"/>
  <c r="J1547" i="9" s="1"/>
  <c r="K105" i="9"/>
  <c r="L105" i="9" s="1"/>
  <c r="K121" i="9"/>
  <c r="L121" i="9" s="1"/>
  <c r="N121" i="9" s="1"/>
  <c r="N282" i="9"/>
  <c r="N969" i="21"/>
  <c r="O544" i="11"/>
  <c r="A181" i="11"/>
  <c r="O504" i="9"/>
  <c r="G233" i="11"/>
  <c r="K507" i="9" s="1"/>
  <c r="L507" i="9" s="1"/>
  <c r="L508" i="9" s="1"/>
  <c r="E29" i="11"/>
  <c r="O789" i="11"/>
  <c r="O754" i="11"/>
  <c r="M8" i="9"/>
  <c r="M1167" i="9"/>
  <c r="J39" i="9"/>
  <c r="N39" i="9" s="1"/>
  <c r="H999" i="9"/>
  <c r="N999" i="9" s="1"/>
  <c r="M1237" i="9"/>
  <c r="N562" i="9"/>
  <c r="M1223" i="9"/>
  <c r="M1185" i="9"/>
  <c r="M1220" i="9"/>
  <c r="M1153" i="9"/>
  <c r="M1139" i="9"/>
  <c r="H904" i="9"/>
  <c r="J89" i="9"/>
  <c r="H893" i="9"/>
  <c r="N893" i="9" s="1"/>
  <c r="L1195" i="9"/>
  <c r="H837" i="9"/>
  <c r="M289" i="9"/>
  <c r="M46" i="9"/>
  <c r="M310" i="9"/>
  <c r="M260" i="9"/>
  <c r="J71" i="9"/>
  <c r="N71" i="9" s="1"/>
  <c r="J384" i="9"/>
  <c r="J385" i="9" s="1"/>
  <c r="H67" i="4" s="1"/>
  <c r="J245" i="9"/>
  <c r="J248" i="9" s="1"/>
  <c r="H41" i="4" s="1"/>
  <c r="I41" i="4" s="1"/>
  <c r="L1209" i="9"/>
  <c r="M424" i="9"/>
  <c r="N260" i="9"/>
  <c r="N77" i="9"/>
  <c r="J211" i="9"/>
  <c r="M550" i="9"/>
  <c r="J47" i="9"/>
  <c r="H12" i="4" s="1"/>
  <c r="I12" i="4" s="1"/>
  <c r="G78" i="9"/>
  <c r="H78" i="9" s="1"/>
  <c r="M1860" i="9"/>
  <c r="R35" i="22"/>
  <c r="T35" i="22" s="1"/>
  <c r="R36" i="22"/>
  <c r="T36" i="22" s="1"/>
  <c r="K1582" i="9" s="1"/>
  <c r="R43" i="22"/>
  <c r="T43" i="22" s="1"/>
  <c r="R38" i="22"/>
  <c r="T38" i="22" s="1"/>
  <c r="K1588" i="9" s="1"/>
  <c r="L1588" i="9" s="1"/>
  <c r="N1588" i="9" s="1"/>
  <c r="R39" i="22"/>
  <c r="T39" i="22" s="1"/>
  <c r="K1594" i="9" s="1"/>
  <c r="L1594" i="9" s="1"/>
  <c r="M199" i="9"/>
  <c r="M819" i="9"/>
  <c r="M251" i="9"/>
  <c r="M1060" i="9"/>
  <c r="H836" i="9"/>
  <c r="J33" i="4"/>
  <c r="K33" i="4" s="1"/>
  <c r="K2066" i="9"/>
  <c r="L2066" i="9" s="1"/>
  <c r="K2079" i="9"/>
  <c r="L2079" i="9" s="1"/>
  <c r="N865" i="9"/>
  <c r="N828" i="9"/>
  <c r="K698" i="9"/>
  <c r="L698" i="9" s="1"/>
  <c r="N131" i="9"/>
  <c r="N1864" i="9"/>
  <c r="N1708" i="9"/>
  <c r="N1637" i="9"/>
  <c r="N1631" i="9"/>
  <c r="N1626" i="9"/>
  <c r="N905" i="9"/>
  <c r="N492" i="9"/>
  <c r="N493" i="9" s="1"/>
  <c r="K800" i="9"/>
  <c r="L800" i="9" s="1"/>
  <c r="N1870" i="9"/>
  <c r="L1837" i="9"/>
  <c r="J346" i="4" s="1"/>
  <c r="K346" i="4" s="1"/>
  <c r="L1877" i="9"/>
  <c r="J350" i="4" s="1"/>
  <c r="K350" i="4" s="1"/>
  <c r="N1594" i="9"/>
  <c r="N2177" i="9"/>
  <c r="M417" i="9"/>
  <c r="N1171" i="9"/>
  <c r="N381" i="9"/>
  <c r="N382" i="9" s="1"/>
  <c r="H937" i="9"/>
  <c r="N937" i="9" s="1"/>
  <c r="N513" i="9"/>
  <c r="N514" i="9" s="1"/>
  <c r="L1014" i="9"/>
  <c r="M1120" i="9"/>
  <c r="J94" i="9"/>
  <c r="M1535" i="9"/>
  <c r="N836" i="9"/>
  <c r="J210" i="9"/>
  <c r="J820" i="9"/>
  <c r="J442" i="9"/>
  <c r="J444" i="9" s="1"/>
  <c r="H79" i="4" s="1"/>
  <c r="I79" i="4" s="1"/>
  <c r="M401" i="9"/>
  <c r="J320" i="9"/>
  <c r="M1241" i="9"/>
  <c r="M67" i="9"/>
  <c r="J58" i="9"/>
  <c r="G60" i="9" s="1"/>
  <c r="H60" i="9" s="1"/>
  <c r="J38" i="9"/>
  <c r="M1202" i="9"/>
  <c r="H1010" i="9"/>
  <c r="N1010" i="9" s="1"/>
  <c r="M1021" i="9"/>
  <c r="M2131" i="9"/>
  <c r="N896" i="9"/>
  <c r="N767" i="9"/>
  <c r="M381" i="9"/>
  <c r="J311" i="9"/>
  <c r="M237" i="9"/>
  <c r="M410" i="9"/>
  <c r="M435" i="9"/>
  <c r="M542" i="9"/>
  <c r="M554" i="9"/>
  <c r="M635" i="9"/>
  <c r="M788" i="9"/>
  <c r="H2212" i="9"/>
  <c r="G2142" i="9" s="1"/>
  <c r="H2142" i="9" s="1"/>
  <c r="N2104" i="9"/>
  <c r="L2156" i="9"/>
  <c r="K2009" i="9" s="1"/>
  <c r="L2009" i="9" s="1"/>
  <c r="N1992" i="9"/>
  <c r="N1991" i="9"/>
  <c r="N1873" i="9"/>
  <c r="N1245" i="9"/>
  <c r="N1237" i="9"/>
  <c r="N1196" i="9"/>
  <c r="J1162" i="9"/>
  <c r="H199" i="4" s="1"/>
  <c r="I199" i="4" s="1"/>
  <c r="N1140" i="9"/>
  <c r="N812" i="9"/>
  <c r="L457" i="9"/>
  <c r="J82" i="4" s="1"/>
  <c r="K82" i="4" s="1"/>
  <c r="N295" i="9"/>
  <c r="J102" i="9"/>
  <c r="G104" i="9" s="1"/>
  <c r="H104" i="9" s="1"/>
  <c r="H1108" i="9"/>
  <c r="N1549" i="9"/>
  <c r="N1538" i="9"/>
  <c r="N1536" i="9"/>
  <c r="M766" i="9"/>
  <c r="M1811" i="9"/>
  <c r="H1885" i="9"/>
  <c r="N1885" i="9" s="1"/>
  <c r="H1845" i="9"/>
  <c r="M2147" i="9"/>
  <c r="G1955" i="9"/>
  <c r="H1955" i="9" s="1"/>
  <c r="N1955" i="9" s="1"/>
  <c r="G1935" i="9"/>
  <c r="H1935" i="9" s="1"/>
  <c r="N1935" i="9" s="1"/>
  <c r="G1915" i="9"/>
  <c r="M1915" i="9" s="1"/>
  <c r="K1248" i="9"/>
  <c r="G1835" i="9"/>
  <c r="H1835" i="9" s="1"/>
  <c r="K1258" i="9"/>
  <c r="L1258" i="9" s="1"/>
  <c r="N1258" i="9" s="1"/>
  <c r="K1265" i="9"/>
  <c r="G2232" i="9"/>
  <c r="H2232" i="9" s="1"/>
  <c r="G1124" i="9"/>
  <c r="H1124" i="9" s="1"/>
  <c r="N1124" i="9" s="1"/>
  <c r="G2237" i="9"/>
  <c r="G2228" i="9"/>
  <c r="G2246" i="9"/>
  <c r="G2219" i="9"/>
  <c r="M1984" i="9"/>
  <c r="L1984" i="9"/>
  <c r="N1984" i="9" s="1"/>
  <c r="E49" i="22"/>
  <c r="I49" i="22" s="1"/>
  <c r="I47" i="22"/>
  <c r="G1044" i="9"/>
  <c r="G1086" i="9"/>
  <c r="G1072" i="9"/>
  <c r="G1071" i="9"/>
  <c r="G1085" i="9"/>
  <c r="G75" i="9"/>
  <c r="M75" i="9" s="1"/>
  <c r="G117" i="9"/>
  <c r="H117" i="9" s="1"/>
  <c r="G127" i="9"/>
  <c r="H127" i="9" s="1"/>
  <c r="N127" i="9" s="1"/>
  <c r="G1115" i="9"/>
  <c r="M1115" i="9" s="1"/>
  <c r="G1131" i="9"/>
  <c r="M1106" i="9"/>
  <c r="H138" i="9"/>
  <c r="N138" i="9" s="1"/>
  <c r="G93" i="9"/>
  <c r="M93" i="9" s="1"/>
  <c r="G101" i="9"/>
  <c r="H101" i="9" s="1"/>
  <c r="G84" i="9"/>
  <c r="G7" i="9"/>
  <c r="M7" i="9" s="1"/>
  <c r="G791" i="9"/>
  <c r="M791" i="9" s="1"/>
  <c r="G764" i="9"/>
  <c r="M764" i="9" s="1"/>
  <c r="G22" i="9"/>
  <c r="M22" i="9" s="1"/>
  <c r="H2164" i="9"/>
  <c r="N2164" i="9" s="1"/>
  <c r="M2251" i="9"/>
  <c r="H236" i="9"/>
  <c r="N236" i="9" s="1"/>
  <c r="N251" i="9"/>
  <c r="K256" i="9"/>
  <c r="L256" i="9" s="1"/>
  <c r="M56" i="9"/>
  <c r="H56" i="9"/>
  <c r="N56" i="9" s="1"/>
  <c r="I438" i="9"/>
  <c r="J438" i="9" s="1"/>
  <c r="J440" i="9" s="1"/>
  <c r="H78" i="4" s="1"/>
  <c r="I78" i="4" s="1"/>
  <c r="I1524" i="9"/>
  <c r="J1524" i="9" s="1"/>
  <c r="J1525" i="9" s="1"/>
  <c r="H301" i="4" s="1"/>
  <c r="I301" i="4" s="1"/>
  <c r="I316" i="9"/>
  <c r="J316" i="9" s="1"/>
  <c r="J321" i="9" s="1"/>
  <c r="I537" i="9"/>
  <c r="J537" i="9" s="1"/>
  <c r="J539" i="9" s="1"/>
  <c r="H107" i="4" s="1"/>
  <c r="I107" i="4" s="1"/>
  <c r="I291" i="9"/>
  <c r="J291" i="9" s="1"/>
  <c r="J293" i="9" s="1"/>
  <c r="H48" i="4" s="1"/>
  <c r="I48" i="4" s="1"/>
  <c r="I1475" i="9"/>
  <c r="J1475" i="9" s="1"/>
  <c r="J1476" i="9" s="1"/>
  <c r="H285" i="4" s="1"/>
  <c r="I285" i="4" s="1"/>
  <c r="AC171" i="23"/>
  <c r="I916" i="9"/>
  <c r="J916" i="9" s="1"/>
  <c r="J917" i="9" s="1"/>
  <c r="H171" i="4" s="1"/>
  <c r="I171" i="4" s="1"/>
  <c r="I1461" i="9"/>
  <c r="J1461" i="9" s="1"/>
  <c r="J1462" i="9" s="1"/>
  <c r="H281" i="4" s="1"/>
  <c r="I281" i="4" s="1"/>
  <c r="C830" i="11"/>
  <c r="C831" i="11" s="1"/>
  <c r="I427" i="9"/>
  <c r="J427" i="9" s="1"/>
  <c r="I1464" i="9"/>
  <c r="J1464" i="9" s="1"/>
  <c r="J1465" i="9" s="1"/>
  <c r="H282" i="4" s="1"/>
  <c r="I282" i="4" s="1"/>
  <c r="I277" i="9"/>
  <c r="J277" i="9" s="1"/>
  <c r="G339" i="9"/>
  <c r="H339" i="9" s="1"/>
  <c r="N339" i="9" s="1"/>
  <c r="I921" i="9"/>
  <c r="J921" i="9" s="1"/>
  <c r="J922" i="9" s="1"/>
  <c r="H172" i="4" s="1"/>
  <c r="I172" i="4" s="1"/>
  <c r="I323" i="9"/>
  <c r="J323" i="9" s="1"/>
  <c r="J328" i="9" s="1"/>
  <c r="I1028" i="9"/>
  <c r="J1028" i="9" s="1"/>
  <c r="I782" i="9"/>
  <c r="J782" i="9" s="1"/>
  <c r="I298" i="9"/>
  <c r="J298" i="9" s="1"/>
  <c r="J300" i="9" s="1"/>
  <c r="H49" i="4" s="1"/>
  <c r="I49" i="4" s="1"/>
  <c r="I305" i="9"/>
  <c r="J305" i="9" s="1"/>
  <c r="I1362" i="9"/>
  <c r="J1362" i="9" s="1"/>
  <c r="J1363" i="9" s="1"/>
  <c r="H248" i="4" s="1"/>
  <c r="I248" i="4" s="1"/>
  <c r="P160" i="23"/>
  <c r="U160" i="23" s="1"/>
  <c r="R185" i="23" s="1"/>
  <c r="I941" i="9"/>
  <c r="J941" i="9" s="1"/>
  <c r="I908" i="9"/>
  <c r="J908" i="9" s="1"/>
  <c r="I977" i="9"/>
  <c r="J977" i="9" s="1"/>
  <c r="I989" i="9"/>
  <c r="J989" i="9" s="1"/>
  <c r="I953" i="9"/>
  <c r="J953" i="9" s="1"/>
  <c r="I943" i="9"/>
  <c r="J943" i="9" s="1"/>
  <c r="G13" i="14"/>
  <c r="R13" i="14" s="1"/>
  <c r="I1389" i="9"/>
  <c r="J1389" i="9" s="1"/>
  <c r="J1390" i="9" s="1"/>
  <c r="I887" i="9" s="1"/>
  <c r="J887" i="9" s="1"/>
  <c r="I1392" i="9"/>
  <c r="J1392" i="9" s="1"/>
  <c r="J1393" i="9" s="1"/>
  <c r="H258" i="4" s="1"/>
  <c r="I258" i="4" s="1"/>
  <c r="D161" i="23"/>
  <c r="F679" i="21"/>
  <c r="I1096" i="9"/>
  <c r="I1082" i="9"/>
  <c r="I1016" i="9"/>
  <c r="J1016" i="9" s="1"/>
  <c r="I1095" i="9"/>
  <c r="I1081" i="9"/>
  <c r="N110" i="9"/>
  <c r="G112" i="9"/>
  <c r="H112" i="9" s="1"/>
  <c r="G246" i="9"/>
  <c r="H246" i="9" s="1"/>
  <c r="I1517" i="9"/>
  <c r="J1517" i="9" s="1"/>
  <c r="J1518" i="9" s="1"/>
  <c r="H299" i="4" s="1"/>
  <c r="I299" i="4" s="1"/>
  <c r="I1093" i="9"/>
  <c r="I1079" i="9"/>
  <c r="G805" i="9"/>
  <c r="H805" i="9" s="1"/>
  <c r="G806" i="9"/>
  <c r="H806" i="9" s="1"/>
  <c r="N806" i="9" s="1"/>
  <c r="G96" i="9"/>
  <c r="H96" i="9" s="1"/>
  <c r="G69" i="9"/>
  <c r="H69" i="9" s="1"/>
  <c r="G120" i="9"/>
  <c r="H120" i="9" s="1"/>
  <c r="L1600" i="9"/>
  <c r="N1600" i="9" s="1"/>
  <c r="H873" i="9"/>
  <c r="N873" i="9" s="1"/>
  <c r="M2165" i="9"/>
  <c r="L1192" i="9"/>
  <c r="N1192" i="9" s="1"/>
  <c r="H791" i="9"/>
  <c r="N791" i="9" s="1"/>
  <c r="L1185" i="9"/>
  <c r="N1185" i="9" s="1"/>
  <c r="L1241" i="9"/>
  <c r="N1241" i="9" s="1"/>
  <c r="H198" i="9"/>
  <c r="N198" i="9" s="1"/>
  <c r="M1925" i="9"/>
  <c r="M317" i="9"/>
  <c r="L1193" i="9"/>
  <c r="N1193" i="9" s="1"/>
  <c r="L1174" i="9"/>
  <c r="N1174" i="9" s="1"/>
  <c r="M256" i="9"/>
  <c r="M1725" i="9"/>
  <c r="M1606" i="9"/>
  <c r="M1265" i="9"/>
  <c r="M1910" i="9"/>
  <c r="M1950" i="9"/>
  <c r="M1801" i="9"/>
  <c r="M1706" i="9"/>
  <c r="N1754" i="9"/>
  <c r="M1666" i="9"/>
  <c r="M1536" i="9"/>
  <c r="M1192" i="9"/>
  <c r="M925" i="9"/>
  <c r="H2176" i="9"/>
  <c r="N2176" i="9" s="1"/>
  <c r="M129" i="9"/>
  <c r="L1227" i="9"/>
  <c r="N1227" i="9" s="1"/>
  <c r="M1865" i="9"/>
  <c r="H1123" i="9"/>
  <c r="H1122" i="9"/>
  <c r="N1122" i="9" s="1"/>
  <c r="M1105" i="9"/>
  <c r="K1221" i="9"/>
  <c r="L1146" i="9"/>
  <c r="N1146" i="9" s="1"/>
  <c r="H1130" i="9"/>
  <c r="N1130" i="9" s="1"/>
  <c r="K1228" i="9"/>
  <c r="J1522" i="9"/>
  <c r="H300" i="4" s="1"/>
  <c r="I300" i="4" s="1"/>
  <c r="M1045" i="9"/>
  <c r="H1045" i="9"/>
  <c r="N1045" i="9" s="1"/>
  <c r="F190" i="21"/>
  <c r="I899" i="9"/>
  <c r="J899" i="9" s="1"/>
  <c r="I979" i="9"/>
  <c r="J979" i="9" s="1"/>
  <c r="I1067" i="9"/>
  <c r="J1067" i="9" s="1"/>
  <c r="I1511" i="9"/>
  <c r="J1511" i="9" s="1"/>
  <c r="J1512" i="9" s="1"/>
  <c r="H297" i="4" s="1"/>
  <c r="I297" i="4" s="1"/>
  <c r="I2243" i="9"/>
  <c r="I2216" i="9"/>
  <c r="J2216" i="9" s="1"/>
  <c r="I2234" i="9"/>
  <c r="I2225" i="9"/>
  <c r="I2233" i="9"/>
  <c r="I2224" i="9"/>
  <c r="I2215" i="9"/>
  <c r="I2242" i="9"/>
  <c r="K2002" i="9"/>
  <c r="L2002" i="9" s="1"/>
  <c r="N1835" i="9"/>
  <c r="H1218" i="9"/>
  <c r="F207" i="4" s="1"/>
  <c r="G207" i="4" s="1"/>
  <c r="H1190" i="9"/>
  <c r="F203" i="4" s="1"/>
  <c r="G203" i="4" s="1"/>
  <c r="J1148" i="9"/>
  <c r="H197" i="4" s="1"/>
  <c r="I197" i="4" s="1"/>
  <c r="H1148" i="9"/>
  <c r="F197" i="4" s="1"/>
  <c r="G197" i="4" s="1"/>
  <c r="N855" i="9"/>
  <c r="N723" i="9"/>
  <c r="N667" i="9"/>
  <c r="L147" i="9"/>
  <c r="J24" i="4" s="1"/>
  <c r="K24" i="4" s="1"/>
  <c r="N925" i="9"/>
  <c r="N550" i="9"/>
  <c r="N61" i="9"/>
  <c r="N88" i="9"/>
  <c r="N788" i="9"/>
  <c r="N1596" i="9"/>
  <c r="N1709" i="9"/>
  <c r="N1894" i="9"/>
  <c r="N1032" i="9"/>
  <c r="N1681" i="9"/>
  <c r="M1870" i="9"/>
  <c r="K716" i="9"/>
  <c r="L716" i="9" s="1"/>
  <c r="O693" i="9"/>
  <c r="M68" i="4"/>
  <c r="J386" i="4"/>
  <c r="K386" i="4" s="1"/>
  <c r="L1897" i="9"/>
  <c r="J352" i="4" s="1"/>
  <c r="K352" i="4" s="1"/>
  <c r="J27" i="4"/>
  <c r="K27" i="4" s="1"/>
  <c r="B20" i="9"/>
  <c r="O711" i="9"/>
  <c r="N210" i="9"/>
  <c r="K942" i="9"/>
  <c r="L942" i="9" s="1"/>
  <c r="M1046" i="9"/>
  <c r="K954" i="9"/>
  <c r="L954" i="9" s="1"/>
  <c r="N1181" i="9"/>
  <c r="L557" i="9"/>
  <c r="J110" i="4" s="1"/>
  <c r="K110" i="4" s="1"/>
  <c r="N1895" i="9"/>
  <c r="N1844" i="9"/>
  <c r="N797" i="9"/>
  <c r="N378" i="9"/>
  <c r="N379" i="9" s="1"/>
  <c r="N397" i="9"/>
  <c r="N95" i="9"/>
  <c r="N53" i="9"/>
  <c r="N32" i="9"/>
  <c r="N311" i="9"/>
  <c r="N2206" i="9"/>
  <c r="N2209" i="9"/>
  <c r="N2089" i="9"/>
  <c r="L2180" i="9"/>
  <c r="N1896" i="9"/>
  <c r="N1863" i="9"/>
  <c r="N1756" i="9"/>
  <c r="N1154" i="9"/>
  <c r="N866" i="9"/>
  <c r="L453" i="9"/>
  <c r="J81" i="4" s="1"/>
  <c r="K81" i="4" s="1"/>
  <c r="L449" i="9"/>
  <c r="J80" i="4" s="1"/>
  <c r="K80" i="4" s="1"/>
  <c r="L444" i="9"/>
  <c r="J79" i="4" s="1"/>
  <c r="K79" i="4" s="1"/>
  <c r="H444" i="9"/>
  <c r="F79" i="4" s="1"/>
  <c r="G79" i="4" s="1"/>
  <c r="N435" i="9"/>
  <c r="L422" i="9"/>
  <c r="J75" i="4" s="1"/>
  <c r="K75" i="4" s="1"/>
  <c r="N417" i="9"/>
  <c r="N317" i="9"/>
  <c r="N302" i="9"/>
  <c r="N83" i="9"/>
  <c r="N46" i="9"/>
  <c r="H1254" i="9"/>
  <c r="H1268" i="9"/>
  <c r="N1267" i="9"/>
  <c r="N928" i="9"/>
  <c r="N1022" i="9"/>
  <c r="L1034" i="9"/>
  <c r="N1636" i="9"/>
  <c r="N1630" i="9"/>
  <c r="N1573" i="9"/>
  <c r="N1567" i="9"/>
  <c r="L2168" i="9"/>
  <c r="L2162" i="9"/>
  <c r="L2150" i="9"/>
  <c r="J382" i="4" s="1"/>
  <c r="K382" i="4" s="1"/>
  <c r="L2253" i="9"/>
  <c r="K650" i="9" s="1"/>
  <c r="L650" i="9" s="1"/>
  <c r="J1860" i="9"/>
  <c r="M1763" i="9"/>
  <c r="N549" i="9"/>
  <c r="M1468" i="9"/>
  <c r="M1744" i="9"/>
  <c r="N1880" i="9"/>
  <c r="M1840" i="9"/>
  <c r="N1792" i="9"/>
  <c r="J734" i="9"/>
  <c r="N734" i="9" s="1"/>
  <c r="H845" i="9"/>
  <c r="N845" i="9" s="1"/>
  <c r="M2134" i="9"/>
  <c r="L1199" i="9"/>
  <c r="N1199" i="9" s="1"/>
  <c r="H253" i="9"/>
  <c r="M1835" i="9"/>
  <c r="L1178" i="9"/>
  <c r="N1178" i="9" s="1"/>
  <c r="M1143" i="9"/>
  <c r="L1144" i="9"/>
  <c r="N1144" i="9" s="1"/>
  <c r="N1811" i="9"/>
  <c r="J13" i="9"/>
  <c r="N13" i="9" s="1"/>
  <c r="L1230" i="9"/>
  <c r="N1230" i="9" s="1"/>
  <c r="M1188" i="9"/>
  <c r="L1160" i="9"/>
  <c r="N1160" i="9" s="1"/>
  <c r="M1107" i="9"/>
  <c r="K1179" i="9"/>
  <c r="L1179" i="9" s="1"/>
  <c r="N1179" i="9" s="1"/>
  <c r="M50" i="9"/>
  <c r="H242" i="9"/>
  <c r="G2241" i="9"/>
  <c r="G2223" i="9"/>
  <c r="G2214" i="9"/>
  <c r="M2214" i="9" s="1"/>
  <c r="H324" i="9"/>
  <c r="N324" i="9" s="1"/>
  <c r="M324" i="9"/>
  <c r="M1032" i="9"/>
  <c r="H1043" i="9"/>
  <c r="N1043" i="9" s="1"/>
  <c r="M1043" i="9"/>
  <c r="E941" i="11"/>
  <c r="G941" i="11" s="1"/>
  <c r="E938" i="11"/>
  <c r="G938" i="11" s="1"/>
  <c r="E935" i="11"/>
  <c r="G935" i="11" s="1"/>
  <c r="P967" i="11"/>
  <c r="M966" i="11" s="1"/>
  <c r="H241" i="9"/>
  <c r="N241" i="9" s="1"/>
  <c r="N2252" i="9"/>
  <c r="J387" i="4"/>
  <c r="K387" i="4" s="1"/>
  <c r="K2025" i="9"/>
  <c r="L2025" i="9" s="1"/>
  <c r="K666" i="9"/>
  <c r="L666" i="9" s="1"/>
  <c r="J398" i="4"/>
  <c r="K398" i="4" s="1"/>
  <c r="K683" i="9"/>
  <c r="L683" i="9" s="1"/>
  <c r="K2035" i="9"/>
  <c r="L2035" i="9" s="1"/>
  <c r="K2063" i="9"/>
  <c r="L2063" i="9" s="1"/>
  <c r="J306" i="4"/>
  <c r="K306" i="4" s="1"/>
  <c r="M687" i="9"/>
  <c r="H687" i="9"/>
  <c r="N687" i="9" s="1"/>
  <c r="H128" i="9"/>
  <c r="N128" i="9" s="1"/>
  <c r="M128" i="9"/>
  <c r="M101" i="9"/>
  <c r="K2137" i="9"/>
  <c r="L2137" i="9" s="1"/>
  <c r="K2143" i="9"/>
  <c r="L2143" i="9" s="1"/>
  <c r="J391" i="4"/>
  <c r="K391" i="4" s="1"/>
  <c r="M2167" i="9"/>
  <c r="J2167" i="9"/>
  <c r="N2167" i="9" s="1"/>
  <c r="M2161" i="9"/>
  <c r="J2161" i="9"/>
  <c r="N2161" i="9" s="1"/>
  <c r="M2149" i="9"/>
  <c r="J2149" i="9"/>
  <c r="N2149" i="9" s="1"/>
  <c r="M1048" i="9"/>
  <c r="J1048" i="9"/>
  <c r="J1050" i="9"/>
  <c r="M1050" i="9"/>
  <c r="M1062" i="9"/>
  <c r="J1062" i="9"/>
  <c r="M354" i="9"/>
  <c r="J354" i="9"/>
  <c r="N354" i="9" s="1"/>
  <c r="M360" i="9"/>
  <c r="J360" i="9"/>
  <c r="N360" i="9" s="1"/>
  <c r="M366" i="9"/>
  <c r="J366" i="9"/>
  <c r="N366" i="9" s="1"/>
  <c r="L1675" i="9"/>
  <c r="H1675" i="9"/>
  <c r="L1663" i="9"/>
  <c r="H1663" i="9"/>
  <c r="M1913" i="9"/>
  <c r="J1913" i="9"/>
  <c r="N1913" i="9" s="1"/>
  <c r="M1916" i="9"/>
  <c r="J1916" i="9"/>
  <c r="N1916" i="9" s="1"/>
  <c r="M1933" i="9"/>
  <c r="J1933" i="9"/>
  <c r="N1933" i="9" s="1"/>
  <c r="M1936" i="9"/>
  <c r="J1936" i="9"/>
  <c r="N1936" i="9" s="1"/>
  <c r="M1942" i="9"/>
  <c r="J1942" i="9"/>
  <c r="N1942" i="9" s="1"/>
  <c r="M1944" i="9"/>
  <c r="J1944" i="9"/>
  <c r="N1944" i="9" s="1"/>
  <c r="M1962" i="9"/>
  <c r="J1962" i="9"/>
  <c r="N1962" i="9" s="1"/>
  <c r="M1964" i="9"/>
  <c r="J1964" i="9"/>
  <c r="N1964" i="9" s="1"/>
  <c r="H883" i="9"/>
  <c r="N883" i="9" s="1"/>
  <c r="M883" i="9"/>
  <c r="M208" i="9"/>
  <c r="H208" i="9"/>
  <c r="N208" i="9" s="1"/>
  <c r="M973" i="9"/>
  <c r="H973" i="9"/>
  <c r="N973" i="9" s="1"/>
  <c r="M949" i="9"/>
  <c r="H949" i="9"/>
  <c r="N949" i="9" s="1"/>
  <c r="L211" i="9"/>
  <c r="L212" i="9" s="1"/>
  <c r="J35" i="4" s="1"/>
  <c r="K35" i="4" s="1"/>
  <c r="H211" i="9"/>
  <c r="N211" i="9" s="1"/>
  <c r="M1216" i="9"/>
  <c r="L1216" i="9"/>
  <c r="N1216" i="9" s="1"/>
  <c r="M85" i="9"/>
  <c r="J85" i="9"/>
  <c r="G87" i="9" s="1"/>
  <c r="H87" i="9" s="1"/>
  <c r="M110" i="9"/>
  <c r="K113" i="9"/>
  <c r="M113" i="9" s="1"/>
  <c r="J200" i="9"/>
  <c r="M200" i="9"/>
  <c r="M261" i="9"/>
  <c r="J261" i="9"/>
  <c r="J262" i="9" s="1"/>
  <c r="M266" i="9"/>
  <c r="J266" i="9"/>
  <c r="J267" i="9" s="1"/>
  <c r="H44" i="4" s="1"/>
  <c r="I44" i="4" s="1"/>
  <c r="M276" i="9"/>
  <c r="J276" i="9"/>
  <c r="N276" i="9" s="1"/>
  <c r="J304" i="9"/>
  <c r="N304" i="9" s="1"/>
  <c r="M304" i="9"/>
  <c r="M446" i="9"/>
  <c r="G448" i="9"/>
  <c r="M448" i="9" s="1"/>
  <c r="G452" i="9"/>
  <c r="M451" i="9"/>
  <c r="J451" i="9"/>
  <c r="N451" i="9" s="1"/>
  <c r="J651" i="9"/>
  <c r="N651" i="9" s="1"/>
  <c r="M651" i="9"/>
  <c r="J684" i="9"/>
  <c r="N684" i="9" s="1"/>
  <c r="M684" i="9"/>
  <c r="M715" i="9"/>
  <c r="J715" i="9"/>
  <c r="N715" i="9" s="1"/>
  <c r="J724" i="9"/>
  <c r="N724" i="9" s="1"/>
  <c r="M724" i="9"/>
  <c r="J796" i="9"/>
  <c r="G798" i="9" s="1"/>
  <c r="H798" i="9" s="1"/>
  <c r="N798" i="9" s="1"/>
  <c r="G799" i="9"/>
  <c r="H799" i="9" s="1"/>
  <c r="N799" i="9" s="1"/>
  <c r="J847" i="9"/>
  <c r="N847" i="9" s="1"/>
  <c r="M847" i="9"/>
  <c r="M894" i="9"/>
  <c r="J894" i="9"/>
  <c r="N894" i="9" s="1"/>
  <c r="J938" i="9"/>
  <c r="N938" i="9" s="1"/>
  <c r="M938" i="9"/>
  <c r="M986" i="9"/>
  <c r="J986" i="9"/>
  <c r="N986" i="9" s="1"/>
  <c r="M1554" i="9"/>
  <c r="J1554" i="9"/>
  <c r="N1554" i="9" s="1"/>
  <c r="J1566" i="9"/>
  <c r="N1566" i="9" s="1"/>
  <c r="M1566" i="9"/>
  <c r="J1584" i="9"/>
  <c r="N1584" i="9" s="1"/>
  <c r="M1584" i="9"/>
  <c r="J1608" i="9"/>
  <c r="N1608" i="9" s="1"/>
  <c r="M1608" i="9"/>
  <c r="J1620" i="9"/>
  <c r="J1622" i="9" s="1"/>
  <c r="H319" i="4" s="1"/>
  <c r="I319" i="4" s="1"/>
  <c r="M1620" i="9"/>
  <c r="J1738" i="9"/>
  <c r="N1738" i="9" s="1"/>
  <c r="M1738" i="9"/>
  <c r="J1766" i="9"/>
  <c r="N1766" i="9" s="1"/>
  <c r="M1766" i="9"/>
  <c r="J1776" i="9"/>
  <c r="G1774" i="9" s="1"/>
  <c r="M1776" i="9"/>
  <c r="M1834" i="9"/>
  <c r="J1834" i="9"/>
  <c r="N1834" i="9" s="1"/>
  <c r="J1843" i="9"/>
  <c r="G1841" i="9" s="1"/>
  <c r="H1841" i="9" s="1"/>
  <c r="N1841" i="9" s="1"/>
  <c r="M1843" i="9"/>
  <c r="J1892" i="9"/>
  <c r="N1892" i="9" s="1"/>
  <c r="M1892" i="9"/>
  <c r="J1979" i="9"/>
  <c r="N1979" i="9" s="1"/>
  <c r="M1979" i="9"/>
  <c r="J2004" i="9"/>
  <c r="N2004" i="9" s="1"/>
  <c r="M2004" i="9"/>
  <c r="L1147" i="9"/>
  <c r="N1147" i="9" s="1"/>
  <c r="M1147" i="9"/>
  <c r="L1217" i="9"/>
  <c r="N1217" i="9" s="1"/>
  <c r="M1217" i="9"/>
  <c r="L1231" i="9"/>
  <c r="N1231" i="9" s="1"/>
  <c r="M1231" i="9"/>
  <c r="L1687" i="9"/>
  <c r="J1687" i="9"/>
  <c r="H1687" i="9"/>
  <c r="N1854" i="9"/>
  <c r="N1852" i="9"/>
  <c r="N1824" i="9"/>
  <c r="N1814" i="9"/>
  <c r="N1785" i="9"/>
  <c r="N1701" i="9"/>
  <c r="N1699" i="9"/>
  <c r="N892" i="9"/>
  <c r="N885" i="9"/>
  <c r="N678" i="9"/>
  <c r="N659" i="9"/>
  <c r="N534" i="9"/>
  <c r="N327" i="9"/>
  <c r="N2251" i="9"/>
  <c r="L1612" i="9"/>
  <c r="N1612" i="9" s="1"/>
  <c r="J305" i="4"/>
  <c r="K305" i="4" s="1"/>
  <c r="M1754" i="9"/>
  <c r="J1801" i="9"/>
  <c r="N1801" i="9" s="1"/>
  <c r="M556" i="9"/>
  <c r="M1186" i="9"/>
  <c r="O702" i="9"/>
  <c r="J1675" i="9"/>
  <c r="N283" i="9"/>
  <c r="N696" i="9"/>
  <c r="H209" i="9"/>
  <c r="N209" i="9" s="1"/>
  <c r="M1469" i="9"/>
  <c r="N1735" i="9"/>
  <c r="L1937" i="9"/>
  <c r="J356" i="4" s="1"/>
  <c r="K356" i="4" s="1"/>
  <c r="N1606" i="9"/>
  <c r="K859" i="9"/>
  <c r="L859" i="9" s="1"/>
  <c r="M1955" i="9"/>
  <c r="M1199" i="9"/>
  <c r="N2165" i="9"/>
  <c r="N1845" i="9"/>
  <c r="H137" i="9"/>
  <c r="N137" i="9" s="1"/>
  <c r="K1235" i="9"/>
  <c r="K831" i="9"/>
  <c r="L831" i="9" s="1"/>
  <c r="K909" i="9"/>
  <c r="L909" i="9" s="1"/>
  <c r="M855" i="9"/>
  <c r="N1136" i="9"/>
  <c r="H2153" i="9"/>
  <c r="N2153" i="9" s="1"/>
  <c r="L1947" i="9"/>
  <c r="J357" i="4" s="1"/>
  <c r="K357" i="4" s="1"/>
  <c r="L1661" i="9"/>
  <c r="N543" i="9"/>
  <c r="N777" i="9"/>
  <c r="J1651" i="9"/>
  <c r="N1651" i="9" s="1"/>
  <c r="J1657" i="9"/>
  <c r="N1657" i="9" s="1"/>
  <c r="H2253" i="9"/>
  <c r="G650" i="9" s="1"/>
  <c r="H650" i="9" s="1"/>
  <c r="N904" i="9"/>
  <c r="L1143" i="9"/>
  <c r="N1143" i="9" s="1"/>
  <c r="N1945" i="9"/>
  <c r="N1925" i="9"/>
  <c r="N1905" i="9"/>
  <c r="N1678" i="9"/>
  <c r="N1666" i="9"/>
  <c r="N2124" i="9"/>
  <c r="M1693" i="9"/>
  <c r="M1681" i="9"/>
  <c r="J1560" i="9"/>
  <c r="N1560" i="9" s="1"/>
  <c r="N1579" i="9"/>
  <c r="J348" i="9"/>
  <c r="N348" i="9" s="1"/>
  <c r="N1012" i="9"/>
  <c r="J1904" i="9"/>
  <c r="N1904" i="9" s="1"/>
  <c r="J1902" i="9"/>
  <c r="N1902" i="9" s="1"/>
  <c r="J1924" i="9"/>
  <c r="N1924" i="9" s="1"/>
  <c r="J1922" i="9"/>
  <c r="N1922" i="9" s="1"/>
  <c r="N1943" i="9"/>
  <c r="N1963" i="9"/>
  <c r="N1063" i="9"/>
  <c r="N1046" i="9"/>
  <c r="M1855" i="9"/>
  <c r="J1064" i="9"/>
  <c r="N2160" i="9"/>
  <c r="N1833" i="9"/>
  <c r="N1615" i="9"/>
  <c r="N325" i="9"/>
  <c r="N1639" i="9"/>
  <c r="N1627" i="9"/>
  <c r="N1621" i="9"/>
  <c r="N1603" i="9"/>
  <c r="N1597" i="9"/>
  <c r="N2194" i="9"/>
  <c r="N2072" i="9"/>
  <c r="N2179" i="9"/>
  <c r="N2173" i="9"/>
  <c r="N2155" i="9"/>
  <c r="N1893" i="9"/>
  <c r="N1886" i="9"/>
  <c r="J1836" i="9"/>
  <c r="N1836" i="9" s="1"/>
  <c r="N1796" i="9"/>
  <c r="N1747" i="9"/>
  <c r="N1710" i="9"/>
  <c r="H1183" i="9"/>
  <c r="F202" i="4" s="1"/>
  <c r="G202" i="4" s="1"/>
  <c r="J1261" i="9"/>
  <c r="N951" i="9"/>
  <c r="N936" i="9"/>
  <c r="N1021" i="9"/>
  <c r="N1009" i="9"/>
  <c r="N746" i="9"/>
  <c r="N1188" i="9"/>
  <c r="N1202" i="9"/>
  <c r="N67" i="9"/>
  <c r="N401" i="9"/>
  <c r="L100" i="4"/>
  <c r="N706" i="9"/>
  <c r="N804" i="9"/>
  <c r="N906" i="9"/>
  <c r="N927" i="9"/>
  <c r="N950" i="9"/>
  <c r="N962" i="9"/>
  <c r="N974" i="9"/>
  <c r="N1117" i="9"/>
  <c r="N1537" i="9"/>
  <c r="N1727" i="9"/>
  <c r="N1813" i="9"/>
  <c r="N2030" i="9"/>
  <c r="N2081" i="9"/>
  <c r="N89" i="9"/>
  <c r="N1906" i="9"/>
  <c r="N1926" i="9"/>
  <c r="N1923" i="9"/>
  <c r="N1954" i="9"/>
  <c r="N1952" i="9"/>
  <c r="N1195" i="9"/>
  <c r="N349" i="9"/>
  <c r="N837" i="9"/>
  <c r="N792" i="9"/>
  <c r="N296" i="9"/>
  <c r="N62" i="9"/>
  <c r="N1632" i="9"/>
  <c r="N416" i="9"/>
  <c r="N275" i="9"/>
  <c r="N245" i="9"/>
  <c r="N1209" i="9"/>
  <c r="N330" i="9"/>
  <c r="N2134" i="9"/>
  <c r="N2187" i="9"/>
  <c r="N2105" i="9"/>
  <c r="N2088" i="9"/>
  <c r="N2017" i="9"/>
  <c r="N2154" i="9"/>
  <c r="N1866" i="9"/>
  <c r="N1862" i="9"/>
  <c r="N1856" i="9"/>
  <c r="N1853" i="9"/>
  <c r="N1822" i="9"/>
  <c r="N1815" i="9"/>
  <c r="N1748" i="9"/>
  <c r="N1719" i="9"/>
  <c r="N1700" i="9"/>
  <c r="N1850" i="9"/>
  <c r="J1246" i="9"/>
  <c r="H211" i="4" s="1"/>
  <c r="I211" i="4" s="1"/>
  <c r="N1223" i="9"/>
  <c r="N875" i="9"/>
  <c r="N846" i="9"/>
  <c r="N829" i="9"/>
  <c r="N542" i="9"/>
  <c r="H262" i="9"/>
  <c r="O759" i="9" s="1"/>
  <c r="L227" i="9"/>
  <c r="J38" i="4" s="1"/>
  <c r="K38" i="4" s="1"/>
  <c r="L157" i="9"/>
  <c r="J26" i="4" s="1"/>
  <c r="K26" i="4" s="1"/>
  <c r="N108" i="9"/>
  <c r="N59" i="9"/>
  <c r="N12" i="9"/>
  <c r="L232" i="9"/>
  <c r="J39" i="4" s="1"/>
  <c r="K39" i="4" s="1"/>
  <c r="J1254" i="9"/>
  <c r="N915" i="9"/>
  <c r="N987" i="9"/>
  <c r="J1034" i="9"/>
  <c r="H182" i="4" s="1"/>
  <c r="I182" i="4" s="1"/>
  <c r="N289" i="9"/>
  <c r="N310" i="9"/>
  <c r="N1645" i="9"/>
  <c r="N1739" i="9"/>
  <c r="N1972" i="9"/>
  <c r="N1203" i="9"/>
  <c r="N1060" i="9"/>
  <c r="J1663" i="9"/>
  <c r="M1588" i="9"/>
  <c r="J1840" i="9"/>
  <c r="N1840" i="9" s="1"/>
  <c r="M1880" i="9"/>
  <c r="J1706" i="9"/>
  <c r="N1706" i="9" s="1"/>
  <c r="N1705" i="9"/>
  <c r="N1716" i="9"/>
  <c r="M1242" i="9"/>
  <c r="M1830" i="9"/>
  <c r="F398" i="4"/>
  <c r="M1213" i="9"/>
  <c r="L816" i="9"/>
  <c r="J160" i="4" s="1"/>
  <c r="K160" i="4" s="1"/>
  <c r="H2128" i="9"/>
  <c r="H2129" i="9" s="1"/>
  <c r="F378" i="4" s="1"/>
  <c r="M1735" i="9"/>
  <c r="M1782" i="9"/>
  <c r="L1469" i="9"/>
  <c r="N1469" i="9" s="1"/>
  <c r="M549" i="9"/>
  <c r="H827" i="9"/>
  <c r="N827" i="9" s="1"/>
  <c r="M1945" i="9"/>
  <c r="K1214" i="9"/>
  <c r="L300" i="9"/>
  <c r="J49" i="4" s="1"/>
  <c r="K49" i="4" s="1"/>
  <c r="M409" i="9"/>
  <c r="L307" i="9"/>
  <c r="J50" i="4" s="1"/>
  <c r="K50" i="4" s="1"/>
  <c r="M1940" i="9"/>
  <c r="M1716" i="9"/>
  <c r="J1950" i="9"/>
  <c r="N1950" i="9" s="1"/>
  <c r="M1772" i="9"/>
  <c r="M250" i="9"/>
  <c r="N1715" i="9"/>
  <c r="M1930" i="9"/>
  <c r="M1820" i="9"/>
  <c r="N1725" i="9"/>
  <c r="K966" i="9"/>
  <c r="L966" i="9" s="1"/>
  <c r="K822" i="9"/>
  <c r="L822" i="9" s="1"/>
  <c r="G666" i="9"/>
  <c r="H666" i="9" s="1"/>
  <c r="H1116" i="9"/>
  <c r="N1116" i="9" s="1"/>
  <c r="H2141" i="9"/>
  <c r="N2141" i="9" s="1"/>
  <c r="M1850" i="9"/>
  <c r="J257" i="4"/>
  <c r="K257" i="4" s="1"/>
  <c r="K849" i="9"/>
  <c r="L849" i="9" s="1"/>
  <c r="K877" i="9"/>
  <c r="L877" i="9" s="1"/>
  <c r="K978" i="9"/>
  <c r="L978" i="9" s="1"/>
  <c r="H66" i="9"/>
  <c r="N66" i="9" s="1"/>
  <c r="K887" i="9"/>
  <c r="L887" i="9" s="1"/>
  <c r="H1875" i="9"/>
  <c r="N1875" i="9" s="1"/>
  <c r="M1895" i="9"/>
  <c r="J729" i="9"/>
  <c r="N729" i="9" s="1"/>
  <c r="M1113" i="9"/>
  <c r="M828" i="9"/>
  <c r="N1139" i="9"/>
  <c r="M1960" i="9"/>
  <c r="M1715" i="9"/>
  <c r="G634" i="9"/>
  <c r="H634" i="9" s="1"/>
  <c r="H1534" i="9"/>
  <c r="N1534" i="9" s="1"/>
  <c r="H1654" i="9"/>
  <c r="N1654" i="9" s="1"/>
  <c r="M543" i="9"/>
  <c r="H1128" i="9"/>
  <c r="N1128" i="9" s="1"/>
  <c r="H1057" i="9"/>
  <c r="N1057" i="9" s="1"/>
  <c r="N1920" i="9"/>
  <c r="K2190" i="9"/>
  <c r="M1729" i="12"/>
  <c r="H2158" i="9"/>
  <c r="N2158" i="9" s="1"/>
  <c r="M2158" i="9"/>
  <c r="M2171" i="9"/>
  <c r="H2171" i="9"/>
  <c r="N2171" i="9" s="1"/>
  <c r="H2146" i="9"/>
  <c r="N2146" i="9" s="1"/>
  <c r="H2152" i="9"/>
  <c r="N2152" i="9" s="1"/>
  <c r="M1200" i="9"/>
  <c r="L1200" i="9"/>
  <c r="N1200" i="9" s="1"/>
  <c r="H1058" i="9"/>
  <c r="N1058" i="9" s="1"/>
  <c r="H44" i="9"/>
  <c r="N44" i="9" s="1"/>
  <c r="M44" i="9"/>
  <c r="H810" i="9"/>
  <c r="N810" i="9" s="1"/>
  <c r="G818" i="9"/>
  <c r="M1678" i="9"/>
  <c r="G37" i="9"/>
  <c r="H37" i="9" s="1"/>
  <c r="G2182" i="9"/>
  <c r="G23" i="9"/>
  <c r="G844" i="9"/>
  <c r="G854" i="9"/>
  <c r="G1672" i="9"/>
  <c r="G1648" i="9"/>
  <c r="G1660" i="9"/>
  <c r="G1684" i="9"/>
  <c r="G1690" i="9"/>
  <c r="M12" i="9"/>
  <c r="G882" i="9"/>
  <c r="G1643" i="9"/>
  <c r="M32" i="20"/>
  <c r="G125" i="9" s="1"/>
  <c r="M30" i="20"/>
  <c r="G204" i="9" s="1"/>
  <c r="M24" i="20"/>
  <c r="K1252" i="9"/>
  <c r="M1251" i="9"/>
  <c r="L1251" i="9"/>
  <c r="N1251" i="9" s="1"/>
  <c r="M688" i="9"/>
  <c r="H688" i="9"/>
  <c r="M2122" i="9"/>
  <c r="H2122" i="9"/>
  <c r="N1113" i="9"/>
  <c r="H234" i="9"/>
  <c r="N234" i="9" s="1"/>
  <c r="M234" i="9"/>
  <c r="G1531" i="9"/>
  <c r="G195" i="9"/>
  <c r="M195" i="9" s="1"/>
  <c r="G135" i="9"/>
  <c r="M135" i="9" s="1"/>
  <c r="G194" i="9"/>
  <c r="N1105" i="9"/>
  <c r="M787" i="9"/>
  <c r="H787" i="9"/>
  <c r="H789" i="9" s="1"/>
  <c r="F156" i="4" s="1"/>
  <c r="N1157" i="9"/>
  <c r="N1744" i="9"/>
  <c r="N1820" i="9"/>
  <c r="N1773" i="9"/>
  <c r="M1900" i="9"/>
  <c r="H1034" i="9"/>
  <c r="N1106" i="9"/>
  <c r="N2201" i="9"/>
  <c r="N2202" i="9" s="1"/>
  <c r="AJ34" i="23"/>
  <c r="I639" i="9"/>
  <c r="J639" i="9" s="1"/>
  <c r="F1071" i="21"/>
  <c r="F778" i="21"/>
  <c r="I889" i="9"/>
  <c r="J889" i="9" s="1"/>
  <c r="I1344" i="9"/>
  <c r="J1344" i="9" s="1"/>
  <c r="J1345" i="9" s="1"/>
  <c r="H242" i="4" s="1"/>
  <c r="I242" i="4" s="1"/>
  <c r="N384" i="9"/>
  <c r="N385" i="9" s="1"/>
  <c r="I851" i="9"/>
  <c r="J851" i="9" s="1"/>
  <c r="G1802" i="9"/>
  <c r="H1802" i="9" s="1"/>
  <c r="N1802" i="9" s="1"/>
  <c r="J98" i="9"/>
  <c r="H18" i="4" s="1"/>
  <c r="I18" i="4" s="1"/>
  <c r="M66" i="4"/>
  <c r="J1539" i="9"/>
  <c r="I1541" i="9" s="1"/>
  <c r="J1541" i="9" s="1"/>
  <c r="L1522" i="9"/>
  <c r="J300" i="4" s="1"/>
  <c r="K300" i="4" s="1"/>
  <c r="M1317" i="9"/>
  <c r="L412" i="9"/>
  <c r="J73" i="4" s="1"/>
  <c r="K73" i="4" s="1"/>
  <c r="K944" i="9"/>
  <c r="L944" i="9" s="1"/>
  <c r="K980" i="9"/>
  <c r="L980" i="9" s="1"/>
  <c r="K824" i="9"/>
  <c r="L824" i="9" s="1"/>
  <c r="K833" i="9"/>
  <c r="L833" i="9" s="1"/>
  <c r="K968" i="9"/>
  <c r="L968" i="9" s="1"/>
  <c r="K956" i="9"/>
  <c r="L956" i="9" s="1"/>
  <c r="K861" i="9"/>
  <c r="L861" i="9" s="1"/>
  <c r="K992" i="9"/>
  <c r="L992" i="9" s="1"/>
  <c r="K911" i="9"/>
  <c r="L911" i="9" s="1"/>
  <c r="K889" i="9"/>
  <c r="L889" i="9" s="1"/>
  <c r="K851" i="9"/>
  <c r="L851" i="9" s="1"/>
  <c r="K879" i="9"/>
  <c r="L879" i="9" s="1"/>
  <c r="K1514" i="9"/>
  <c r="L1514" i="9" s="1"/>
  <c r="L1515" i="9" s="1"/>
  <c r="J298" i="4" s="1"/>
  <c r="K298" i="4" s="1"/>
  <c r="M304" i="12"/>
  <c r="K1314" i="9"/>
  <c r="K782" i="9"/>
  <c r="L782" i="9" s="1"/>
  <c r="K323" i="9"/>
  <c r="L323" i="9" s="1"/>
  <c r="L328" i="9" s="1"/>
  <c r="J53" i="4" s="1"/>
  <c r="K53" i="4" s="1"/>
  <c r="K1028" i="9"/>
  <c r="L1028" i="9" s="1"/>
  <c r="C827" i="11"/>
  <c r="C828" i="11" s="1"/>
  <c r="K316" i="9"/>
  <c r="L316" i="9" s="1"/>
  <c r="L321" i="9" s="1"/>
  <c r="K1461" i="9"/>
  <c r="L1461" i="9" s="1"/>
  <c r="L1462" i="9" s="1"/>
  <c r="J281" i="4" s="1"/>
  <c r="K281" i="4" s="1"/>
  <c r="M537" i="12"/>
  <c r="K332" i="9"/>
  <c r="L332" i="9" s="1"/>
  <c r="L334" i="9" s="1"/>
  <c r="K350" i="9"/>
  <c r="K338" i="9"/>
  <c r="K356" i="9"/>
  <c r="K362" i="9"/>
  <c r="M1767" i="12"/>
  <c r="K368" i="9"/>
  <c r="K344" i="9"/>
  <c r="K404" i="9"/>
  <c r="L404" i="9" s="1"/>
  <c r="K438" i="9"/>
  <c r="L438" i="9" s="1"/>
  <c r="K427" i="9"/>
  <c r="L427" i="9" s="1"/>
  <c r="K537" i="9"/>
  <c r="L537" i="9" s="1"/>
  <c r="K1475" i="9"/>
  <c r="L1475" i="9" s="1"/>
  <c r="L1476" i="9" s="1"/>
  <c r="J285" i="4" s="1"/>
  <c r="K285" i="4" s="1"/>
  <c r="N556" i="9"/>
  <c r="M556" i="12"/>
  <c r="K1356" i="9" s="1"/>
  <c r="L1356" i="9" s="1"/>
  <c r="L1357" i="9" s="1"/>
  <c r="M84" i="12"/>
  <c r="M87" i="12" s="1"/>
  <c r="I1686" i="9" s="1"/>
  <c r="J1686" i="9" s="1"/>
  <c r="M562" i="9"/>
  <c r="H1079" i="12"/>
  <c r="M1079" i="12" s="1"/>
  <c r="H1080" i="12" s="1"/>
  <c r="M1080" i="12" s="1"/>
  <c r="M1081" i="12" s="1"/>
  <c r="H775" i="12"/>
  <c r="M775" i="12" s="1"/>
  <c r="H776" i="12" s="1"/>
  <c r="M776" i="12" s="1"/>
  <c r="M777" i="12" s="1"/>
  <c r="P159" i="23" s="1"/>
  <c r="U159" i="23" s="1"/>
  <c r="P185" i="23" s="1"/>
  <c r="H357" i="12"/>
  <c r="M357" i="12" s="1"/>
  <c r="H358" i="12" s="1"/>
  <c r="M358" i="12" s="1"/>
  <c r="M359" i="12" s="1"/>
  <c r="H1060" i="12"/>
  <c r="M1060" i="12" s="1"/>
  <c r="H1061" i="12" s="1"/>
  <c r="M1061" i="12" s="1"/>
  <c r="M1062" i="12" s="1"/>
  <c r="G1428" i="9" s="1"/>
  <c r="H1478" i="12"/>
  <c r="M1478" i="12" s="1"/>
  <c r="H1479" i="12" s="1"/>
  <c r="M1479" i="12" s="1"/>
  <c r="M1480" i="12" s="1"/>
  <c r="H1231" i="12"/>
  <c r="M1231" i="12" s="1"/>
  <c r="H1232" i="12" s="1"/>
  <c r="M1232" i="12" s="1"/>
  <c r="M1233" i="12" s="1"/>
  <c r="H661" i="12"/>
  <c r="M661" i="12" s="1"/>
  <c r="H662" i="12" s="1"/>
  <c r="M662" i="12" s="1"/>
  <c r="M663" i="12" s="1"/>
  <c r="H452" i="12"/>
  <c r="M452" i="12" s="1"/>
  <c r="H453" i="12" s="1"/>
  <c r="M453" i="12" s="1"/>
  <c r="M454" i="12" s="1"/>
  <c r="H34" i="12"/>
  <c r="M34" i="12" s="1"/>
  <c r="H35" i="12" s="1"/>
  <c r="M35" i="12" s="1"/>
  <c r="M36" i="12" s="1"/>
  <c r="H15" i="12"/>
  <c r="M15" i="12" s="1"/>
  <c r="H376" i="12"/>
  <c r="M376" i="12" s="1"/>
  <c r="H377" i="12" s="1"/>
  <c r="M377" i="12" s="1"/>
  <c r="M378" i="12" s="1"/>
  <c r="G1326" i="9" s="1"/>
  <c r="H1326" i="9" s="1"/>
  <c r="H1327" i="9" s="1"/>
  <c r="F236" i="4" s="1"/>
  <c r="H1307" i="12"/>
  <c r="M1307" i="12" s="1"/>
  <c r="H1308" i="12" s="1"/>
  <c r="M1308" i="12" s="1"/>
  <c r="M1309" i="12" s="1"/>
  <c r="H965" i="12"/>
  <c r="M965" i="12" s="1"/>
  <c r="H870" i="12"/>
  <c r="M870" i="12" s="1"/>
  <c r="H871" i="12" s="1"/>
  <c r="M871" i="12" s="1"/>
  <c r="M872" i="12" s="1"/>
  <c r="M874" i="12" s="1"/>
  <c r="H243" i="12"/>
  <c r="M243" i="12" s="1"/>
  <c r="H262" i="12"/>
  <c r="M262" i="12" s="1"/>
  <c r="H263" i="12" s="1"/>
  <c r="M263" i="12" s="1"/>
  <c r="M264" i="12" s="1"/>
  <c r="G1308" i="9" s="1"/>
  <c r="H1308" i="9" s="1"/>
  <c r="H1309" i="9" s="1"/>
  <c r="F230" i="4" s="1"/>
  <c r="G230" i="4" s="1"/>
  <c r="H547" i="12"/>
  <c r="M547" i="12" s="1"/>
  <c r="H548" i="12" s="1"/>
  <c r="M548" i="12" s="1"/>
  <c r="M549" i="12" s="1"/>
  <c r="H281" i="12"/>
  <c r="M281" i="12" s="1"/>
  <c r="H282" i="12" s="1"/>
  <c r="M282" i="12" s="1"/>
  <c r="M283" i="12" s="1"/>
  <c r="G1311" i="9" s="1"/>
  <c r="H1311" i="9" s="1"/>
  <c r="H1312" i="9" s="1"/>
  <c r="F231" i="4" s="1"/>
  <c r="H566" i="12"/>
  <c r="M566" i="12" s="1"/>
  <c r="H567" i="12" s="1"/>
  <c r="M567" i="12" s="1"/>
  <c r="M568" i="12" s="1"/>
  <c r="H908" i="12"/>
  <c r="M908" i="12" s="1"/>
  <c r="H1022" i="12"/>
  <c r="M1022" i="12" s="1"/>
  <c r="H1174" i="12"/>
  <c r="M1174" i="12" s="1"/>
  <c r="H1175" i="12" s="1"/>
  <c r="M1175" i="12" s="1"/>
  <c r="M1176" i="12" s="1"/>
  <c r="H1402" i="12"/>
  <c r="M1402" i="12" s="1"/>
  <c r="H1744" i="12"/>
  <c r="M1744" i="12" s="1"/>
  <c r="H1745" i="12" s="1"/>
  <c r="M1745" i="12" s="1"/>
  <c r="M1746" i="12" s="1"/>
  <c r="M1748" i="12" s="1"/>
  <c r="H224" i="12"/>
  <c r="M224" i="12" s="1"/>
  <c r="H604" i="12"/>
  <c r="M604" i="12" s="1"/>
  <c r="H605" i="12" s="1"/>
  <c r="M605" i="12" s="1"/>
  <c r="M606" i="12" s="1"/>
  <c r="H1611" i="12"/>
  <c r="M1611" i="12" s="1"/>
  <c r="H1612" i="12" s="1"/>
  <c r="M1612" i="12" s="1"/>
  <c r="M1613" i="12" s="1"/>
  <c r="H927" i="12"/>
  <c r="M927" i="12" s="1"/>
  <c r="H928" i="12" s="1"/>
  <c r="M928" i="12" s="1"/>
  <c r="M929" i="12" s="1"/>
  <c r="M931" i="12" s="1"/>
  <c r="H1497" i="12"/>
  <c r="M1497" i="12" s="1"/>
  <c r="H1498" i="12" s="1"/>
  <c r="M1498" i="12" s="1"/>
  <c r="M1499" i="12" s="1"/>
  <c r="H756" i="12"/>
  <c r="M756" i="12" s="1"/>
  <c r="H757" i="12" s="1"/>
  <c r="M757" i="12" s="1"/>
  <c r="M758" i="12" s="1"/>
  <c r="D33" i="23" s="1"/>
  <c r="I33" i="23" s="1"/>
  <c r="H167" i="12"/>
  <c r="M167" i="12" s="1"/>
  <c r="H490" i="12"/>
  <c r="M490" i="12" s="1"/>
  <c r="H148" i="12"/>
  <c r="M148" i="12" s="1"/>
  <c r="H149" i="12" s="1"/>
  <c r="M149" i="12" s="1"/>
  <c r="M150" i="12" s="1"/>
  <c r="H395" i="12"/>
  <c r="M395" i="12" s="1"/>
  <c r="H396" i="12" s="1"/>
  <c r="M396" i="12" s="1"/>
  <c r="M397" i="12" s="1"/>
  <c r="M399" i="12" s="1"/>
  <c r="H471" i="12"/>
  <c r="M471" i="12" s="1"/>
  <c r="H1212" i="12"/>
  <c r="M1212" i="12" s="1"/>
  <c r="H1213" i="12" s="1"/>
  <c r="M1213" i="12" s="1"/>
  <c r="M1214" i="12" s="1"/>
  <c r="G964" i="9" s="1"/>
  <c r="H964" i="9" s="1"/>
  <c r="H433" i="12"/>
  <c r="M433" i="12" s="1"/>
  <c r="H434" i="12" s="1"/>
  <c r="M434" i="12" s="1"/>
  <c r="M435" i="12" s="1"/>
  <c r="G1335" i="9" s="1"/>
  <c r="H1335" i="9" s="1"/>
  <c r="H1336" i="9" s="1"/>
  <c r="F239" i="4" s="1"/>
  <c r="G239" i="4" s="1"/>
  <c r="H509" i="12"/>
  <c r="M509" i="12" s="1"/>
  <c r="H510" i="12" s="1"/>
  <c r="M510" i="12" s="1"/>
  <c r="M511" i="12" s="1"/>
  <c r="H680" i="12"/>
  <c r="M680" i="12" s="1"/>
  <c r="H681" i="12" s="1"/>
  <c r="M681" i="12" s="1"/>
  <c r="M682" i="12" s="1"/>
  <c r="G1365" i="9" s="1"/>
  <c r="H1365" i="9" s="1"/>
  <c r="H1366" i="9" s="1"/>
  <c r="F249" i="4" s="1"/>
  <c r="H642" i="12"/>
  <c r="M642" i="12" s="1"/>
  <c r="H832" i="12"/>
  <c r="M832" i="12" s="1"/>
  <c r="H1364" i="12"/>
  <c r="M1364" i="12" s="1"/>
  <c r="H110" i="12"/>
  <c r="M110" i="12" s="1"/>
  <c r="H111" i="12" s="1"/>
  <c r="H186" i="12"/>
  <c r="M186" i="12" s="1"/>
  <c r="H187" i="12" s="1"/>
  <c r="M187" i="12" s="1"/>
  <c r="M188" i="12" s="1"/>
  <c r="H699" i="12"/>
  <c r="M699" i="12" s="1"/>
  <c r="H700" i="12" s="1"/>
  <c r="M700" i="12" s="1"/>
  <c r="M701" i="12" s="1"/>
  <c r="H414" i="12"/>
  <c r="M414" i="12" s="1"/>
  <c r="H415" i="12" s="1"/>
  <c r="M415" i="12" s="1"/>
  <c r="M416" i="12" s="1"/>
  <c r="H851" i="12"/>
  <c r="M851" i="12" s="1"/>
  <c r="H852" i="12" s="1"/>
  <c r="M852" i="12" s="1"/>
  <c r="M853" i="12" s="1"/>
  <c r="H889" i="12"/>
  <c r="M889" i="12" s="1"/>
  <c r="H984" i="12"/>
  <c r="M984" i="12" s="1"/>
  <c r="H985" i="12" s="1"/>
  <c r="M985" i="12" s="1"/>
  <c r="M986" i="12" s="1"/>
  <c r="H1117" i="12"/>
  <c r="M1117" i="12" s="1"/>
  <c r="H1118" i="12" s="1"/>
  <c r="M1118" i="12" s="1"/>
  <c r="M1119" i="12" s="1"/>
  <c r="H1193" i="12"/>
  <c r="M1193" i="12" s="1"/>
  <c r="H1194" i="12" s="1"/>
  <c r="M1194" i="12" s="1"/>
  <c r="M1195" i="12" s="1"/>
  <c r="G1449" i="9" s="1"/>
  <c r="H1449" i="9" s="1"/>
  <c r="H528" i="12"/>
  <c r="M528" i="12" s="1"/>
  <c r="H529" i="12" s="1"/>
  <c r="M529" i="12" s="1"/>
  <c r="M530" i="12" s="1"/>
  <c r="M532" i="12" s="1"/>
  <c r="H91" i="12"/>
  <c r="M91" i="12" s="1"/>
  <c r="H92" i="12" s="1"/>
  <c r="M92" i="12" s="1"/>
  <c r="M93" i="12" s="1"/>
  <c r="H129" i="12"/>
  <c r="H946" i="12"/>
  <c r="M946" i="12" s="1"/>
  <c r="H585" i="12"/>
  <c r="M585" i="12" s="1"/>
  <c r="H586" i="12" s="1"/>
  <c r="M586" i="12" s="1"/>
  <c r="M587" i="12" s="1"/>
  <c r="G1359" i="9" s="1"/>
  <c r="H1136" i="12"/>
  <c r="M1136" i="12" s="1"/>
  <c r="H1137" i="12" s="1"/>
  <c r="M1137" i="12" s="1"/>
  <c r="M1138" i="12" s="1"/>
  <c r="H718" i="12"/>
  <c r="M718" i="12" s="1"/>
  <c r="H623" i="12"/>
  <c r="M623" i="12" s="1"/>
  <c r="H624" i="12" s="1"/>
  <c r="M624" i="12" s="1"/>
  <c r="M625" i="12" s="1"/>
  <c r="H1592" i="12"/>
  <c r="M1592" i="12" s="1"/>
  <c r="H1593" i="12" s="1"/>
  <c r="M1593" i="12" s="1"/>
  <c r="M1594" i="12" s="1"/>
  <c r="D61" i="23" s="1"/>
  <c r="H1003" i="12"/>
  <c r="M1003" i="12" s="1"/>
  <c r="H1004" i="12" s="1"/>
  <c r="M1004" i="12" s="1"/>
  <c r="M1005" i="12" s="1"/>
  <c r="H1041" i="12"/>
  <c r="M1041" i="12" s="1"/>
  <c r="H1042" i="12" s="1"/>
  <c r="M1042" i="12" s="1"/>
  <c r="M1043" i="12" s="1"/>
  <c r="H1098" i="12"/>
  <c r="M1098" i="12" s="1"/>
  <c r="H1099" i="12" s="1"/>
  <c r="M1099" i="12" s="1"/>
  <c r="H1155" i="12"/>
  <c r="M1155" i="12" s="1"/>
  <c r="H1156" i="12" s="1"/>
  <c r="M1156" i="12" s="1"/>
  <c r="M1157" i="12" s="1"/>
  <c r="H1383" i="12"/>
  <c r="M1383" i="12" s="1"/>
  <c r="H1516" i="12"/>
  <c r="M1516" i="12" s="1"/>
  <c r="H1517" i="12" s="1"/>
  <c r="M1517" i="12" s="1"/>
  <c r="H1630" i="12"/>
  <c r="M1630" i="12" s="1"/>
  <c r="H205" i="12"/>
  <c r="M205" i="12" s="1"/>
  <c r="H206" i="12" s="1"/>
  <c r="M206" i="12" s="1"/>
  <c r="H737" i="12"/>
  <c r="M737" i="12" s="1"/>
  <c r="H738" i="12" s="1"/>
  <c r="M738" i="12" s="1"/>
  <c r="M129" i="12"/>
  <c r="H130" i="12" s="1"/>
  <c r="M130" i="12" s="1"/>
  <c r="M703" i="12"/>
  <c r="K1619" i="9"/>
  <c r="L1619" i="9" s="1"/>
  <c r="K1625" i="9"/>
  <c r="L1625" i="9" s="1"/>
  <c r="K1607" i="9"/>
  <c r="L1607" i="9" s="1"/>
  <c r="L1610" i="9" s="1"/>
  <c r="J317" i="4" s="1"/>
  <c r="K317" i="4" s="1"/>
  <c r="K1613" i="9"/>
  <c r="L1613" i="9" s="1"/>
  <c r="K1413" i="9"/>
  <c r="L1413" i="9" s="1"/>
  <c r="L1414" i="9" s="1"/>
  <c r="J265" i="4" s="1"/>
  <c r="K265" i="4" s="1"/>
  <c r="K1583" i="9"/>
  <c r="L1583" i="9" s="1"/>
  <c r="K1595" i="9"/>
  <c r="L1595" i="9" s="1"/>
  <c r="L1598" i="9" s="1"/>
  <c r="J315" i="4" s="1"/>
  <c r="K315" i="4" s="1"/>
  <c r="K1638" i="9"/>
  <c r="L1638" i="9" s="1"/>
  <c r="L1641" i="9" s="1"/>
  <c r="J322" i="4" s="1"/>
  <c r="K322" i="4" s="1"/>
  <c r="K1577" i="9"/>
  <c r="L1577" i="9" s="1"/>
  <c r="K1601" i="9"/>
  <c r="L1601" i="9" s="1"/>
  <c r="K1589" i="9"/>
  <c r="L1589" i="9" s="1"/>
  <c r="L1592" i="9" s="1"/>
  <c r="J314" i="4" s="1"/>
  <c r="K314" i="4" s="1"/>
  <c r="K1559" i="9"/>
  <c r="L1559" i="9" s="1"/>
  <c r="K1380" i="9"/>
  <c r="L1380" i="9" s="1"/>
  <c r="L1381" i="9" s="1"/>
  <c r="J254" i="4" s="1"/>
  <c r="K254" i="4" s="1"/>
  <c r="P212" i="23"/>
  <c r="K536" i="9"/>
  <c r="L536" i="9" s="1"/>
  <c r="N536" i="9" s="1"/>
  <c r="K426" i="9"/>
  <c r="L426" i="9" s="1"/>
  <c r="K437" i="9"/>
  <c r="M437" i="9" s="1"/>
  <c r="K1002" i="9"/>
  <c r="L1002" i="9" s="1"/>
  <c r="P257" i="23"/>
  <c r="C1037" i="11"/>
  <c r="C1038" i="11" s="1"/>
  <c r="P230" i="23"/>
  <c r="U230" i="23" s="1"/>
  <c r="K929" i="9"/>
  <c r="L929" i="9" s="1"/>
  <c r="P281" i="23"/>
  <c r="C862" i="11"/>
  <c r="C863" i="11" s="1"/>
  <c r="D258" i="23"/>
  <c r="I258" i="23" s="1"/>
  <c r="K1383" i="9"/>
  <c r="L1383" i="9" s="1"/>
  <c r="L1384" i="9" s="1"/>
  <c r="D35" i="23"/>
  <c r="D138" i="23"/>
  <c r="I138" i="23" s="1"/>
  <c r="K916" i="9"/>
  <c r="L916" i="9" s="1"/>
  <c r="AC124" i="23"/>
  <c r="K921" i="9"/>
  <c r="L921" i="9" s="1"/>
  <c r="AC172" i="23"/>
  <c r="K1524" i="9"/>
  <c r="L1524" i="9" s="1"/>
  <c r="L1525" i="9" s="1"/>
  <c r="J301" i="4" s="1"/>
  <c r="K301" i="4" s="1"/>
  <c r="K1278" i="9"/>
  <c r="M57" i="12"/>
  <c r="M1482" i="12"/>
  <c r="K821" i="9"/>
  <c r="L821" i="9" s="1"/>
  <c r="K1293" i="9"/>
  <c r="L1293" i="9" s="1"/>
  <c r="L1294" i="9" s="1"/>
  <c r="J225" i="4" s="1"/>
  <c r="K225" i="4" s="1"/>
  <c r="K848" i="9"/>
  <c r="L848" i="9" s="1"/>
  <c r="K876" i="9"/>
  <c r="L876" i="9" s="1"/>
  <c r="C162" i="11"/>
  <c r="C163" i="11" s="1"/>
  <c r="K1680" i="9"/>
  <c r="L1680" i="9" s="1"/>
  <c r="C442" i="11"/>
  <c r="C443" i="11" s="1"/>
  <c r="N387" i="9"/>
  <c r="N388" i="9" s="1"/>
  <c r="H77" i="4"/>
  <c r="I77" i="4" s="1"/>
  <c r="J376" i="9"/>
  <c r="H64" i="4" s="1"/>
  <c r="I64" i="4" s="1"/>
  <c r="M64" i="4" s="1"/>
  <c r="I1543" i="9"/>
  <c r="J1543" i="9" s="1"/>
  <c r="N1543" i="9" s="1"/>
  <c r="I1013" i="9"/>
  <c r="J1013" i="9" s="1"/>
  <c r="I632" i="9"/>
  <c r="M632" i="9" s="1"/>
  <c r="I664" i="9"/>
  <c r="M664" i="9" s="1"/>
  <c r="C865" i="11"/>
  <c r="C866" i="11" s="1"/>
  <c r="G866" i="11" s="1"/>
  <c r="N237" i="9"/>
  <c r="I658" i="9"/>
  <c r="J658" i="9" s="1"/>
  <c r="I674" i="9"/>
  <c r="J674" i="9" s="1"/>
  <c r="I704" i="9"/>
  <c r="J704" i="9" s="1"/>
  <c r="H398" i="4"/>
  <c r="I398" i="4" s="1"/>
  <c r="I1826" i="9"/>
  <c r="J1826" i="9" s="1"/>
  <c r="L120" i="9"/>
  <c r="L151" i="4"/>
  <c r="N336" i="9"/>
  <c r="I897" i="9"/>
  <c r="J897" i="9" s="1"/>
  <c r="I1329" i="9"/>
  <c r="J1329" i="9" s="1"/>
  <c r="J1330" i="9" s="1"/>
  <c r="H237" i="4" s="1"/>
  <c r="I237" i="4" s="1"/>
  <c r="J340" i="9"/>
  <c r="I1730" i="9" s="1"/>
  <c r="J1730" i="9" s="1"/>
  <c r="J122" i="9"/>
  <c r="H21" i="4" s="1"/>
  <c r="I21" i="4" s="1"/>
  <c r="M456" i="9"/>
  <c r="I1053" i="9"/>
  <c r="J1053" i="9" s="1"/>
  <c r="I1341" i="9"/>
  <c r="J1341" i="9" s="1"/>
  <c r="J1342" i="9" s="1"/>
  <c r="H241" i="4" s="1"/>
  <c r="I241" i="4" s="1"/>
  <c r="F141" i="21"/>
  <c r="I768" i="9"/>
  <c r="I1068" i="9"/>
  <c r="J1068" i="9" s="1"/>
  <c r="D210" i="23"/>
  <c r="I815" i="9"/>
  <c r="J815" i="9" s="1"/>
  <c r="F827" i="21"/>
  <c r="I900" i="9"/>
  <c r="J900" i="9" s="1"/>
  <c r="I869" i="9"/>
  <c r="J869" i="9" s="1"/>
  <c r="J54" i="9"/>
  <c r="I2050" i="9" s="1"/>
  <c r="J2050" i="9" s="1"/>
  <c r="I683" i="9"/>
  <c r="J683" i="9" s="1"/>
  <c r="J346" i="9"/>
  <c r="H56" i="4" s="1"/>
  <c r="I56" i="4" s="1"/>
  <c r="I1356" i="9"/>
  <c r="J1356" i="9" s="1"/>
  <c r="J1357" i="9" s="1"/>
  <c r="J2185" i="9"/>
  <c r="I2056" i="9" s="1"/>
  <c r="I1807" i="9"/>
  <c r="J1807" i="9" s="1"/>
  <c r="I1702" i="9"/>
  <c r="J1702" i="9" s="1"/>
  <c r="I671" i="9"/>
  <c r="J671" i="9" s="1"/>
  <c r="N8" i="9"/>
  <c r="J1634" i="9"/>
  <c r="H321" i="4" s="1"/>
  <c r="I321" i="4" s="1"/>
  <c r="J1118" i="9"/>
  <c r="H193" i="4" s="1"/>
  <c r="I193" i="4" s="1"/>
  <c r="I992" i="9"/>
  <c r="J992" i="9" s="1"/>
  <c r="I861" i="9"/>
  <c r="J861" i="9" s="1"/>
  <c r="J334" i="9"/>
  <c r="I1711" i="9" s="1"/>
  <c r="J1711" i="9" s="1"/>
  <c r="I655" i="9"/>
  <c r="J655" i="9" s="1"/>
  <c r="I680" i="9"/>
  <c r="J680" i="9" s="1"/>
  <c r="J1550" i="9"/>
  <c r="H307" i="4" s="1"/>
  <c r="I307" i="4" s="1"/>
  <c r="L1066" i="9"/>
  <c r="G1951" i="9"/>
  <c r="H1951" i="9" s="1"/>
  <c r="N1951" i="9" s="1"/>
  <c r="J2180" i="9"/>
  <c r="I2025" i="9" s="1"/>
  <c r="J2025" i="9" s="1"/>
  <c r="I824" i="9"/>
  <c r="J824" i="9" s="1"/>
  <c r="I956" i="9"/>
  <c r="J956" i="9" s="1"/>
  <c r="I879" i="9"/>
  <c r="J879" i="9" s="1"/>
  <c r="R21" i="14"/>
  <c r="I1740" i="9"/>
  <c r="J1740" i="9" s="1"/>
  <c r="I1797" i="9"/>
  <c r="J1797" i="9" s="1"/>
  <c r="J1798" i="9" s="1"/>
  <c r="H342" i="4" s="1"/>
  <c r="I342" i="4" s="1"/>
  <c r="L122" i="9"/>
  <c r="J21" i="4" s="1"/>
  <c r="K21" i="4" s="1"/>
  <c r="I1601" i="9"/>
  <c r="J1601" i="9" s="1"/>
  <c r="J1604" i="9" s="1"/>
  <c r="H316" i="4" s="1"/>
  <c r="I316" i="4" s="1"/>
  <c r="L66" i="4"/>
  <c r="G405" i="9"/>
  <c r="M405" i="9" s="1"/>
  <c r="M121" i="9"/>
  <c r="N2096" i="9"/>
  <c r="N2080" i="9"/>
  <c r="N2018" i="9"/>
  <c r="J1877" i="9"/>
  <c r="H350" i="4" s="1"/>
  <c r="I350" i="4" s="1"/>
  <c r="G1821" i="9"/>
  <c r="H1821" i="9" s="1"/>
  <c r="N1821" i="9" s="1"/>
  <c r="G1717" i="9"/>
  <c r="M1717" i="9" s="1"/>
  <c r="J1336" i="9"/>
  <c r="H239" i="4" s="1"/>
  <c r="I239" i="4" s="1"/>
  <c r="M239" i="4" s="1"/>
  <c r="N1335" i="9"/>
  <c r="N1336" i="9" s="1"/>
  <c r="L67" i="4"/>
  <c r="I67" i="4"/>
  <c r="M67" i="4" s="1"/>
  <c r="J2126" i="9"/>
  <c r="H377" i="4" s="1"/>
  <c r="I377" i="4" s="1"/>
  <c r="J286" i="9"/>
  <c r="H47" i="4" s="1"/>
  <c r="I47" i="4" s="1"/>
  <c r="G1783" i="9"/>
  <c r="H1783" i="9" s="1"/>
  <c r="N1783" i="9" s="1"/>
  <c r="L68" i="4"/>
  <c r="I1571" i="9"/>
  <c r="J1571" i="9" s="1"/>
  <c r="J1574" i="9" s="1"/>
  <c r="H311" i="4" s="1"/>
  <c r="I311" i="4" s="1"/>
  <c r="I1553" i="9"/>
  <c r="J1553" i="9" s="1"/>
  <c r="I1750" i="9"/>
  <c r="J1750" i="9" s="1"/>
  <c r="I1816" i="9"/>
  <c r="J1816" i="9" s="1"/>
  <c r="J1817" i="9" s="1"/>
  <c r="H344" i="4" s="1"/>
  <c r="I344" i="4" s="1"/>
  <c r="J1580" i="9"/>
  <c r="H312" i="4" s="1"/>
  <c r="I312" i="4" s="1"/>
  <c r="J493" i="9"/>
  <c r="H93" i="4" s="1"/>
  <c r="I93" i="4" s="1"/>
  <c r="M93" i="4" s="1"/>
  <c r="H1633" i="9"/>
  <c r="H1634" i="9" s="1"/>
  <c r="F321" i="4" s="1"/>
  <c r="G333" i="9"/>
  <c r="H333" i="9" s="1"/>
  <c r="N333" i="9" s="1"/>
  <c r="I663" i="9"/>
  <c r="J663" i="9" s="1"/>
  <c r="I631" i="9"/>
  <c r="J631" i="9" s="1"/>
  <c r="I1976" i="9"/>
  <c r="J1976" i="9" s="1"/>
  <c r="I1969" i="9"/>
  <c r="J1969" i="9" s="1"/>
  <c r="M437" i="12"/>
  <c r="H246" i="4"/>
  <c r="I246" i="4" s="1"/>
  <c r="M2206" i="9"/>
  <c r="N2183" i="9"/>
  <c r="I995" i="9"/>
  <c r="G432" i="9"/>
  <c r="M432" i="9" s="1"/>
  <c r="N1033" i="9"/>
  <c r="N2123" i="9"/>
  <c r="N1720" i="9"/>
  <c r="F42" i="21"/>
  <c r="F729" i="21"/>
  <c r="F630" i="21"/>
  <c r="I1005" i="9"/>
  <c r="J1005" i="9" s="1"/>
  <c r="I1685" i="9"/>
  <c r="J1685" i="9" s="1"/>
  <c r="I1054" i="9"/>
  <c r="J1054" i="9" s="1"/>
  <c r="F239" i="21"/>
  <c r="D62" i="23"/>
  <c r="D329" i="23"/>
  <c r="I841" i="9"/>
  <c r="J841" i="9" s="1"/>
  <c r="I932" i="9"/>
  <c r="J932" i="9" s="1"/>
  <c r="F91" i="21"/>
  <c r="I911" i="9"/>
  <c r="J911" i="9" s="1"/>
  <c r="I980" i="9"/>
  <c r="J980" i="9" s="1"/>
  <c r="I944" i="9"/>
  <c r="I968" i="9"/>
  <c r="J968" i="9" s="1"/>
  <c r="I833" i="9"/>
  <c r="F435" i="21"/>
  <c r="AC219" i="23"/>
  <c r="I100" i="4"/>
  <c r="M100" i="4" s="1"/>
  <c r="L97" i="9"/>
  <c r="N97" i="9" s="1"/>
  <c r="I1353" i="9"/>
  <c r="J1353" i="9" s="1"/>
  <c r="J1354" i="9" s="1"/>
  <c r="I1377" i="9"/>
  <c r="J1377" i="9" s="1"/>
  <c r="J1378" i="9" s="1"/>
  <c r="H253" i="4" s="1"/>
  <c r="I253" i="4" s="1"/>
  <c r="J418" i="9"/>
  <c r="H74" i="4" s="1"/>
  <c r="I74" i="4" s="1"/>
  <c r="P42" i="23"/>
  <c r="G1881" i="9"/>
  <c r="M1881" i="9" s="1"/>
  <c r="N554" i="9"/>
  <c r="N1133" i="9"/>
  <c r="J1134" i="9"/>
  <c r="H195" i="4" s="1"/>
  <c r="I195" i="4" s="1"/>
  <c r="I2143" i="9"/>
  <c r="J2143" i="9" s="1"/>
  <c r="H391" i="4"/>
  <c r="I1374" i="9"/>
  <c r="P175" i="23"/>
  <c r="P79" i="23"/>
  <c r="J666" i="9"/>
  <c r="L82" i="4"/>
  <c r="G82" i="4"/>
  <c r="M82" i="4" s="1"/>
  <c r="M238" i="9"/>
  <c r="L238" i="9"/>
  <c r="J272" i="9"/>
  <c r="H45" i="4" s="1"/>
  <c r="N270" i="9"/>
  <c r="G1726" i="9"/>
  <c r="N1728" i="9"/>
  <c r="J314" i="9"/>
  <c r="H51" i="4" s="1"/>
  <c r="I51" i="4" s="1"/>
  <c r="M665" i="12"/>
  <c r="M1335" i="9"/>
  <c r="M151" i="4"/>
  <c r="F533" i="21"/>
  <c r="I814" i="9"/>
  <c r="J814" i="9" s="1"/>
  <c r="J114" i="9"/>
  <c r="H20" i="4" s="1"/>
  <c r="I20" i="4" s="1"/>
  <c r="I1527" i="9"/>
  <c r="J1527" i="9" s="1"/>
  <c r="J1528" i="9" s="1"/>
  <c r="H302" i="4" s="1"/>
  <c r="I302" i="4" s="1"/>
  <c r="P280" i="23"/>
  <c r="P256" i="23"/>
  <c r="J33" i="9"/>
  <c r="I2065" i="9" s="1"/>
  <c r="J2065" i="9" s="1"/>
  <c r="D281" i="23"/>
  <c r="I281" i="23" s="1"/>
  <c r="D46" i="23"/>
  <c r="N1986" i="9"/>
  <c r="J1857" i="9"/>
  <c r="H348" i="4" s="1"/>
  <c r="I348" i="4" s="1"/>
  <c r="I634" i="9"/>
  <c r="M105" i="9"/>
  <c r="J379" i="9"/>
  <c r="H65" i="4" s="1"/>
  <c r="I65" i="4" s="1"/>
  <c r="M65" i="4" s="1"/>
  <c r="I929" i="9"/>
  <c r="J929" i="9" s="1"/>
  <c r="C1286" i="11"/>
  <c r="C1287" i="11" s="1"/>
  <c r="I848" i="9"/>
  <c r="J848" i="9" s="1"/>
  <c r="M551" i="12"/>
  <c r="I886" i="9"/>
  <c r="J886" i="9" s="1"/>
  <c r="I642" i="9"/>
  <c r="J642" i="9" s="1"/>
  <c r="I650" i="9"/>
  <c r="J650" i="9" s="1"/>
  <c r="I991" i="9"/>
  <c r="J991" i="9" s="1"/>
  <c r="I1368" i="9"/>
  <c r="J1368" i="9" s="1"/>
  <c r="J1369" i="9" s="1"/>
  <c r="H250" i="4" s="1"/>
  <c r="I250" i="4" s="1"/>
  <c r="F582" i="21"/>
  <c r="I967" i="9"/>
  <c r="J967" i="9" s="1"/>
  <c r="P139" i="23"/>
  <c r="N2044" i="9"/>
  <c r="J2174" i="9"/>
  <c r="J2156" i="9"/>
  <c r="G1812" i="9"/>
  <c r="N1765" i="9"/>
  <c r="G1698" i="9"/>
  <c r="N318" i="9"/>
  <c r="N548" i="9"/>
  <c r="N94" i="9"/>
  <c r="N38" i="9"/>
  <c r="J40" i="9"/>
  <c r="H11" i="4" s="1"/>
  <c r="I11" i="4" s="1"/>
  <c r="N2166" i="9"/>
  <c r="J391" i="9"/>
  <c r="H69" i="4" s="1"/>
  <c r="N390" i="9"/>
  <c r="N391" i="9" s="1"/>
  <c r="G398" i="9"/>
  <c r="J399" i="9"/>
  <c r="H71" i="4" s="1"/>
  <c r="I71" i="4" s="1"/>
  <c r="I656" i="9"/>
  <c r="M656" i="9" s="1"/>
  <c r="I648" i="9"/>
  <c r="I640" i="9"/>
  <c r="M640" i="9" s="1"/>
  <c r="I681" i="9"/>
  <c r="I672" i="9"/>
  <c r="I1455" i="9"/>
  <c r="J1455" i="9" s="1"/>
  <c r="J1456" i="9" s="1"/>
  <c r="H279" i="4" s="1"/>
  <c r="I279" i="4" s="1"/>
  <c r="AC75" i="23"/>
  <c r="C1040" i="11"/>
  <c r="C1041" i="11" s="1"/>
  <c r="G1041" i="11" s="1"/>
  <c r="I780" i="9"/>
  <c r="J780" i="9" s="1"/>
  <c r="I1002" i="9"/>
  <c r="J1002" i="9" s="1"/>
  <c r="P229" i="23"/>
  <c r="U229" i="23" s="1"/>
  <c r="I722" i="9"/>
  <c r="J722" i="9" s="1"/>
  <c r="I1431" i="9"/>
  <c r="J1431" i="9" s="1"/>
  <c r="J1432" i="9" s="1"/>
  <c r="H271" i="4" s="1"/>
  <c r="I271" i="4" s="1"/>
  <c r="I713" i="9"/>
  <c r="J713" i="9" s="1"/>
  <c r="J1646" i="9"/>
  <c r="H323" i="4" s="1"/>
  <c r="I323" i="4" s="1"/>
  <c r="N1644" i="9"/>
  <c r="N1782" i="9"/>
  <c r="N1930" i="9"/>
  <c r="N1167" i="9"/>
  <c r="J26" i="9"/>
  <c r="I720" i="9" s="1"/>
  <c r="J720" i="9" s="1"/>
  <c r="N25" i="9"/>
  <c r="N1912" i="9"/>
  <c r="G345" i="9"/>
  <c r="N342" i="9"/>
  <c r="L914" i="9"/>
  <c r="N914" i="9" s="1"/>
  <c r="M914" i="9"/>
  <c r="N1832" i="9"/>
  <c r="G1755" i="9"/>
  <c r="N1757" i="9"/>
  <c r="N1746" i="9"/>
  <c r="G1745" i="9"/>
  <c r="M1745" i="9" s="1"/>
  <c r="I1440" i="9"/>
  <c r="J1440" i="9" s="1"/>
  <c r="J1441" i="9" s="1"/>
  <c r="H274" i="4" s="1"/>
  <c r="I274" i="4" s="1"/>
  <c r="F1120" i="21"/>
  <c r="I1383" i="9"/>
  <c r="J1383" i="9" s="1"/>
  <c r="J1384" i="9" s="1"/>
  <c r="D137" i="23"/>
  <c r="I137" i="23" s="1"/>
  <c r="F295" i="23" s="1"/>
  <c r="G1793" i="9"/>
  <c r="N1767" i="9"/>
  <c r="G1861" i="9"/>
  <c r="G1707" i="9"/>
  <c r="N819" i="9"/>
  <c r="I821" i="9"/>
  <c r="J821" i="9" s="1"/>
  <c r="I1293" i="9"/>
  <c r="J449" i="9"/>
  <c r="H80" i="4" s="1"/>
  <c r="I80" i="4" s="1"/>
  <c r="N961" i="9"/>
  <c r="N2125" i="9"/>
  <c r="N2196" i="9"/>
  <c r="N1876" i="9"/>
  <c r="G1871" i="9"/>
  <c r="N1865" i="9"/>
  <c r="N1855" i="9"/>
  <c r="G1851" i="9"/>
  <c r="N1846" i="9"/>
  <c r="N1842" i="9"/>
  <c r="N1804" i="9"/>
  <c r="N1805" i="9"/>
  <c r="N1803" i="9"/>
  <c r="N1775" i="9"/>
  <c r="N1244" i="9"/>
  <c r="N1210" i="9"/>
  <c r="N560" i="9"/>
  <c r="N402" i="9"/>
  <c r="L112" i="9"/>
  <c r="N102" i="9"/>
  <c r="N103" i="9"/>
  <c r="N79" i="9"/>
  <c r="N52" i="9"/>
  <c r="N45" i="9"/>
  <c r="J19" i="9"/>
  <c r="H8" i="4" s="1"/>
  <c r="I8" i="4" s="1"/>
  <c r="N1253" i="9"/>
  <c r="K297" i="4"/>
  <c r="G236" i="4"/>
  <c r="M236" i="4" s="1"/>
  <c r="L236" i="4"/>
  <c r="E793" i="11"/>
  <c r="E796" i="11"/>
  <c r="G796" i="11" s="1"/>
  <c r="E799" i="11"/>
  <c r="E573" i="21"/>
  <c r="G555" i="21" s="1"/>
  <c r="D578" i="21" s="1"/>
  <c r="K578" i="21" s="1"/>
  <c r="N577" i="21" s="1"/>
  <c r="K1118" i="21"/>
  <c r="J1122" i="21"/>
  <c r="L1122" i="21" s="1"/>
  <c r="J1120" i="21"/>
  <c r="AI112" i="23"/>
  <c r="J731" i="21"/>
  <c r="L731" i="21" s="1"/>
  <c r="J729" i="21"/>
  <c r="J727" i="21"/>
  <c r="E1038" i="11"/>
  <c r="G1038" i="11" s="1"/>
  <c r="E1044" i="11"/>
  <c r="J976" i="21"/>
  <c r="J974" i="21"/>
  <c r="H1929" i="9"/>
  <c r="G398" i="4"/>
  <c r="K735" i="9"/>
  <c r="L735" i="9" s="1"/>
  <c r="K741" i="9"/>
  <c r="L741" i="9" s="1"/>
  <c r="J28" i="4"/>
  <c r="K28" i="4" s="1"/>
  <c r="K730" i="9"/>
  <c r="L730" i="9" s="1"/>
  <c r="J406" i="9"/>
  <c r="K547" i="9"/>
  <c r="L547" i="9" s="1"/>
  <c r="L551" i="9" s="1"/>
  <c r="J109" i="4" s="1"/>
  <c r="K109" i="4" s="1"/>
  <c r="J544" i="9"/>
  <c r="N544" i="9" s="1"/>
  <c r="M544" i="9"/>
  <c r="H1484" i="9"/>
  <c r="AM9" i="22"/>
  <c r="AM7" i="22"/>
  <c r="AS7" i="22" s="1"/>
  <c r="K710" i="9" s="1"/>
  <c r="N2147" i="9"/>
  <c r="M117" i="9"/>
  <c r="H966" i="12"/>
  <c r="M966" i="12" s="1"/>
  <c r="M967" i="12" s="1"/>
  <c r="M1965" i="9"/>
  <c r="H1965" i="9"/>
  <c r="N1965" i="9" s="1"/>
  <c r="M332" i="9"/>
  <c r="H332" i="9"/>
  <c r="N838" i="9"/>
  <c r="N820" i="9"/>
  <c r="L805" i="9"/>
  <c r="G421" i="9"/>
  <c r="J422" i="9"/>
  <c r="H75" i="4" s="1"/>
  <c r="I75" i="4" s="1"/>
  <c r="K655" i="9"/>
  <c r="L655" i="9" s="1"/>
  <c r="K647" i="9"/>
  <c r="L647" i="9" s="1"/>
  <c r="K680" i="9"/>
  <c r="L680" i="9" s="1"/>
  <c r="K1976" i="9"/>
  <c r="L1976" i="9" s="1"/>
  <c r="K671" i="9"/>
  <c r="L671" i="9" s="1"/>
  <c r="K631" i="9"/>
  <c r="L631" i="9" s="1"/>
  <c r="K639" i="9"/>
  <c r="L639" i="9" s="1"/>
  <c r="J77" i="4"/>
  <c r="K77" i="4" s="1"/>
  <c r="N2128" i="9"/>
  <c r="N2129" i="9" s="1"/>
  <c r="E554" i="11"/>
  <c r="E548" i="11"/>
  <c r="G548" i="11" s="1"/>
  <c r="E551" i="11"/>
  <c r="E831" i="11"/>
  <c r="E828" i="11"/>
  <c r="G828" i="11" s="1"/>
  <c r="E834" i="11"/>
  <c r="C202" i="23"/>
  <c r="C200" i="23"/>
  <c r="S281" i="23"/>
  <c r="S280" i="23"/>
  <c r="S279" i="23"/>
  <c r="AB156" i="23"/>
  <c r="AK157" i="23" s="1"/>
  <c r="AB154" i="23"/>
  <c r="H22" i="9"/>
  <c r="N22" i="9" s="1"/>
  <c r="G332" i="21"/>
  <c r="E317" i="21"/>
  <c r="L317" i="21" s="1"/>
  <c r="H319" i="21" s="1"/>
  <c r="E320" i="21" s="1"/>
  <c r="E312" i="21" s="1"/>
  <c r="E328" i="21" s="1"/>
  <c r="G310" i="21" s="1"/>
  <c r="D333" i="21" s="1"/>
  <c r="K333" i="21" s="1"/>
  <c r="E513" i="21"/>
  <c r="L513" i="21" s="1"/>
  <c r="H515" i="21" s="1"/>
  <c r="E516" i="21" s="1"/>
  <c r="E508" i="21" s="1"/>
  <c r="G528" i="21"/>
  <c r="K528" i="21" s="1"/>
  <c r="C617" i="11"/>
  <c r="C618" i="11" s="1"/>
  <c r="G618" i="11" s="1"/>
  <c r="K1686" i="9"/>
  <c r="L1686" i="9" s="1"/>
  <c r="L1688" i="9" s="1"/>
  <c r="J330" i="4" s="1"/>
  <c r="K330" i="4" s="1"/>
  <c r="K1668" i="9"/>
  <c r="L1668" i="9" s="1"/>
  <c r="L1670" i="9" s="1"/>
  <c r="J327" i="4" s="1"/>
  <c r="K327" i="4" s="1"/>
  <c r="C687" i="11"/>
  <c r="C688" i="11" s="1"/>
  <c r="G688" i="11" s="1"/>
  <c r="K1656" i="9"/>
  <c r="L1656" i="9" s="1"/>
  <c r="L1658" i="9" s="1"/>
  <c r="J325" i="4" s="1"/>
  <c r="K325" i="4" s="1"/>
  <c r="K1650" i="9"/>
  <c r="L1650" i="9" s="1"/>
  <c r="L1652" i="9" s="1"/>
  <c r="J324" i="4" s="1"/>
  <c r="K324" i="4" s="1"/>
  <c r="K1674" i="9"/>
  <c r="L1674" i="9" s="1"/>
  <c r="L1676" i="9" s="1"/>
  <c r="J328" i="4" s="1"/>
  <c r="K328" i="4" s="1"/>
  <c r="K1662" i="9"/>
  <c r="L1662" i="9" s="1"/>
  <c r="K1027" i="9"/>
  <c r="L1027" i="9" s="1"/>
  <c r="K1284" i="9"/>
  <c r="L1284" i="9" s="1"/>
  <c r="L1285" i="9" s="1"/>
  <c r="J222" i="4" s="1"/>
  <c r="K222" i="4" s="1"/>
  <c r="C22" i="11"/>
  <c r="C23" i="11" s="1"/>
  <c r="G23" i="11" s="1"/>
  <c r="C127" i="11"/>
  <c r="C128" i="11" s="1"/>
  <c r="G128" i="11" s="1"/>
  <c r="K495" i="9" s="1"/>
  <c r="L495" i="9" s="1"/>
  <c r="L496" i="9" s="1"/>
  <c r="J94" i="4" s="1"/>
  <c r="K94" i="4" s="1"/>
  <c r="C337" i="11"/>
  <c r="C338" i="11" s="1"/>
  <c r="K1692" i="9"/>
  <c r="L1692" i="9" s="1"/>
  <c r="L1694" i="9" s="1"/>
  <c r="J331" i="4" s="1"/>
  <c r="K331" i="4" s="1"/>
  <c r="H813" i="12"/>
  <c r="M813" i="12" s="1"/>
  <c r="H814" i="12" s="1"/>
  <c r="M814" i="12" s="1"/>
  <c r="M815" i="12" s="1"/>
  <c r="H1288" i="12"/>
  <c r="M1288" i="12" s="1"/>
  <c r="H1269" i="12"/>
  <c r="M1269" i="12" s="1"/>
  <c r="H1270" i="12" s="1"/>
  <c r="M1270" i="12" s="1"/>
  <c r="M1271" i="12" s="1"/>
  <c r="H1250" i="12"/>
  <c r="M1250" i="12" s="1"/>
  <c r="H1251" i="12" s="1"/>
  <c r="M1251" i="12" s="1"/>
  <c r="M1252" i="12" s="1"/>
  <c r="AC122" i="23" s="1"/>
  <c r="H1668" i="12"/>
  <c r="M1668" i="12" s="1"/>
  <c r="C1002" i="11"/>
  <c r="C1003" i="11" s="1"/>
  <c r="K1290" i="9"/>
  <c r="L1290" i="9" s="1"/>
  <c r="L1291" i="9" s="1"/>
  <c r="J224" i="4" s="1"/>
  <c r="K224" i="4" s="1"/>
  <c r="H1129" i="9"/>
  <c r="N1129" i="9" s="1"/>
  <c r="M1129" i="9"/>
  <c r="R9" i="14"/>
  <c r="G10" i="14"/>
  <c r="R10" i="14" s="1"/>
  <c r="R15" i="14"/>
  <c r="G16" i="14"/>
  <c r="R16" i="14" s="1"/>
  <c r="D115" i="23"/>
  <c r="J115" i="23" s="1"/>
  <c r="I830" i="9"/>
  <c r="J830" i="9" s="1"/>
  <c r="I858" i="9"/>
  <c r="J858" i="9" s="1"/>
  <c r="I1338" i="9"/>
  <c r="J1338" i="9" s="1"/>
  <c r="J1339" i="9" s="1"/>
  <c r="H240" i="4" s="1"/>
  <c r="I240" i="4" s="1"/>
  <c r="D19" i="23"/>
  <c r="F288" i="21"/>
  <c r="F386" i="21"/>
  <c r="I868" i="9"/>
  <c r="J868" i="9" s="1"/>
  <c r="I1014" i="9"/>
  <c r="J1014" i="9" s="1"/>
  <c r="I1691" i="9"/>
  <c r="J1691" i="9" s="1"/>
  <c r="I1655" i="9"/>
  <c r="J1655" i="9" s="1"/>
  <c r="I898" i="9"/>
  <c r="J898" i="9" s="1"/>
  <c r="I930" i="9"/>
  <c r="I840" i="9"/>
  <c r="J840" i="9" s="1"/>
  <c r="I1661" i="9"/>
  <c r="J1661" i="9" s="1"/>
  <c r="I1667" i="9"/>
  <c r="J1667" i="9" s="1"/>
  <c r="I1003" i="9"/>
  <c r="I1673" i="9"/>
  <c r="J1673" i="9" s="1"/>
  <c r="I1649" i="9"/>
  <c r="J1649" i="9" s="1"/>
  <c r="I1386" i="9"/>
  <c r="J1386" i="9" s="1"/>
  <c r="J1387" i="9" s="1"/>
  <c r="H256" i="4" s="1"/>
  <c r="I256" i="4" s="1"/>
  <c r="I1613" i="9"/>
  <c r="J1613" i="9" s="1"/>
  <c r="I1607" i="9"/>
  <c r="J1607" i="9" s="1"/>
  <c r="I1625" i="9"/>
  <c r="J1625" i="9" s="1"/>
  <c r="J1628" i="9" s="1"/>
  <c r="H320" i="4" s="1"/>
  <c r="I320" i="4" s="1"/>
  <c r="I940" i="9"/>
  <c r="J940" i="9" s="1"/>
  <c r="I964" i="9"/>
  <c r="I988" i="9"/>
  <c r="J988" i="9" s="1"/>
  <c r="I1452" i="9"/>
  <c r="J1452" i="9" s="1"/>
  <c r="J1453" i="9" s="1"/>
  <c r="H278" i="4" s="1"/>
  <c r="I278" i="4" s="1"/>
  <c r="I976" i="9"/>
  <c r="J976" i="9" s="1"/>
  <c r="M1216" i="12"/>
  <c r="P18" i="23"/>
  <c r="U18" i="23" s="1"/>
  <c r="R84" i="23" s="1"/>
  <c r="I907" i="9"/>
  <c r="J907" i="9" s="1"/>
  <c r="N424" i="9"/>
  <c r="G2143" i="9"/>
  <c r="O2143" i="9"/>
  <c r="O2137" i="9"/>
  <c r="G2137" i="9"/>
  <c r="H243" i="9"/>
  <c r="M243" i="9"/>
  <c r="H2170" i="9"/>
  <c r="M2170" i="9"/>
  <c r="H2218" i="9"/>
  <c r="N2218" i="9" s="1"/>
  <c r="M2218" i="9"/>
  <c r="H2159" i="9"/>
  <c r="M2159" i="9"/>
  <c r="H2135" i="9"/>
  <c r="M2135" i="9"/>
  <c r="N1049" i="9"/>
  <c r="I1004" i="9"/>
  <c r="J1004" i="9" s="1"/>
  <c r="I1296" i="9"/>
  <c r="J1296" i="9" s="1"/>
  <c r="J1297" i="9" s="1"/>
  <c r="H226" i="4" s="1"/>
  <c r="I226" i="4" s="1"/>
  <c r="G134" i="9"/>
  <c r="G1532" i="9"/>
  <c r="G124" i="9"/>
  <c r="M1989" i="9"/>
  <c r="H1989" i="9"/>
  <c r="G28" i="9"/>
  <c r="G49" i="9"/>
  <c r="G21" i="9"/>
  <c r="G16" i="9"/>
  <c r="G42" i="9"/>
  <c r="G6" i="9"/>
  <c r="G11" i="9"/>
  <c r="M1985" i="9"/>
  <c r="H1985" i="9"/>
  <c r="N1985" i="9" s="1"/>
  <c r="J235" i="23"/>
  <c r="N1763" i="9"/>
  <c r="N1900" i="9"/>
  <c r="N1940" i="9"/>
  <c r="E1059" i="21"/>
  <c r="G1048" i="21" s="1"/>
  <c r="D1066" i="21" s="1"/>
  <c r="K1066" i="21" s="1"/>
  <c r="O894" i="11"/>
  <c r="O334" i="11"/>
  <c r="O369" i="11"/>
  <c r="O1280" i="11"/>
  <c r="O404" i="11"/>
  <c r="N1125" i="9"/>
  <c r="M103" i="12"/>
  <c r="M106" i="12" s="1"/>
  <c r="N1860" i="9"/>
  <c r="J1867" i="9"/>
  <c r="H349" i="4" s="1"/>
  <c r="I349" i="4" s="1"/>
  <c r="I1308" i="9"/>
  <c r="N250" i="9"/>
  <c r="I1990" i="9"/>
  <c r="I1759" i="9"/>
  <c r="I1712" i="9"/>
  <c r="I1731" i="9"/>
  <c r="I1778" i="9"/>
  <c r="I1769" i="9"/>
  <c r="I1721" i="9"/>
  <c r="H6" i="4"/>
  <c r="I1788" i="9"/>
  <c r="I1565" i="9"/>
  <c r="N1602" i="9"/>
  <c r="N874" i="9"/>
  <c r="N1772" i="9"/>
  <c r="N1960" i="9"/>
  <c r="J1890" i="9"/>
  <c r="M1890" i="9"/>
  <c r="H2180" i="9"/>
  <c r="F393" i="4"/>
  <c r="O2142" i="9"/>
  <c r="L104" i="9"/>
  <c r="L356" i="9"/>
  <c r="M356" i="9"/>
  <c r="H1959" i="9"/>
  <c r="F388" i="21"/>
  <c r="F339" i="21"/>
  <c r="F290" i="21"/>
  <c r="J561" i="9"/>
  <c r="M561" i="9"/>
  <c r="H135" i="9"/>
  <c r="N135" i="9" s="1"/>
  <c r="M1131" i="9"/>
  <c r="H1131" i="9"/>
  <c r="N1131" i="9" s="1"/>
  <c r="H30" i="9"/>
  <c r="N30" i="9" s="1"/>
  <c r="M30" i="9"/>
  <c r="M51" i="9"/>
  <c r="H51" i="9"/>
  <c r="N51" i="9" s="1"/>
  <c r="H864" i="9"/>
  <c r="N864" i="9" s="1"/>
  <c r="M864" i="9"/>
  <c r="G1662" i="9"/>
  <c r="G1686" i="9"/>
  <c r="G1680" i="9"/>
  <c r="G1692" i="9"/>
  <c r="C28" i="11"/>
  <c r="C29" i="11" s="1"/>
  <c r="G29" i="11" s="1"/>
  <c r="G459" i="9" s="1"/>
  <c r="G1650" i="9"/>
  <c r="C343" i="11"/>
  <c r="C344" i="11" s="1"/>
  <c r="G1284" i="9"/>
  <c r="M1140" i="12"/>
  <c r="F1118" i="21"/>
  <c r="M1118" i="21" s="1"/>
  <c r="G1440" i="9"/>
  <c r="P138" i="23"/>
  <c r="U138" i="23" s="1"/>
  <c r="P183" i="23" s="1"/>
  <c r="P41" i="23"/>
  <c r="H1450" i="9"/>
  <c r="F277" i="4" s="1"/>
  <c r="G277" i="4" s="1"/>
  <c r="G1416" i="9"/>
  <c r="M988" i="12"/>
  <c r="D136" i="23"/>
  <c r="I136" i="23" s="1"/>
  <c r="D295" i="23" s="1"/>
  <c r="G889" i="9"/>
  <c r="G968" i="9"/>
  <c r="G824" i="9"/>
  <c r="H824" i="9" s="1"/>
  <c r="L1221" i="9"/>
  <c r="N1221" i="9" s="1"/>
  <c r="M1221" i="9"/>
  <c r="N355" i="9"/>
  <c r="K1359" i="9"/>
  <c r="L1359" i="9" s="1"/>
  <c r="L1360" i="9" s="1"/>
  <c r="J247" i="4" s="1"/>
  <c r="K247" i="4" s="1"/>
  <c r="P43" i="23"/>
  <c r="U43" i="23" s="1"/>
  <c r="T86" i="23" s="1"/>
  <c r="T92" i="23" s="1"/>
  <c r="K1365" i="9"/>
  <c r="M684" i="12"/>
  <c r="M1121" i="9"/>
  <c r="H1121" i="9"/>
  <c r="N1121" i="9" s="1"/>
  <c r="H139" i="9"/>
  <c r="N139" i="9" s="1"/>
  <c r="M139" i="9"/>
  <c r="N2188" i="9"/>
  <c r="J2192" i="9"/>
  <c r="L2211" i="9"/>
  <c r="N2211" i="9" s="1"/>
  <c r="M2211" i="9"/>
  <c r="S256" i="23"/>
  <c r="S257" i="23"/>
  <c r="U257" i="23" s="1"/>
  <c r="N2205" i="9"/>
  <c r="J2207" i="9"/>
  <c r="H2207" i="9"/>
  <c r="N2204" i="9"/>
  <c r="G1859" i="9"/>
  <c r="G1939" i="9"/>
  <c r="G1879" i="9"/>
  <c r="G1696" i="9"/>
  <c r="G1909" i="9"/>
  <c r="G1829" i="9"/>
  <c r="M1577" i="12"/>
  <c r="G1839" i="9"/>
  <c r="G1753" i="9"/>
  <c r="G1762" i="9"/>
  <c r="G1869" i="9"/>
  <c r="G1810" i="9"/>
  <c r="G1819" i="9"/>
  <c r="G1791" i="9"/>
  <c r="G1743" i="9"/>
  <c r="C763" i="11"/>
  <c r="C764" i="11" s="1"/>
  <c r="G1949" i="9"/>
  <c r="G1919" i="9"/>
  <c r="G1983" i="9"/>
  <c r="G1520" i="9"/>
  <c r="I1065" i="9"/>
  <c r="J1065" i="9" s="1"/>
  <c r="I1051" i="9"/>
  <c r="J1051" i="9" s="1"/>
  <c r="G296" i="4"/>
  <c r="I1490" i="9"/>
  <c r="I1493" i="9"/>
  <c r="M1463" i="12"/>
  <c r="K1487" i="9"/>
  <c r="L1487" i="9" s="1"/>
  <c r="L1488" i="9" s="1"/>
  <c r="J289" i="4" s="1"/>
  <c r="K289" i="4" s="1"/>
  <c r="M1444" i="12"/>
  <c r="H1487" i="9"/>
  <c r="G1472" i="9"/>
  <c r="M1330" i="12"/>
  <c r="J1318" i="9"/>
  <c r="H233" i="4" s="1"/>
  <c r="I233" i="4" s="1"/>
  <c r="M233" i="4" s="1"/>
  <c r="N1317" i="9"/>
  <c r="N1318" i="9" s="1"/>
  <c r="N1234" i="9"/>
  <c r="H1239" i="9"/>
  <c r="F210" i="4" s="1"/>
  <c r="G210" i="4" s="1"/>
  <c r="J1232" i="9"/>
  <c r="H209" i="4" s="1"/>
  <c r="I209" i="4" s="1"/>
  <c r="H1225" i="9"/>
  <c r="F208" i="4" s="1"/>
  <c r="G208" i="4" s="1"/>
  <c r="J1218" i="9"/>
  <c r="H207" i="4" s="1"/>
  <c r="I207" i="4" s="1"/>
  <c r="L1206" i="9"/>
  <c r="N1206" i="9" s="1"/>
  <c r="M1206" i="9"/>
  <c r="K1207" i="9"/>
  <c r="J1211" i="9"/>
  <c r="H206" i="4" s="1"/>
  <c r="I206" i="4" s="1"/>
  <c r="H1176" i="9"/>
  <c r="F201" i="4" s="1"/>
  <c r="G201" i="4" s="1"/>
  <c r="J1169" i="9"/>
  <c r="H200" i="4" s="1"/>
  <c r="I200" i="4" s="1"/>
  <c r="L1150" i="9"/>
  <c r="N1150" i="9" s="1"/>
  <c r="K1151" i="9"/>
  <c r="M1150" i="9"/>
  <c r="H555" i="9"/>
  <c r="L490" i="9"/>
  <c r="J92" i="4" s="1"/>
  <c r="K92" i="4" s="1"/>
  <c r="N489" i="9"/>
  <c r="N490" i="9" s="1"/>
  <c r="H373" i="9"/>
  <c r="F63" i="4" s="1"/>
  <c r="N372" i="9"/>
  <c r="N373" i="9" s="1"/>
  <c r="M326" i="9"/>
  <c r="H326" i="9"/>
  <c r="N326" i="9" s="1"/>
  <c r="M319" i="9"/>
  <c r="H319" i="9"/>
  <c r="N319" i="9" s="1"/>
  <c r="L267" i="9"/>
  <c r="J44" i="4" s="1"/>
  <c r="K44" i="4" s="1"/>
  <c r="N264" i="9"/>
  <c r="N265" i="9"/>
  <c r="H267" i="9"/>
  <c r="F44" i="4" s="1"/>
  <c r="G739" i="9"/>
  <c r="F43" i="4"/>
  <c r="H235" i="9"/>
  <c r="M235" i="9"/>
  <c r="J132" i="9"/>
  <c r="N74" i="9"/>
  <c r="N65" i="9"/>
  <c r="J63" i="9"/>
  <c r="H57" i="9"/>
  <c r="M57" i="9"/>
  <c r="H43" i="9"/>
  <c r="N43" i="9" s="1"/>
  <c r="M43" i="9"/>
  <c r="H29" i="9"/>
  <c r="N29" i="9" s="1"/>
  <c r="M29" i="9"/>
  <c r="M17" i="9"/>
  <c r="H17" i="9"/>
  <c r="N17" i="9" s="1"/>
  <c r="H207" i="9"/>
  <c r="N207" i="9" s="1"/>
  <c r="M207" i="9"/>
  <c r="J1887" i="9"/>
  <c r="H351" i="4" s="1"/>
  <c r="I351" i="4" s="1"/>
  <c r="K2049" i="9"/>
  <c r="L2049" i="9" s="1"/>
  <c r="N1889" i="9"/>
  <c r="N1326" i="9"/>
  <c r="N1327" i="9" s="1"/>
  <c r="J972" i="21"/>
  <c r="M1773" i="9"/>
  <c r="J1910" i="9"/>
  <c r="H1849" i="9"/>
  <c r="M1889" i="9"/>
  <c r="K747" i="9"/>
  <c r="L747" i="9" s="1"/>
  <c r="K1036" i="9"/>
  <c r="L1036" i="9" s="1"/>
  <c r="J195" i="4"/>
  <c r="K195" i="4" s="1"/>
  <c r="N766" i="9"/>
  <c r="N420" i="9"/>
  <c r="N456" i="9"/>
  <c r="M1705" i="9"/>
  <c r="C319" i="23"/>
  <c r="AM5" i="22"/>
  <c r="AS5" i="22" s="1"/>
  <c r="K692" i="9" s="1"/>
  <c r="K1969" i="9"/>
  <c r="L1969" i="9" s="1"/>
  <c r="K663" i="9"/>
  <c r="L663" i="9" s="1"/>
  <c r="H75" i="9"/>
  <c r="M380" i="12"/>
  <c r="L1682" i="9"/>
  <c r="J329" i="4" s="1"/>
  <c r="K329" i="4" s="1"/>
  <c r="C897" i="11"/>
  <c r="C898" i="11" s="1"/>
  <c r="H794" i="12"/>
  <c r="M794" i="12" s="1"/>
  <c r="E863" i="21"/>
  <c r="J863" i="21" s="1"/>
  <c r="E859" i="21" s="1"/>
  <c r="L2199" i="9"/>
  <c r="H1246" i="9"/>
  <c r="F211" i="4" s="1"/>
  <c r="G211" i="4" s="1"/>
  <c r="J1239" i="9"/>
  <c r="H210" i="4" s="1"/>
  <c r="I210" i="4" s="1"/>
  <c r="N1238" i="9"/>
  <c r="N1224" i="9"/>
  <c r="J1225" i="9"/>
  <c r="H208" i="4" s="1"/>
  <c r="I208" i="4" s="1"/>
  <c r="H1211" i="9"/>
  <c r="F206" i="4" s="1"/>
  <c r="G206" i="4" s="1"/>
  <c r="N1168" i="9"/>
  <c r="H1169" i="9"/>
  <c r="F200" i="4" s="1"/>
  <c r="G200" i="4" s="1"/>
  <c r="N1161" i="9"/>
  <c r="N1153" i="9"/>
  <c r="H1155" i="9"/>
  <c r="F198" i="4" s="1"/>
  <c r="G198" i="4" s="1"/>
  <c r="N822" i="21"/>
  <c r="K624" i="21"/>
  <c r="O579" i="11"/>
  <c r="O509" i="11"/>
  <c r="O474" i="11"/>
  <c r="O439" i="11"/>
  <c r="O89" i="11"/>
  <c r="L262" i="9"/>
  <c r="J239" i="9"/>
  <c r="H40" i="4" s="1"/>
  <c r="I40" i="4" s="1"/>
  <c r="N129" i="9"/>
  <c r="N111" i="9"/>
  <c r="N105" i="9"/>
  <c r="N100" i="9"/>
  <c r="N76" i="9"/>
  <c r="N68" i="9"/>
  <c r="N50" i="9"/>
  <c r="J212" i="9"/>
  <c r="I219" i="9" s="1"/>
  <c r="G101" i="4"/>
  <c r="M101" i="4" s="1"/>
  <c r="L101" i="4"/>
  <c r="K2053" i="9"/>
  <c r="L2053" i="9" s="1"/>
  <c r="K2039" i="9"/>
  <c r="L2039" i="9" s="1"/>
  <c r="O720" i="9"/>
  <c r="O728" i="9"/>
  <c r="O733" i="9"/>
  <c r="P27" i="9"/>
  <c r="L1505" i="9"/>
  <c r="L1506" i="9" s="1"/>
  <c r="J295" i="4" s="1"/>
  <c r="K295" i="4" s="1"/>
  <c r="L1281" i="9"/>
  <c r="L1282" i="9" s="1"/>
  <c r="J221" i="4" s="1"/>
  <c r="M1281" i="9"/>
  <c r="K860" i="9"/>
  <c r="L860" i="9" s="1"/>
  <c r="K888" i="9"/>
  <c r="L888" i="9" s="1"/>
  <c r="K850" i="9"/>
  <c r="L850" i="9" s="1"/>
  <c r="H1491" i="9"/>
  <c r="F290" i="4" s="1"/>
  <c r="H244" i="9"/>
  <c r="N244" i="9" s="1"/>
  <c r="M244" i="9"/>
  <c r="M37" i="9"/>
  <c r="G1655" i="9"/>
  <c r="G868" i="9"/>
  <c r="G814" i="9"/>
  <c r="G1661" i="9"/>
  <c r="G1685" i="9"/>
  <c r="G1673" i="9"/>
  <c r="G1014" i="9"/>
  <c r="H244" i="12"/>
  <c r="M244" i="12" s="1"/>
  <c r="M245" i="12" s="1"/>
  <c r="M1059" i="9"/>
  <c r="H1059" i="9"/>
  <c r="N1059" i="9" s="1"/>
  <c r="K2038" i="9"/>
  <c r="L2038" i="9" s="1"/>
  <c r="K2095" i="9"/>
  <c r="L2095" i="9" s="1"/>
  <c r="K2052" i="9"/>
  <c r="L2052" i="9" s="1"/>
  <c r="K2103" i="9"/>
  <c r="L2103" i="9" s="1"/>
  <c r="K2087" i="9"/>
  <c r="L2087" i="9" s="1"/>
  <c r="N58" i="9"/>
  <c r="N1903" i="9"/>
  <c r="N1932" i="9"/>
  <c r="N367" i="9"/>
  <c r="N361" i="9"/>
  <c r="I1583" i="9"/>
  <c r="J1583" i="9" s="1"/>
  <c r="I1638" i="9"/>
  <c r="I1589" i="9"/>
  <c r="J1589" i="9" s="1"/>
  <c r="J1592" i="9" s="1"/>
  <c r="H314" i="4" s="1"/>
  <c r="I314" i="4" s="1"/>
  <c r="I1595" i="9"/>
  <c r="J1595" i="9" s="1"/>
  <c r="J1598" i="9" s="1"/>
  <c r="H315" i="4" s="1"/>
  <c r="I315" i="4" s="1"/>
  <c r="I1413" i="9"/>
  <c r="J1413" i="9" s="1"/>
  <c r="J1414" i="9" s="1"/>
  <c r="H265" i="4" s="1"/>
  <c r="I265" i="4" s="1"/>
  <c r="I1559" i="9"/>
  <c r="J1559" i="9" s="1"/>
  <c r="K1484" i="9"/>
  <c r="L1484" i="9" s="1"/>
  <c r="L1485" i="9" s="1"/>
  <c r="J288" i="4" s="1"/>
  <c r="K288" i="4" s="1"/>
  <c r="K403" i="9"/>
  <c r="M1425" i="12"/>
  <c r="C792" i="11"/>
  <c r="C793" i="11" s="1"/>
  <c r="G793" i="11" s="1"/>
  <c r="K1496" i="9"/>
  <c r="L1496" i="9" s="1"/>
  <c r="L1497" i="9" s="1"/>
  <c r="J292" i="4" s="1"/>
  <c r="K292" i="4" s="1"/>
  <c r="K994" i="9"/>
  <c r="L994" i="9" s="1"/>
  <c r="K1025" i="9"/>
  <c r="L1025" i="9" s="1"/>
  <c r="K780" i="9"/>
  <c r="L780" i="9" s="1"/>
  <c r="K768" i="9"/>
  <c r="L768" i="9" s="1"/>
  <c r="K1013" i="9"/>
  <c r="L1013" i="9" s="1"/>
  <c r="K1527" i="9"/>
  <c r="L1527" i="9" s="1"/>
  <c r="L1528" i="9" s="1"/>
  <c r="J302" i="4" s="1"/>
  <c r="K302" i="4" s="1"/>
  <c r="K897" i="9"/>
  <c r="L897" i="9" s="1"/>
  <c r="L901" i="9" s="1"/>
  <c r="J169" i="4" s="1"/>
  <c r="K169" i="4" s="1"/>
  <c r="H93" i="9"/>
  <c r="I28" i="14"/>
  <c r="G29" i="14"/>
  <c r="I29" i="14" s="1"/>
  <c r="S212" i="23"/>
  <c r="U212" i="23" s="1"/>
  <c r="P239" i="23" s="1"/>
  <c r="S210" i="23"/>
  <c r="L2132" i="9"/>
  <c r="J379" i="4" s="1"/>
  <c r="N2131" i="9"/>
  <c r="N2132" i="9" s="1"/>
  <c r="H2217" i="9"/>
  <c r="N2217" i="9" s="1"/>
  <c r="M2217" i="9"/>
  <c r="C757" i="11"/>
  <c r="C758" i="11" s="1"/>
  <c r="K1849" i="9"/>
  <c r="L1849" i="9" s="1"/>
  <c r="L1857" i="9" s="1"/>
  <c r="J348" i="4" s="1"/>
  <c r="K348" i="4" s="1"/>
  <c r="K1781" i="9"/>
  <c r="L1781" i="9" s="1"/>
  <c r="N1781" i="9" s="1"/>
  <c r="K1819" i="9"/>
  <c r="L1819" i="9" s="1"/>
  <c r="K1899" i="9"/>
  <c r="L1899" i="9" s="1"/>
  <c r="K1753" i="9"/>
  <c r="L1753" i="9" s="1"/>
  <c r="K1879" i="9"/>
  <c r="L1879" i="9" s="1"/>
  <c r="L1887" i="9" s="1"/>
  <c r="J351" i="4" s="1"/>
  <c r="K351" i="4" s="1"/>
  <c r="K1859" i="9"/>
  <c r="L1859" i="9" s="1"/>
  <c r="L1867" i="9" s="1"/>
  <c r="J349" i="4" s="1"/>
  <c r="K349" i="4" s="1"/>
  <c r="K1839" i="9"/>
  <c r="L1839" i="9" s="1"/>
  <c r="L1847" i="9" s="1"/>
  <c r="J347" i="4" s="1"/>
  <c r="K347" i="4" s="1"/>
  <c r="K1696" i="9"/>
  <c r="L1696" i="9" s="1"/>
  <c r="K1800" i="9"/>
  <c r="L1800" i="9" s="1"/>
  <c r="N1800" i="9" s="1"/>
  <c r="K1724" i="9"/>
  <c r="L1724" i="9" s="1"/>
  <c r="N1724" i="9" s="1"/>
  <c r="I1508" i="9"/>
  <c r="M1558" i="12"/>
  <c r="I1505" i="9"/>
  <c r="J1505" i="9" s="1"/>
  <c r="M1539" i="12"/>
  <c r="I1449" i="9"/>
  <c r="M1197" i="12"/>
  <c r="K1311" i="9"/>
  <c r="M1171" i="9"/>
  <c r="K1172" i="9"/>
  <c r="I673" i="21"/>
  <c r="K673" i="21" s="1"/>
  <c r="H661" i="21"/>
  <c r="J661" i="21" s="1"/>
  <c r="E660" i="21" s="1"/>
  <c r="E668" i="21" s="1"/>
  <c r="G658" i="21" s="1"/>
  <c r="G234" i="21"/>
  <c r="K234" i="21" s="1"/>
  <c r="E219" i="21"/>
  <c r="L219" i="21" s="1"/>
  <c r="H221" i="21" s="1"/>
  <c r="E222" i="21" s="1"/>
  <c r="E214" i="21" s="1"/>
  <c r="E230" i="21" s="1"/>
  <c r="G212" i="21" s="1"/>
  <c r="D235" i="21" s="1"/>
  <c r="K235" i="21" s="1"/>
  <c r="E121" i="21"/>
  <c r="L121" i="21" s="1"/>
  <c r="H123" i="21" s="1"/>
  <c r="E124" i="21" s="1"/>
  <c r="E116" i="21" s="1"/>
  <c r="E132" i="21" s="1"/>
  <c r="G114" i="21" s="1"/>
  <c r="D137" i="21" s="1"/>
  <c r="K137" i="21" s="1"/>
  <c r="G136" i="21"/>
  <c r="K136" i="21" s="1"/>
  <c r="I85" i="21"/>
  <c r="K85" i="21" s="1"/>
  <c r="H73" i="21"/>
  <c r="J73" i="21" s="1"/>
  <c r="E72" i="21" s="1"/>
  <c r="K1467" i="9"/>
  <c r="L1467" i="9" s="1"/>
  <c r="K313" i="9"/>
  <c r="L313" i="9" s="1"/>
  <c r="L314" i="9" s="1"/>
  <c r="J51" i="4" s="1"/>
  <c r="K51" i="4" s="1"/>
  <c r="K278" i="9"/>
  <c r="L278" i="9" s="1"/>
  <c r="L279" i="9" s="1"/>
  <c r="J46" i="4" s="1"/>
  <c r="K46" i="4" s="1"/>
  <c r="K292" i="9"/>
  <c r="L292" i="9" s="1"/>
  <c r="L293" i="9" s="1"/>
  <c r="J48" i="4" s="1"/>
  <c r="K48" i="4" s="1"/>
  <c r="K285" i="9"/>
  <c r="L285" i="9" s="1"/>
  <c r="L286" i="9" s="1"/>
  <c r="J47" i="4" s="1"/>
  <c r="K47" i="4" s="1"/>
  <c r="K1971" i="9"/>
  <c r="L1971" i="9" s="1"/>
  <c r="J29" i="4"/>
  <c r="K29" i="4" s="1"/>
  <c r="G45" i="23"/>
  <c r="G46" i="23"/>
  <c r="G47" i="23"/>
  <c r="I47" i="23" s="1"/>
  <c r="C9" i="23"/>
  <c r="C11" i="23" s="1"/>
  <c r="C12" i="23" s="1"/>
  <c r="C8" i="23"/>
  <c r="G160" i="23"/>
  <c r="G161" i="23"/>
  <c r="G162" i="23"/>
  <c r="I162" i="23" s="1"/>
  <c r="S78" i="23"/>
  <c r="S79" i="23"/>
  <c r="S41" i="23"/>
  <c r="S42" i="23"/>
  <c r="O105" i="23"/>
  <c r="O103" i="23"/>
  <c r="S174" i="23"/>
  <c r="S175" i="23"/>
  <c r="M1102" i="9"/>
  <c r="L1102" i="9"/>
  <c r="M1114" i="9"/>
  <c r="H1114" i="9"/>
  <c r="N1114" i="9" s="1"/>
  <c r="H1112" i="9"/>
  <c r="N1112" i="9" s="1"/>
  <c r="M1112" i="9"/>
  <c r="K1137" i="9"/>
  <c r="M1136" i="9"/>
  <c r="N1468" i="9"/>
  <c r="G863" i="11"/>
  <c r="N1213" i="9"/>
  <c r="N70" i="9"/>
  <c r="L2126" i="9"/>
  <c r="J377" i="4" s="1"/>
  <c r="K377" i="4" s="1"/>
  <c r="L870" i="9"/>
  <c r="J166" i="4" s="1"/>
  <c r="K166" i="4" s="1"/>
  <c r="N409" i="9"/>
  <c r="O999" i="11"/>
  <c r="N2111" i="9"/>
  <c r="N2073" i="9"/>
  <c r="N2058" i="9"/>
  <c r="N2178" i="9"/>
  <c r="N2172" i="9"/>
  <c r="N1874" i="9"/>
  <c r="N1872" i="9"/>
  <c r="N1795" i="9"/>
  <c r="N1786" i="9"/>
  <c r="N1784" i="9"/>
  <c r="N1758" i="9"/>
  <c r="J1176" i="9"/>
  <c r="H201" i="4" s="1"/>
  <c r="I201" i="4" s="1"/>
  <c r="J1141" i="9"/>
  <c r="H196" i="4" s="1"/>
  <c r="I196" i="4" s="1"/>
  <c r="H1141" i="9"/>
  <c r="F196" i="4" s="1"/>
  <c r="G196" i="4" s="1"/>
  <c r="N455" i="9"/>
  <c r="N446" i="9"/>
  <c r="N431" i="9"/>
  <c r="N269" i="9"/>
  <c r="N1107" i="9"/>
  <c r="N1260" i="9"/>
  <c r="H1261" i="9"/>
  <c r="E26" i="21"/>
  <c r="J26" i="21" s="1"/>
  <c r="E24" i="21" s="1"/>
  <c r="L1126" i="9"/>
  <c r="AI12" i="23"/>
  <c r="AI13" i="23" s="1"/>
  <c r="AI14" i="23" s="1"/>
  <c r="AI10" i="23" s="1"/>
  <c r="AB10" i="23"/>
  <c r="L1164" i="9"/>
  <c r="N1164" i="9" s="1"/>
  <c r="K1165" i="9"/>
  <c r="M1157" i="9"/>
  <c r="K1158" i="9"/>
  <c r="L1099" i="9"/>
  <c r="M1099" i="9"/>
  <c r="H811" i="9"/>
  <c r="N811" i="9" s="1"/>
  <c r="M811" i="9"/>
  <c r="G35" i="23"/>
  <c r="G34" i="23"/>
  <c r="I34" i="23" s="1"/>
  <c r="S139" i="23"/>
  <c r="S140" i="23"/>
  <c r="U140" i="23" s="1"/>
  <c r="T183" i="23" s="1"/>
  <c r="L140" i="9"/>
  <c r="L142" i="9" s="1"/>
  <c r="J23" i="4" s="1"/>
  <c r="K23" i="4" s="1"/>
  <c r="J140" i="9"/>
  <c r="E415" i="21"/>
  <c r="L415" i="21" s="1"/>
  <c r="H417" i="21" s="1"/>
  <c r="E418" i="21" s="1"/>
  <c r="E410" i="21" s="1"/>
  <c r="E426" i="21" s="1"/>
  <c r="G408" i="21" s="1"/>
  <c r="D431" i="21" s="1"/>
  <c r="K431" i="21" s="1"/>
  <c r="G430" i="21"/>
  <c r="K430" i="21" s="1"/>
  <c r="I1290" i="9"/>
  <c r="J1290" i="9" s="1"/>
  <c r="J1291" i="9" s="1"/>
  <c r="H224" i="4" s="1"/>
  <c r="I224" i="4" s="1"/>
  <c r="C1005" i="11"/>
  <c r="C1006" i="11" s="1"/>
  <c r="N253" i="9"/>
  <c r="N1123" i="9"/>
  <c r="G1143" i="11"/>
  <c r="U63" i="23"/>
  <c r="R88" i="23" s="1"/>
  <c r="M111" i="12"/>
  <c r="M112" i="12" s="1"/>
  <c r="N320" i="9"/>
  <c r="J106" i="9"/>
  <c r="H19" i="4" s="1"/>
  <c r="I19" i="4" s="1"/>
  <c r="N86" i="9"/>
  <c r="G1216" i="11"/>
  <c r="I553" i="9" s="1"/>
  <c r="J553" i="9" s="1"/>
  <c r="G1108" i="11"/>
  <c r="K414" i="9" s="1"/>
  <c r="L414" i="9" s="1"/>
  <c r="L418" i="9" s="1"/>
  <c r="J74" i="4" s="1"/>
  <c r="K74" i="4" s="1"/>
  <c r="G1248" i="11"/>
  <c r="K559" i="9" s="1"/>
  <c r="L559" i="9" s="1"/>
  <c r="L563" i="9" s="1"/>
  <c r="J111" i="4" s="1"/>
  <c r="K111" i="4" s="1"/>
  <c r="O966" i="11"/>
  <c r="N675" i="9"/>
  <c r="E912" i="21"/>
  <c r="J912" i="21" s="1"/>
  <c r="E909" i="21" s="1"/>
  <c r="O264" i="11"/>
  <c r="O194" i="11"/>
  <c r="O54" i="11"/>
  <c r="N309" i="9"/>
  <c r="N252" i="9"/>
  <c r="L217" i="9"/>
  <c r="J36" i="4" s="1"/>
  <c r="K36" i="4" s="1"/>
  <c r="E369" i="21"/>
  <c r="E361" i="21" s="1"/>
  <c r="E377" i="21" s="1"/>
  <c r="G359" i="21" s="1"/>
  <c r="D382" i="21" s="1"/>
  <c r="K382" i="21" s="1"/>
  <c r="K332" i="21"/>
  <c r="N332" i="21" s="1"/>
  <c r="N1729" i="9"/>
  <c r="N447" i="9"/>
  <c r="J793" i="9"/>
  <c r="N119" i="9"/>
  <c r="N1794" i="9"/>
  <c r="N1175" i="9"/>
  <c r="N36" i="9"/>
  <c r="L1646" i="9"/>
  <c r="J323" i="4" s="1"/>
  <c r="K323" i="4" s="1"/>
  <c r="N926" i="9"/>
  <c r="I288" i="4"/>
  <c r="I261" i="4"/>
  <c r="M1349" i="12"/>
  <c r="G292" i="9"/>
  <c r="G1467" i="9"/>
  <c r="G278" i="9"/>
  <c r="G299" i="9"/>
  <c r="G313" i="9"/>
  <c r="G306" i="9"/>
  <c r="G285" i="9"/>
  <c r="G249" i="4"/>
  <c r="N332" i="9"/>
  <c r="L358" i="9"/>
  <c r="J58" i="4" s="1"/>
  <c r="N356" i="9"/>
  <c r="L2207" i="9"/>
  <c r="F976" i="21"/>
  <c r="L976" i="21" s="1"/>
  <c r="K623" i="9" s="1"/>
  <c r="J245" i="4"/>
  <c r="K245" i="4" s="1"/>
  <c r="F486" i="21"/>
  <c r="K1353" i="9"/>
  <c r="L1353" i="9" s="1"/>
  <c r="L1354" i="9" s="1"/>
  <c r="F437" i="21"/>
  <c r="G956" i="9"/>
  <c r="G879" i="9"/>
  <c r="M1615" i="12"/>
  <c r="G1514" i="9"/>
  <c r="G851" i="9"/>
  <c r="G980" i="9"/>
  <c r="G992" i="9"/>
  <c r="G2191" i="9"/>
  <c r="H1631" i="12"/>
  <c r="M1631" i="12" s="1"/>
  <c r="M1632" i="12" s="1"/>
  <c r="H1384" i="12"/>
  <c r="M1384" i="12" s="1"/>
  <c r="M1385" i="12" s="1"/>
  <c r="G1419" i="9"/>
  <c r="M1007" i="12"/>
  <c r="G815" i="9"/>
  <c r="G900" i="9"/>
  <c r="G869" i="9"/>
  <c r="F923" i="21"/>
  <c r="G1290" i="9"/>
  <c r="C1008" i="11"/>
  <c r="C1009" i="11" s="1"/>
  <c r="M152" i="12"/>
  <c r="M1064" i="12"/>
  <c r="G1323" i="9"/>
  <c r="M361" i="12"/>
  <c r="D160" i="23"/>
  <c r="G704" i="9"/>
  <c r="G713" i="9"/>
  <c r="G722" i="9"/>
  <c r="M1083" i="12"/>
  <c r="AS21" i="22" s="1"/>
  <c r="AS22" i="22" s="1"/>
  <c r="G695" i="9"/>
  <c r="G1431" i="9"/>
  <c r="M1920" i="9"/>
  <c r="G1691" i="9"/>
  <c r="G1667" i="9"/>
  <c r="G1386" i="9"/>
  <c r="G840" i="9"/>
  <c r="G1668" i="9"/>
  <c r="C133" i="11"/>
  <c r="C134" i="11" s="1"/>
  <c r="G134" i="11" s="1"/>
  <c r="G495" i="9" s="1"/>
  <c r="C448" i="11"/>
  <c r="C449" i="11" s="1"/>
  <c r="G1656" i="9"/>
  <c r="G1027" i="9"/>
  <c r="C623" i="11"/>
  <c r="C624" i="11" s="1"/>
  <c r="G624" i="11" s="1"/>
  <c r="C168" i="11"/>
  <c r="C169" i="11" s="1"/>
  <c r="H225" i="12"/>
  <c r="M225" i="12" s="1"/>
  <c r="M226" i="12" s="1"/>
  <c r="H1403" i="12"/>
  <c r="M1403" i="12" s="1"/>
  <c r="M1404" i="12" s="1"/>
  <c r="H1023" i="12"/>
  <c r="M1023" i="12" s="1"/>
  <c r="M1024" i="12" s="1"/>
  <c r="G1368" i="9"/>
  <c r="G979" i="9"/>
  <c r="G955" i="9"/>
  <c r="M627" i="12"/>
  <c r="G943" i="9"/>
  <c r="G991" i="9"/>
  <c r="G967" i="9"/>
  <c r="F1021" i="21"/>
  <c r="G1356" i="9"/>
  <c r="F531" i="21"/>
  <c r="F246" i="4"/>
  <c r="F580" i="21"/>
  <c r="F972" i="21"/>
  <c r="F482" i="21"/>
  <c r="G1353" i="9"/>
  <c r="F433" i="21"/>
  <c r="F245" i="4"/>
  <c r="M855" i="12"/>
  <c r="G1398" i="9"/>
  <c r="G952" i="9"/>
  <c r="P17" i="23"/>
  <c r="U17" i="23" s="1"/>
  <c r="P84" i="23" s="1"/>
  <c r="G907" i="9"/>
  <c r="G940" i="9"/>
  <c r="M38" i="12"/>
  <c r="G1275" i="9"/>
  <c r="G1496" i="9"/>
  <c r="G994" i="9"/>
  <c r="C798" i="11"/>
  <c r="C799" i="11" s="1"/>
  <c r="G799" i="11" s="1"/>
  <c r="G1410" i="9"/>
  <c r="F879" i="21"/>
  <c r="F927" i="21"/>
  <c r="H890" i="12"/>
  <c r="M890" i="12" s="1"/>
  <c r="H643" i="12"/>
  <c r="M643" i="12" s="1"/>
  <c r="M644" i="12" s="1"/>
  <c r="H472" i="12"/>
  <c r="M472" i="12" s="1"/>
  <c r="M473" i="12" s="1"/>
  <c r="H491" i="12"/>
  <c r="M491" i="12" s="1"/>
  <c r="M492" i="12" s="1"/>
  <c r="M197" i="9"/>
  <c r="H1132" i="9"/>
  <c r="H195" i="9"/>
  <c r="M739" i="12"/>
  <c r="M1100" i="12"/>
  <c r="H909" i="12"/>
  <c r="M909" i="12" s="1"/>
  <c r="M910" i="12" s="1"/>
  <c r="H947" i="12"/>
  <c r="M947" i="12" s="1"/>
  <c r="M948" i="12" s="1"/>
  <c r="F1025" i="21"/>
  <c r="F974" i="21"/>
  <c r="F484" i="21"/>
  <c r="F925" i="21"/>
  <c r="F877" i="21"/>
  <c r="I1350" i="9"/>
  <c r="K919" i="9"/>
  <c r="L1108" i="9"/>
  <c r="N234" i="21" l="1"/>
  <c r="I160" i="23"/>
  <c r="N136" i="21"/>
  <c r="L1120" i="21"/>
  <c r="M1326" i="9"/>
  <c r="M1596" i="12"/>
  <c r="G205" i="9"/>
  <c r="K642" i="9"/>
  <c r="L642" i="9" s="1"/>
  <c r="K2070" i="9"/>
  <c r="L2070" i="9" s="1"/>
  <c r="M2232" i="9"/>
  <c r="G163" i="11"/>
  <c r="K504" i="9" s="1"/>
  <c r="J97" i="4" s="1"/>
  <c r="K97" i="4" s="1"/>
  <c r="E1003" i="21"/>
  <c r="L1003" i="21" s="1"/>
  <c r="H1005" i="21" s="1"/>
  <c r="E1006" i="21" s="1"/>
  <c r="E998" i="21" s="1"/>
  <c r="E1014" i="21" s="1"/>
  <c r="G996" i="21" s="1"/>
  <c r="D1019" i="21" s="1"/>
  <c r="K1019" i="21" s="1"/>
  <c r="G1018" i="21"/>
  <c r="K1018" i="21" s="1"/>
  <c r="I35" i="23"/>
  <c r="U281" i="23"/>
  <c r="N773" i="21"/>
  <c r="E306" i="11"/>
  <c r="G306" i="11" s="1"/>
  <c r="I510" i="9" s="1"/>
  <c r="E303" i="11"/>
  <c r="G303" i="11" s="1"/>
  <c r="K510" i="9" s="1"/>
  <c r="E309" i="11"/>
  <c r="G36" i="21"/>
  <c r="K36" i="21" s="1"/>
  <c r="H22" i="21"/>
  <c r="J22" i="21" s="1"/>
  <c r="E21" i="21" s="1"/>
  <c r="E166" i="11"/>
  <c r="E169" i="11"/>
  <c r="G169" i="11" s="1"/>
  <c r="G504" i="9" s="1"/>
  <c r="E163" i="11"/>
  <c r="M79" i="4"/>
  <c r="L1097" i="9"/>
  <c r="J187" i="4" s="1"/>
  <c r="K187" i="4" s="1"/>
  <c r="M92" i="4"/>
  <c r="L842" i="9"/>
  <c r="J163" i="4" s="1"/>
  <c r="K163" i="4" s="1"/>
  <c r="N426" i="9"/>
  <c r="D625" i="21"/>
  <c r="K625" i="21" s="1"/>
  <c r="L628" i="21"/>
  <c r="E170" i="21"/>
  <c r="L170" i="21" s="1"/>
  <c r="H172" i="21" s="1"/>
  <c r="E173" i="21" s="1"/>
  <c r="E165" i="21" s="1"/>
  <c r="E181" i="21" s="1"/>
  <c r="G163" i="21" s="1"/>
  <c r="D186" i="21" s="1"/>
  <c r="K186" i="21" s="1"/>
  <c r="G185" i="21"/>
  <c r="K185" i="21" s="1"/>
  <c r="K771" i="9"/>
  <c r="L771" i="9" s="1"/>
  <c r="J153" i="4"/>
  <c r="K153" i="4" s="1"/>
  <c r="A59" i="12"/>
  <c r="O1278" i="9"/>
  <c r="K1558" i="9"/>
  <c r="K1552" i="9"/>
  <c r="K1546" i="9"/>
  <c r="AG212" i="23"/>
  <c r="AB212" i="23"/>
  <c r="G872" i="21"/>
  <c r="K872" i="21" s="1"/>
  <c r="E855" i="21"/>
  <c r="L855" i="21" s="1"/>
  <c r="H857" i="21" s="1"/>
  <c r="E858" i="21" s="1"/>
  <c r="E851" i="21" s="1"/>
  <c r="E867" i="21" s="1"/>
  <c r="G849" i="21" s="1"/>
  <c r="D873" i="21" s="1"/>
  <c r="K873" i="21" s="1"/>
  <c r="K1618" i="9"/>
  <c r="K1624" i="9"/>
  <c r="J246" i="4"/>
  <c r="K246" i="4" s="1"/>
  <c r="H109" i="9"/>
  <c r="M1254" i="12"/>
  <c r="K2078" i="9"/>
  <c r="L2078" i="9" s="1"/>
  <c r="G920" i="21"/>
  <c r="K920" i="21" s="1"/>
  <c r="J383" i="4"/>
  <c r="K383" i="4" s="1"/>
  <c r="J2212" i="9"/>
  <c r="N555" i="9"/>
  <c r="K1996" i="9"/>
  <c r="L1996" i="9" s="1"/>
  <c r="D256" i="23"/>
  <c r="I256" i="23" s="1"/>
  <c r="M1959" i="9"/>
  <c r="N1065" i="21"/>
  <c r="J1071" i="21" s="1"/>
  <c r="N1071" i="21" s="1"/>
  <c r="F535" i="21"/>
  <c r="H2156" i="9"/>
  <c r="J2199" i="9"/>
  <c r="H390" i="4" s="1"/>
  <c r="I390" i="4" s="1"/>
  <c r="P237" i="23"/>
  <c r="I46" i="23"/>
  <c r="U280" i="23"/>
  <c r="K2109" i="9"/>
  <c r="L2109" i="9" s="1"/>
  <c r="K942" i="11"/>
  <c r="H872" i="9"/>
  <c r="N872" i="9" s="1"/>
  <c r="J388" i="4"/>
  <c r="K388" i="4" s="1"/>
  <c r="K2056" i="9"/>
  <c r="L2056" i="9" s="1"/>
  <c r="G831" i="11"/>
  <c r="L606" i="9"/>
  <c r="K607" i="9"/>
  <c r="AG68" i="23"/>
  <c r="AB70" i="23" s="1"/>
  <c r="AI70" i="23" s="1"/>
  <c r="AB68" i="23"/>
  <c r="N624" i="21"/>
  <c r="L1083" i="9"/>
  <c r="J186" i="4" s="1"/>
  <c r="K186" i="4" s="1"/>
  <c r="H1365" i="12"/>
  <c r="M1365" i="12" s="1"/>
  <c r="M1366" i="12" s="1"/>
  <c r="D280" i="23"/>
  <c r="I280" i="23" s="1"/>
  <c r="G1401" i="9"/>
  <c r="M1401" i="9" s="1"/>
  <c r="L92" i="4"/>
  <c r="L974" i="21"/>
  <c r="G1329" i="9"/>
  <c r="M570" i="12"/>
  <c r="M1734" i="9"/>
  <c r="M779" i="12"/>
  <c r="G1524" i="9"/>
  <c r="N381" i="21"/>
  <c r="J386" i="21" s="1"/>
  <c r="L386" i="21" s="1"/>
  <c r="I583" i="9" s="1"/>
  <c r="J583" i="9" s="1"/>
  <c r="J584" i="9" s="1"/>
  <c r="H118" i="4" s="1"/>
  <c r="I118" i="4" s="1"/>
  <c r="J557" i="9"/>
  <c r="H110" i="4" s="1"/>
  <c r="I110" i="4" s="1"/>
  <c r="K689" i="9"/>
  <c r="K2094" i="9"/>
  <c r="L2094" i="9" s="1"/>
  <c r="E80" i="21"/>
  <c r="G70" i="21" s="1"/>
  <c r="D86" i="21" s="1"/>
  <c r="K86" i="21" s="1"/>
  <c r="N85" i="21" s="1"/>
  <c r="M285" i="12"/>
  <c r="L862" i="9"/>
  <c r="J165" i="4" s="1"/>
  <c r="K165" i="4" s="1"/>
  <c r="M555" i="9"/>
  <c r="J1697" i="9"/>
  <c r="N1697" i="9" s="1"/>
  <c r="J1616" i="9"/>
  <c r="H318" i="4" s="1"/>
  <c r="F584" i="21"/>
  <c r="AI158" i="23"/>
  <c r="AI154" i="23" s="1"/>
  <c r="N442" i="9"/>
  <c r="N444" i="9" s="1"/>
  <c r="M1929" i="9"/>
  <c r="U256" i="23"/>
  <c r="M891" i="12"/>
  <c r="N1320" i="9"/>
  <c r="N1321" i="9" s="1"/>
  <c r="K658" i="9"/>
  <c r="L658" i="9" s="1"/>
  <c r="K674" i="9"/>
  <c r="L674" i="9" s="1"/>
  <c r="K2028" i="9"/>
  <c r="L2028" i="9" s="1"/>
  <c r="G255" i="9"/>
  <c r="H255" i="9" s="1"/>
  <c r="J429" i="9"/>
  <c r="H76" i="4" s="1"/>
  <c r="I76" i="4" s="1"/>
  <c r="E464" i="21"/>
  <c r="L464" i="21" s="1"/>
  <c r="H466" i="21" s="1"/>
  <c r="E467" i="21" s="1"/>
  <c r="E459" i="21" s="1"/>
  <c r="E475" i="21" s="1"/>
  <c r="G457" i="21" s="1"/>
  <c r="D480" i="21" s="1"/>
  <c r="K480" i="21" s="1"/>
  <c r="N479" i="21" s="1"/>
  <c r="G479" i="21"/>
  <c r="K479" i="21" s="1"/>
  <c r="I771" i="9"/>
  <c r="J771" i="9" s="1"/>
  <c r="H153" i="4"/>
  <c r="I153" i="4" s="1"/>
  <c r="F62" i="23"/>
  <c r="F61" i="23"/>
  <c r="I61" i="23" s="1"/>
  <c r="F63" i="23"/>
  <c r="I63" i="23" s="1"/>
  <c r="I62" i="23"/>
  <c r="M1518" i="12"/>
  <c r="H719" i="12"/>
  <c r="M719" i="12" s="1"/>
  <c r="M720" i="12" s="1"/>
  <c r="D176" i="23"/>
  <c r="G1389" i="9"/>
  <c r="M1389" i="9" s="1"/>
  <c r="G916" i="9"/>
  <c r="K2102" i="9"/>
  <c r="L2102" i="9" s="1"/>
  <c r="J72" i="9"/>
  <c r="H15" i="4" s="1"/>
  <c r="I15" i="4" s="1"/>
  <c r="E524" i="21"/>
  <c r="G506" i="21" s="1"/>
  <c r="D529" i="21" s="1"/>
  <c r="K529" i="21" s="1"/>
  <c r="N528" i="21" s="1"/>
  <c r="M1594" i="9"/>
  <c r="M415" i="9"/>
  <c r="M127" i="9"/>
  <c r="N254" i="9"/>
  <c r="K634" i="9"/>
  <c r="L634" i="9" s="1"/>
  <c r="M1320" i="9"/>
  <c r="K2042" i="9"/>
  <c r="L2042" i="9" s="1"/>
  <c r="K1978" i="9"/>
  <c r="L1978" i="9" s="1"/>
  <c r="L2230" i="9"/>
  <c r="J395" i="4" s="1"/>
  <c r="K395" i="4" s="1"/>
  <c r="A216" i="11"/>
  <c r="O498" i="9"/>
  <c r="E761" i="11"/>
  <c r="G761" i="11" s="1"/>
  <c r="E764" i="11"/>
  <c r="G764" i="11" s="1"/>
  <c r="E758" i="11"/>
  <c r="G758" i="11" s="1"/>
  <c r="L504" i="9"/>
  <c r="L505" i="9" s="1"/>
  <c r="J98" i="4"/>
  <c r="K98" i="4" s="1"/>
  <c r="M1582" i="9"/>
  <c r="L1582" i="9"/>
  <c r="K1570" i="9"/>
  <c r="K1564" i="9"/>
  <c r="K1576" i="9"/>
  <c r="M207" i="12"/>
  <c r="G867" i="9" s="1"/>
  <c r="M131" i="12"/>
  <c r="M133" i="12" s="1"/>
  <c r="P114" i="23"/>
  <c r="G988" i="9"/>
  <c r="G1452" i="9"/>
  <c r="M1452" i="9" s="1"/>
  <c r="G976" i="9"/>
  <c r="D297" i="23"/>
  <c r="D178" i="23"/>
  <c r="P62" i="23"/>
  <c r="U62" i="23" s="1"/>
  <c r="P88" i="23" s="1"/>
  <c r="V88" i="23" s="1"/>
  <c r="D45" i="23"/>
  <c r="I45" i="23" s="1"/>
  <c r="F875" i="21"/>
  <c r="D328" i="23"/>
  <c r="G921" i="9"/>
  <c r="M921" i="9" s="1"/>
  <c r="AC170" i="23"/>
  <c r="H793" i="9"/>
  <c r="M589" i="12"/>
  <c r="G1383" i="9"/>
  <c r="M1383" i="9" s="1"/>
  <c r="M760" i="12"/>
  <c r="M266" i="12"/>
  <c r="M666" i="9"/>
  <c r="L1604" i="9"/>
  <c r="J316" i="4" s="1"/>
  <c r="K316" i="4" s="1"/>
  <c r="M1124" i="9"/>
  <c r="H1915" i="9"/>
  <c r="N1915" i="9" s="1"/>
  <c r="L754" i="9"/>
  <c r="L756" i="9" s="1"/>
  <c r="K765" i="9"/>
  <c r="O754" i="9"/>
  <c r="M426" i="9"/>
  <c r="H43" i="4"/>
  <c r="I43" i="4" s="1"/>
  <c r="N1281" i="9"/>
  <c r="N1282" i="9" s="1"/>
  <c r="L437" i="9"/>
  <c r="L890" i="9"/>
  <c r="J168" i="4" s="1"/>
  <c r="K168" i="4" s="1"/>
  <c r="L539" i="9"/>
  <c r="J107" i="4" s="1"/>
  <c r="K107" i="4" s="1"/>
  <c r="M536" i="9"/>
  <c r="N787" i="9"/>
  <c r="N666" i="9"/>
  <c r="N1034" i="9"/>
  <c r="M1179" i="9"/>
  <c r="K1259" i="9"/>
  <c r="H764" i="9"/>
  <c r="N764" i="9" s="1"/>
  <c r="J1703" i="9"/>
  <c r="H332" i="4" s="1"/>
  <c r="I332" i="4" s="1"/>
  <c r="L233" i="4"/>
  <c r="L429" i="9"/>
  <c r="J76" i="4" s="1"/>
  <c r="K76" i="4" s="1"/>
  <c r="G658" i="9"/>
  <c r="H658" i="9" s="1"/>
  <c r="N658" i="9" s="1"/>
  <c r="H7" i="9"/>
  <c r="N7" i="9" s="1"/>
  <c r="L1248" i="9"/>
  <c r="M1248" i="9"/>
  <c r="L1265" i="9"/>
  <c r="K1266" i="9"/>
  <c r="M1935" i="9"/>
  <c r="M1258" i="9"/>
  <c r="H2246" i="9"/>
  <c r="N2246" i="9" s="1"/>
  <c r="M2246" i="9"/>
  <c r="M2237" i="9"/>
  <c r="H2237" i="9"/>
  <c r="N2237" i="9" s="1"/>
  <c r="M2219" i="9"/>
  <c r="H2219" i="9"/>
  <c r="N2219" i="9" s="1"/>
  <c r="H2228" i="9"/>
  <c r="N2228" i="9" s="1"/>
  <c r="M2228" i="9"/>
  <c r="H1085" i="9"/>
  <c r="N1085" i="9" s="1"/>
  <c r="M1085" i="9"/>
  <c r="M1072" i="9"/>
  <c r="H1072" i="9"/>
  <c r="N1072" i="9" s="1"/>
  <c r="H1044" i="9"/>
  <c r="N1044" i="9" s="1"/>
  <c r="M1044" i="9"/>
  <c r="M1071" i="9"/>
  <c r="H1071" i="9"/>
  <c r="N1071" i="9" s="1"/>
  <c r="M1086" i="9"/>
  <c r="H1086" i="9"/>
  <c r="N1086" i="9" s="1"/>
  <c r="M84" i="9"/>
  <c r="H84" i="9"/>
  <c r="N84" i="9" s="1"/>
  <c r="H1115" i="9"/>
  <c r="N1115" i="9" s="1"/>
  <c r="N1118" i="9" s="1"/>
  <c r="H72" i="9"/>
  <c r="F15" i="4" s="1"/>
  <c r="G15" i="4" s="1"/>
  <c r="G1079" i="9"/>
  <c r="H1079" i="9" s="1"/>
  <c r="G1093" i="9"/>
  <c r="H1093" i="9" s="1"/>
  <c r="G1082" i="9"/>
  <c r="H1082" i="9" s="1"/>
  <c r="G1096" i="9"/>
  <c r="H1096" i="9" s="1"/>
  <c r="G1095" i="9"/>
  <c r="H1095" i="9" s="1"/>
  <c r="G1081" i="9"/>
  <c r="H1081" i="9" s="1"/>
  <c r="G2243" i="9"/>
  <c r="H2243" i="9" s="1"/>
  <c r="G2216" i="9"/>
  <c r="H2216" i="9" s="1"/>
  <c r="N2216" i="9" s="1"/>
  <c r="G2234" i="9"/>
  <c r="H2234" i="9" s="1"/>
  <c r="G2225" i="9"/>
  <c r="H2225" i="9" s="1"/>
  <c r="N2232" i="9"/>
  <c r="H2168" i="9"/>
  <c r="F385" i="4" s="1"/>
  <c r="H257" i="9"/>
  <c r="F42" i="4" s="1"/>
  <c r="N242" i="9"/>
  <c r="K247" i="9"/>
  <c r="N256" i="9"/>
  <c r="H439" i="9"/>
  <c r="N439" i="9" s="1"/>
  <c r="I966" i="9"/>
  <c r="J966" i="9" s="1"/>
  <c r="M339" i="9"/>
  <c r="I657" i="9"/>
  <c r="J657" i="9" s="1"/>
  <c r="N272" i="9"/>
  <c r="I161" i="23"/>
  <c r="F180" i="23" s="1"/>
  <c r="I909" i="9"/>
  <c r="J909" i="9" s="1"/>
  <c r="J307" i="9"/>
  <c r="H50" i="4" s="1"/>
  <c r="I50" i="4" s="1"/>
  <c r="U79" i="23"/>
  <c r="R90" i="23" s="1"/>
  <c r="I1997" i="9"/>
  <c r="J1997" i="9" s="1"/>
  <c r="I2042" i="9"/>
  <c r="J2042" i="9" s="1"/>
  <c r="I877" i="9"/>
  <c r="J877" i="9" s="1"/>
  <c r="I942" i="9"/>
  <c r="J942" i="9" s="1"/>
  <c r="H538" i="9"/>
  <c r="N538" i="9" s="1"/>
  <c r="I831" i="9"/>
  <c r="J831" i="9" s="1"/>
  <c r="I954" i="9"/>
  <c r="J954" i="9" s="1"/>
  <c r="H257" i="4"/>
  <c r="I257" i="4" s="1"/>
  <c r="I859" i="9"/>
  <c r="J859" i="9" s="1"/>
  <c r="H1881" i="9"/>
  <c r="N1881" i="9" s="1"/>
  <c r="H387" i="4"/>
  <c r="I387" i="4" s="1"/>
  <c r="H13" i="4"/>
  <c r="I13" i="4" s="1"/>
  <c r="I2015" i="9"/>
  <c r="H428" i="9"/>
  <c r="N428" i="9" s="1"/>
  <c r="G1911" i="9"/>
  <c r="H1911" i="9" s="1"/>
  <c r="N1911" i="9" s="1"/>
  <c r="J352" i="9"/>
  <c r="H57" i="4" s="1"/>
  <c r="I57" i="4" s="1"/>
  <c r="V185" i="23"/>
  <c r="I978" i="9"/>
  <c r="J978" i="9" s="1"/>
  <c r="I990" i="9"/>
  <c r="J990" i="9" s="1"/>
  <c r="I822" i="9"/>
  <c r="J822" i="9" s="1"/>
  <c r="I702" i="9"/>
  <c r="J702" i="9" s="1"/>
  <c r="M799" i="9"/>
  <c r="I849" i="9"/>
  <c r="J849" i="9" s="1"/>
  <c r="M824" i="9"/>
  <c r="I2115" i="9"/>
  <c r="J2115" i="9" s="1"/>
  <c r="J640" i="9"/>
  <c r="N640" i="9" s="1"/>
  <c r="I2010" i="9"/>
  <c r="J2010" i="9" s="1"/>
  <c r="H388" i="4"/>
  <c r="I388" i="4" s="1"/>
  <c r="I1749" i="9"/>
  <c r="J1749" i="9" s="1"/>
  <c r="I1787" i="9"/>
  <c r="J1787" i="9" s="1"/>
  <c r="N120" i="9"/>
  <c r="K800" i="11"/>
  <c r="I2119" i="9"/>
  <c r="J2119" i="9" s="1"/>
  <c r="C900" i="11"/>
  <c r="C901" i="11" s="1"/>
  <c r="J656" i="9"/>
  <c r="N656" i="9" s="1"/>
  <c r="I2051" i="9"/>
  <c r="J2051" i="9" s="1"/>
  <c r="H248" i="9"/>
  <c r="F41" i="4" s="1"/>
  <c r="J1610" i="9"/>
  <c r="H317" i="4" s="1"/>
  <c r="I317" i="4" s="1"/>
  <c r="M95" i="12"/>
  <c r="C445" i="11"/>
  <c r="C446" i="11" s="1"/>
  <c r="G1764" i="9"/>
  <c r="M1764" i="9" s="1"/>
  <c r="G1961" i="9"/>
  <c r="M1961" i="9" s="1"/>
  <c r="G369" i="9"/>
  <c r="M369" i="9" s="1"/>
  <c r="L79" i="4"/>
  <c r="N1843" i="9"/>
  <c r="N1776" i="9"/>
  <c r="J1586" i="9"/>
  <c r="H313" i="4" s="1"/>
  <c r="I313" i="4" s="1"/>
  <c r="H448" i="9"/>
  <c r="N448" i="9" s="1"/>
  <c r="N449" i="9" s="1"/>
  <c r="C690" i="11"/>
  <c r="C691" i="11" s="1"/>
  <c r="G691" i="11" s="1"/>
  <c r="M112" i="9"/>
  <c r="N266" i="9"/>
  <c r="N267" i="9" s="1"/>
  <c r="M104" i="9"/>
  <c r="J1967" i="9"/>
  <c r="H359" i="4" s="1"/>
  <c r="I359" i="4" s="1"/>
  <c r="I2076" i="9"/>
  <c r="J2076" i="9" s="1"/>
  <c r="I1668" i="9"/>
  <c r="J1668" i="9" s="1"/>
  <c r="J1670" i="9" s="1"/>
  <c r="H327" i="4" s="1"/>
  <c r="I327" i="4" s="1"/>
  <c r="J1847" i="9"/>
  <c r="H347" i="4" s="1"/>
  <c r="I347" i="4" s="1"/>
  <c r="N261" i="9"/>
  <c r="N262" i="9" s="1"/>
  <c r="J2150" i="9"/>
  <c r="I1996" i="9" s="1"/>
  <c r="J1996" i="9" s="1"/>
  <c r="G1736" i="9"/>
  <c r="M1736" i="9" s="1"/>
  <c r="G363" i="9"/>
  <c r="H363" i="9" s="1"/>
  <c r="J2162" i="9"/>
  <c r="I2022" i="9" s="1"/>
  <c r="J2022" i="9" s="1"/>
  <c r="I981" i="9"/>
  <c r="J981" i="9" s="1"/>
  <c r="L113" i="9"/>
  <c r="N113" i="9" s="1"/>
  <c r="L239" i="4"/>
  <c r="N334" i="9"/>
  <c r="N1620" i="9"/>
  <c r="J1562" i="9"/>
  <c r="H309" i="4" s="1"/>
  <c r="I309" i="4" s="1"/>
  <c r="J364" i="9"/>
  <c r="H59" i="4" s="1"/>
  <c r="I59" i="4" s="1"/>
  <c r="J370" i="9"/>
  <c r="H60" i="4" s="1"/>
  <c r="I60" i="4" s="1"/>
  <c r="G1931" i="9"/>
  <c r="M1931" i="9" s="1"/>
  <c r="G1901" i="9"/>
  <c r="H1901" i="9" s="1"/>
  <c r="H340" i="9"/>
  <c r="G1730" i="9" s="1"/>
  <c r="H1730" i="9" s="1"/>
  <c r="C25" i="11"/>
  <c r="C26" i="11" s="1"/>
  <c r="G26" i="11" s="1"/>
  <c r="I459" i="9" s="1"/>
  <c r="J459" i="9" s="1"/>
  <c r="J460" i="9" s="1"/>
  <c r="H83" i="4" s="1"/>
  <c r="I83" i="4" s="1"/>
  <c r="I1650" i="9"/>
  <c r="J1650" i="9" s="1"/>
  <c r="J1652" i="9" s="1"/>
  <c r="H324" i="4" s="1"/>
  <c r="I324" i="4" s="1"/>
  <c r="F178" i="23"/>
  <c r="H1745" i="9"/>
  <c r="N1745" i="9" s="1"/>
  <c r="G357" i="9"/>
  <c r="H357" i="9" s="1"/>
  <c r="M805" i="9"/>
  <c r="N2150" i="9"/>
  <c r="N2168" i="9"/>
  <c r="I1692" i="9"/>
  <c r="J1692" i="9" s="1"/>
  <c r="J1694" i="9" s="1"/>
  <c r="H331" i="4" s="1"/>
  <c r="I331" i="4" s="1"/>
  <c r="I1662" i="9"/>
  <c r="J1662" i="9" s="1"/>
  <c r="J1664" i="9" s="1"/>
  <c r="H326" i="4" s="1"/>
  <c r="I326" i="4" s="1"/>
  <c r="C620" i="11"/>
  <c r="C621" i="11" s="1"/>
  <c r="G621" i="11" s="1"/>
  <c r="K625" i="11" s="1"/>
  <c r="N789" i="9"/>
  <c r="L729" i="21"/>
  <c r="N85" i="9"/>
  <c r="J2168" i="9"/>
  <c r="H385" i="4" s="1"/>
  <c r="I385" i="4" s="1"/>
  <c r="J1937" i="9"/>
  <c r="H356" i="4" s="1"/>
  <c r="I356" i="4" s="1"/>
  <c r="G1941" i="9"/>
  <c r="M1941" i="9" s="1"/>
  <c r="H405" i="9"/>
  <c r="N405" i="9" s="1"/>
  <c r="I933" i="9"/>
  <c r="J933" i="9" s="1"/>
  <c r="I1284" i="9"/>
  <c r="J1284" i="9" s="1"/>
  <c r="J1285" i="9" s="1"/>
  <c r="H222" i="4" s="1"/>
  <c r="I222" i="4" s="1"/>
  <c r="J90" i="9"/>
  <c r="H17" i="4" s="1"/>
  <c r="I17" i="4" s="1"/>
  <c r="J664" i="9"/>
  <c r="N664" i="9" s="1"/>
  <c r="J1947" i="9"/>
  <c r="H357" i="4" s="1"/>
  <c r="I357" i="4" s="1"/>
  <c r="N2180" i="9"/>
  <c r="H35" i="4"/>
  <c r="I35" i="4" s="1"/>
  <c r="U175" i="23"/>
  <c r="R187" i="23" s="1"/>
  <c r="U42" i="23"/>
  <c r="R86" i="23" s="1"/>
  <c r="R92" i="23" s="1"/>
  <c r="J1907" i="9"/>
  <c r="H353" i="4" s="1"/>
  <c r="I353" i="4" s="1"/>
  <c r="I2023" i="9"/>
  <c r="J2023" i="9" s="1"/>
  <c r="I1027" i="9"/>
  <c r="J1027" i="9" s="1"/>
  <c r="M1783" i="9"/>
  <c r="N104" i="9"/>
  <c r="I2070" i="9"/>
  <c r="J2070" i="9" s="1"/>
  <c r="I2028" i="9"/>
  <c r="J2028" i="9" s="1"/>
  <c r="I2027" i="9"/>
  <c r="J2027" i="9" s="1"/>
  <c r="I2108" i="9"/>
  <c r="J2108" i="9" s="1"/>
  <c r="N1633" i="9"/>
  <c r="N1634" i="9" s="1"/>
  <c r="I693" i="9"/>
  <c r="J693" i="9" s="1"/>
  <c r="N805" i="9"/>
  <c r="C130" i="11"/>
  <c r="C131" i="11" s="1"/>
  <c r="G131" i="11" s="1"/>
  <c r="I495" i="9" s="1"/>
  <c r="J495" i="9" s="1"/>
  <c r="J496" i="9" s="1"/>
  <c r="H94" i="4" s="1"/>
  <c r="I94" i="4" s="1"/>
  <c r="I1674" i="9"/>
  <c r="J1674" i="9" s="1"/>
  <c r="J1676" i="9" s="1"/>
  <c r="H328" i="4" s="1"/>
  <c r="I328" i="4" s="1"/>
  <c r="I1656" i="9"/>
  <c r="J1656" i="9" s="1"/>
  <c r="J1658" i="9" s="1"/>
  <c r="H325" i="4" s="1"/>
  <c r="I325" i="4" s="1"/>
  <c r="C340" i="11"/>
  <c r="C341" i="11" s="1"/>
  <c r="C165" i="11"/>
  <c r="C166" i="11" s="1"/>
  <c r="G166" i="11" s="1"/>
  <c r="I504" i="9" s="1"/>
  <c r="J504" i="9" s="1"/>
  <c r="J505" i="9" s="1"/>
  <c r="I2036" i="9"/>
  <c r="J2036" i="9" s="1"/>
  <c r="J1837" i="9"/>
  <c r="H346" i="4" s="1"/>
  <c r="I346" i="4" s="1"/>
  <c r="I2002" i="9"/>
  <c r="J2002" i="9" s="1"/>
  <c r="J816" i="9"/>
  <c r="H160" i="4" s="1"/>
  <c r="I160" i="4" s="1"/>
  <c r="J1556" i="9"/>
  <c r="H308" i="4" s="1"/>
  <c r="I308" i="4" s="1"/>
  <c r="I1006" i="9"/>
  <c r="J1006" i="9" s="1"/>
  <c r="I957" i="9"/>
  <c r="J957" i="9" s="1"/>
  <c r="I1017" i="9"/>
  <c r="J1017" i="9" s="1"/>
  <c r="J1018" i="9" s="1"/>
  <c r="H180" i="4" s="1"/>
  <c r="I180" i="4" s="1"/>
  <c r="I1680" i="9"/>
  <c r="J1680" i="9" s="1"/>
  <c r="J1682" i="9" s="1"/>
  <c r="H329" i="4" s="1"/>
  <c r="I329" i="4" s="1"/>
  <c r="I2064" i="9"/>
  <c r="J2064" i="9" s="1"/>
  <c r="L64" i="4"/>
  <c r="M1802" i="9"/>
  <c r="J14" i="9"/>
  <c r="I694" i="9" s="1"/>
  <c r="J694" i="9" s="1"/>
  <c r="J1544" i="9"/>
  <c r="I2035" i="9" s="1"/>
  <c r="J2035" i="9" s="1"/>
  <c r="G1921" i="9"/>
  <c r="M1921" i="9" s="1"/>
  <c r="K784" i="9"/>
  <c r="L784" i="9" s="1"/>
  <c r="N784" i="9" s="1"/>
  <c r="L2212" i="9"/>
  <c r="K2142" i="9" s="1"/>
  <c r="L2142" i="9" s="1"/>
  <c r="L2144" i="9" s="1"/>
  <c r="J381" i="4" s="1"/>
  <c r="K381" i="4" s="1"/>
  <c r="I739" i="9"/>
  <c r="J739" i="9" s="1"/>
  <c r="G783" i="9"/>
  <c r="M783" i="9" s="1"/>
  <c r="I2040" i="9"/>
  <c r="J2040" i="9" s="1"/>
  <c r="I2037" i="9"/>
  <c r="J2037" i="9" s="1"/>
  <c r="I2068" i="9"/>
  <c r="J2068" i="9" s="1"/>
  <c r="I2048" i="9"/>
  <c r="J2048" i="9" s="1"/>
  <c r="I2069" i="9"/>
  <c r="J2069" i="9" s="1"/>
  <c r="G1891" i="9"/>
  <c r="H1891" i="9" s="1"/>
  <c r="J1751" i="9"/>
  <c r="H337" i="4" s="1"/>
  <c r="I337" i="4" s="1"/>
  <c r="J358" i="9"/>
  <c r="H58" i="4" s="1"/>
  <c r="I58" i="4" s="1"/>
  <c r="H305" i="4"/>
  <c r="I305" i="4" s="1"/>
  <c r="M1951" i="9"/>
  <c r="I969" i="9"/>
  <c r="J969" i="9" s="1"/>
  <c r="I945" i="9"/>
  <c r="J945" i="9" s="1"/>
  <c r="I1029" i="9"/>
  <c r="J1029" i="9" s="1"/>
  <c r="I993" i="9"/>
  <c r="J993" i="9" s="1"/>
  <c r="J1741" i="9"/>
  <c r="H336" i="4" s="1"/>
  <c r="I336" i="4" s="1"/>
  <c r="J279" i="9"/>
  <c r="H46" i="4" s="1"/>
  <c r="I46" i="4" s="1"/>
  <c r="M806" i="9"/>
  <c r="M798" i="9"/>
  <c r="N2253" i="9"/>
  <c r="G1061" i="9"/>
  <c r="H1061" i="9" s="1"/>
  <c r="N1061" i="9" s="1"/>
  <c r="G1066" i="9"/>
  <c r="H1066" i="9" s="1"/>
  <c r="N1066" i="9" s="1"/>
  <c r="N1048" i="9"/>
  <c r="G1052" i="9"/>
  <c r="H1052" i="9" s="1"/>
  <c r="G1047" i="9"/>
  <c r="M1047" i="9" s="1"/>
  <c r="J1079" i="9"/>
  <c r="M1079" i="9"/>
  <c r="J1095" i="9"/>
  <c r="N1095" i="9" s="1"/>
  <c r="M1095" i="9"/>
  <c r="J1082" i="9"/>
  <c r="N1082" i="9" s="1"/>
  <c r="M1082" i="9"/>
  <c r="M120" i="9"/>
  <c r="J1093" i="9"/>
  <c r="M1093" i="9"/>
  <c r="J1081" i="9"/>
  <c r="N1081" i="9" s="1"/>
  <c r="M1081" i="9"/>
  <c r="J1096" i="9"/>
  <c r="L1228" i="9"/>
  <c r="N1228" i="9" s="1"/>
  <c r="M1228" i="9"/>
  <c r="A396" i="4"/>
  <c r="A397" i="4" s="1"/>
  <c r="A398" i="4" s="1"/>
  <c r="N1064" i="9"/>
  <c r="N1050" i="9"/>
  <c r="N1062" i="9"/>
  <c r="J2242" i="9"/>
  <c r="J2224" i="9"/>
  <c r="J2225" i="9"/>
  <c r="N2225" i="9" s="1"/>
  <c r="J2215" i="9"/>
  <c r="J2233" i="9"/>
  <c r="J2234" i="9"/>
  <c r="N2234" i="9" s="1"/>
  <c r="M2234" i="9"/>
  <c r="J2243" i="9"/>
  <c r="N2243" i="9" s="1"/>
  <c r="M2243" i="9"/>
  <c r="K1999" i="9"/>
  <c r="L1999" i="9" s="1"/>
  <c r="J385" i="4"/>
  <c r="K385" i="4" s="1"/>
  <c r="K957" i="9"/>
  <c r="L957" i="9" s="1"/>
  <c r="L958" i="9" s="1"/>
  <c r="J175" i="4" s="1"/>
  <c r="K175" i="4" s="1"/>
  <c r="K945" i="9"/>
  <c r="L945" i="9" s="1"/>
  <c r="L946" i="9" s="1"/>
  <c r="J174" i="4" s="1"/>
  <c r="K174" i="4" s="1"/>
  <c r="K993" i="9"/>
  <c r="L993" i="9" s="1"/>
  <c r="L996" i="9" s="1"/>
  <c r="J178" i="4" s="1"/>
  <c r="K178" i="4" s="1"/>
  <c r="K981" i="9"/>
  <c r="L981" i="9" s="1"/>
  <c r="K1006" i="9"/>
  <c r="L1006" i="9" s="1"/>
  <c r="L1007" i="9" s="1"/>
  <c r="J179" i="4" s="1"/>
  <c r="K179" i="4" s="1"/>
  <c r="K1017" i="9"/>
  <c r="L1017" i="9" s="1"/>
  <c r="K1029" i="9"/>
  <c r="L1029" i="9" s="1"/>
  <c r="L1030" i="9" s="1"/>
  <c r="J181" i="4" s="1"/>
  <c r="K181" i="4" s="1"/>
  <c r="K933" i="9"/>
  <c r="L933" i="9" s="1"/>
  <c r="L934" i="9" s="1"/>
  <c r="K1038" i="9" s="1"/>
  <c r="L1038" i="9" s="1"/>
  <c r="J182" i="4"/>
  <c r="K182" i="4" s="1"/>
  <c r="K969" i="9"/>
  <c r="L969" i="9" s="1"/>
  <c r="L970" i="9" s="1"/>
  <c r="J176" i="4" s="1"/>
  <c r="K176" i="4" s="1"/>
  <c r="J384" i="4"/>
  <c r="K384" i="4" s="1"/>
  <c r="K2022" i="9"/>
  <c r="L2022" i="9" s="1"/>
  <c r="L1018" i="9"/>
  <c r="J180" i="4" s="1"/>
  <c r="K180" i="4" s="1"/>
  <c r="N1687" i="9"/>
  <c r="L1259" i="9"/>
  <c r="M1259" i="9"/>
  <c r="M1821" i="9"/>
  <c r="H2223" i="9"/>
  <c r="M2223" i="9"/>
  <c r="H2214" i="9"/>
  <c r="N2214" i="9" s="1"/>
  <c r="H2241" i="9"/>
  <c r="M2241" i="9"/>
  <c r="L917" i="9"/>
  <c r="J171" i="4" s="1"/>
  <c r="K171" i="4" s="1"/>
  <c r="N2156" i="9"/>
  <c r="L982" i="9"/>
  <c r="J177" i="4" s="1"/>
  <c r="K177" i="4" s="1"/>
  <c r="L156" i="4"/>
  <c r="G156" i="4"/>
  <c r="M156" i="4" s="1"/>
  <c r="O739" i="9"/>
  <c r="G745" i="9"/>
  <c r="H745" i="9" s="1"/>
  <c r="H452" i="9"/>
  <c r="M452" i="9"/>
  <c r="J202" i="9"/>
  <c r="N200" i="9"/>
  <c r="G683" i="9"/>
  <c r="G642" i="9"/>
  <c r="G674" i="9"/>
  <c r="L1235" i="9"/>
  <c r="N1235" i="9" s="1"/>
  <c r="M1235" i="9"/>
  <c r="N101" i="9"/>
  <c r="H106" i="9"/>
  <c r="F19" i="4" s="1"/>
  <c r="G19" i="4" s="1"/>
  <c r="N1108" i="9"/>
  <c r="K1109" i="9" s="1"/>
  <c r="L1109" i="9" s="1"/>
  <c r="L1470" i="9"/>
  <c r="J283" i="4" s="1"/>
  <c r="K283" i="4" s="1"/>
  <c r="L852" i="9"/>
  <c r="J164" i="4" s="1"/>
  <c r="K164" i="4" s="1"/>
  <c r="N793" i="9"/>
  <c r="H1126" i="9"/>
  <c r="F194" i="4" s="1"/>
  <c r="L194" i="4" s="1"/>
  <c r="J1957" i="9"/>
  <c r="H358" i="4" s="1"/>
  <c r="I358" i="4" s="1"/>
  <c r="J901" i="9"/>
  <c r="H169" i="4" s="1"/>
  <c r="I169" i="4" s="1"/>
  <c r="O745" i="9"/>
  <c r="M1487" i="9"/>
  <c r="J1055" i="9"/>
  <c r="I1039" i="9" s="1"/>
  <c r="J1039" i="9" s="1"/>
  <c r="J785" i="9"/>
  <c r="H155" i="4" s="1"/>
  <c r="I155" i="4" s="1"/>
  <c r="I2034" i="9"/>
  <c r="J2034" i="9" s="1"/>
  <c r="I2011" i="9"/>
  <c r="J2011" i="9" s="1"/>
  <c r="I2026" i="9"/>
  <c r="J2026" i="9" s="1"/>
  <c r="I2085" i="9"/>
  <c r="J2085" i="9" s="1"/>
  <c r="I2084" i="9"/>
  <c r="J2084" i="9" s="1"/>
  <c r="I2008" i="9"/>
  <c r="J2008" i="9" s="1"/>
  <c r="I1998" i="9"/>
  <c r="J1998" i="9" s="1"/>
  <c r="I2062" i="9"/>
  <c r="J2062" i="9" s="1"/>
  <c r="L1664" i="9"/>
  <c r="J326" i="4" s="1"/>
  <c r="K326" i="4" s="1"/>
  <c r="H334" i="9"/>
  <c r="F54" i="4" s="1"/>
  <c r="G54" i="4" s="1"/>
  <c r="L398" i="4"/>
  <c r="M1066" i="9"/>
  <c r="G1831" i="9"/>
  <c r="M1831" i="9" s="1"/>
  <c r="G351" i="9"/>
  <c r="H351" i="9" s="1"/>
  <c r="N650" i="9"/>
  <c r="J1927" i="9"/>
  <c r="H355" i="4" s="1"/>
  <c r="I355" i="4" s="1"/>
  <c r="J453" i="9"/>
  <c r="H81" i="4" s="1"/>
  <c r="I81" i="4" s="1"/>
  <c r="L1616" i="9"/>
  <c r="J318" i="4" s="1"/>
  <c r="K318" i="4" s="1"/>
  <c r="L234" i="4"/>
  <c r="N1675" i="9"/>
  <c r="N1663" i="9"/>
  <c r="L1214" i="9"/>
  <c r="N1214" i="9" s="1"/>
  <c r="M1214" i="9"/>
  <c r="M2190" i="9"/>
  <c r="L2190" i="9"/>
  <c r="H2150" i="9"/>
  <c r="M882" i="9"/>
  <c r="H882" i="9"/>
  <c r="N882" i="9" s="1"/>
  <c r="H1690" i="9"/>
  <c r="N1690" i="9" s="1"/>
  <c r="M1690" i="9"/>
  <c r="M1660" i="9"/>
  <c r="H1660" i="9"/>
  <c r="N1660" i="9" s="1"/>
  <c r="H1672" i="9"/>
  <c r="N1672" i="9" s="1"/>
  <c r="M1672" i="9"/>
  <c r="M844" i="9"/>
  <c r="H844" i="9"/>
  <c r="N844" i="9" s="1"/>
  <c r="M2182" i="9"/>
  <c r="H2182" i="9"/>
  <c r="M1643" i="9"/>
  <c r="H1643" i="9"/>
  <c r="H1684" i="9"/>
  <c r="N1684" i="9" s="1"/>
  <c r="M1684" i="9"/>
  <c r="M1648" i="9"/>
  <c r="H1648" i="9"/>
  <c r="N1648" i="9" s="1"/>
  <c r="H854" i="9"/>
  <c r="N854" i="9" s="1"/>
  <c r="M854" i="9"/>
  <c r="M23" i="9"/>
  <c r="H23" i="9"/>
  <c r="N23" i="9" s="1"/>
  <c r="M818" i="9"/>
  <c r="H818" i="9"/>
  <c r="N818" i="9" s="1"/>
  <c r="G206" i="9"/>
  <c r="M206" i="9" s="1"/>
  <c r="H204" i="9"/>
  <c r="N204" i="9" s="1"/>
  <c r="M204" i="9"/>
  <c r="G1530" i="9"/>
  <c r="L1252" i="9"/>
  <c r="M1252" i="9"/>
  <c r="N688" i="9"/>
  <c r="H690" i="9"/>
  <c r="F140" i="4" s="1"/>
  <c r="G140" i="4" s="1"/>
  <c r="N2122" i="9"/>
  <c r="N2126" i="9" s="1"/>
  <c r="H2126" i="9"/>
  <c r="F377" i="4" s="1"/>
  <c r="G377" i="4" s="1"/>
  <c r="M377" i="4" s="1"/>
  <c r="H125" i="9"/>
  <c r="N125" i="9" s="1"/>
  <c r="M125" i="9"/>
  <c r="M205" i="9"/>
  <c r="H205" i="9"/>
  <c r="N205" i="9" s="1"/>
  <c r="M1531" i="9"/>
  <c r="H1531" i="9"/>
  <c r="N1531" i="9" s="1"/>
  <c r="M194" i="9"/>
  <c r="G196" i="9"/>
  <c r="H194" i="9"/>
  <c r="N194" i="9" s="1"/>
  <c r="G1006" i="9"/>
  <c r="F182" i="4"/>
  <c r="G182" i="4" s="1"/>
  <c r="G1017" i="9"/>
  <c r="G981" i="9"/>
  <c r="H981" i="9" s="1"/>
  <c r="G969" i="9"/>
  <c r="G1029" i="9"/>
  <c r="H1029" i="9" s="1"/>
  <c r="G957" i="9"/>
  <c r="G933" i="9"/>
  <c r="H933" i="9" s="1"/>
  <c r="G993" i="9"/>
  <c r="H993" i="9" s="1"/>
  <c r="G945" i="9"/>
  <c r="H945" i="9" s="1"/>
  <c r="I229" i="9"/>
  <c r="J229" i="9" s="1"/>
  <c r="L106" i="9"/>
  <c r="J19" i="4" s="1"/>
  <c r="K19" i="4" s="1"/>
  <c r="M19" i="4" s="1"/>
  <c r="F297" i="23"/>
  <c r="M773" i="9"/>
  <c r="M658" i="9"/>
  <c r="I1806" i="9"/>
  <c r="J1806" i="9" s="1"/>
  <c r="J1808" i="9" s="1"/>
  <c r="H343" i="4" s="1"/>
  <c r="I343" i="4" s="1"/>
  <c r="J2015" i="9"/>
  <c r="H1717" i="9"/>
  <c r="N1717" i="9" s="1"/>
  <c r="J1688" i="9"/>
  <c r="H330" i="4" s="1"/>
  <c r="I330" i="4" s="1"/>
  <c r="M772" i="9"/>
  <c r="H772" i="9"/>
  <c r="N772" i="9" s="1"/>
  <c r="M650" i="9"/>
  <c r="N824" i="9"/>
  <c r="U139" i="23"/>
  <c r="R183" i="23" s="1"/>
  <c r="V183" i="23" s="1"/>
  <c r="I216" i="4"/>
  <c r="I633" i="9"/>
  <c r="J633" i="9" s="1"/>
  <c r="N2212" i="9"/>
  <c r="I711" i="9"/>
  <c r="J711" i="9" s="1"/>
  <c r="L65" i="4"/>
  <c r="H432" i="9"/>
  <c r="N432" i="9" s="1"/>
  <c r="N433" i="9" s="1"/>
  <c r="L93" i="4"/>
  <c r="I745" i="9"/>
  <c r="J1069" i="9"/>
  <c r="H185" i="4" s="1"/>
  <c r="I185" i="4" s="1"/>
  <c r="N2207" i="9"/>
  <c r="J842" i="9"/>
  <c r="H163" i="4" s="1"/>
  <c r="I163" i="4" s="1"/>
  <c r="J870" i="9"/>
  <c r="H166" i="4" s="1"/>
  <c r="I166" i="4" s="1"/>
  <c r="I803" i="9"/>
  <c r="J803" i="9" s="1"/>
  <c r="M398" i="4"/>
  <c r="J768" i="9"/>
  <c r="J632" i="9"/>
  <c r="N632" i="9" s="1"/>
  <c r="H55" i="4"/>
  <c r="I55" i="4" s="1"/>
  <c r="M333" i="9"/>
  <c r="H54" i="4"/>
  <c r="I54" i="4" s="1"/>
  <c r="M439" i="9"/>
  <c r="L1124" i="21"/>
  <c r="F176" i="23"/>
  <c r="M1543" i="9"/>
  <c r="L1314" i="9"/>
  <c r="M1314" i="9"/>
  <c r="L368" i="9"/>
  <c r="M368" i="9"/>
  <c r="L362" i="9"/>
  <c r="M362" i="9"/>
  <c r="L338" i="9"/>
  <c r="M338" i="9"/>
  <c r="M344" i="9"/>
  <c r="L344" i="9"/>
  <c r="M350" i="9"/>
  <c r="L350" i="9"/>
  <c r="G1674" i="9"/>
  <c r="C693" i="11"/>
  <c r="C694" i="11" s="1"/>
  <c r="G694" i="11" s="1"/>
  <c r="C903" i="11"/>
  <c r="C904" i="11" s="1"/>
  <c r="G930" i="9"/>
  <c r="H930" i="9" s="1"/>
  <c r="G1003" i="9"/>
  <c r="H1003" i="9" s="1"/>
  <c r="G1679" i="9"/>
  <c r="G1649" i="9"/>
  <c r="H1649" i="9" s="1"/>
  <c r="N1649" i="9" s="1"/>
  <c r="G898" i="9"/>
  <c r="H833" i="12"/>
  <c r="M833" i="12" s="1"/>
  <c r="M834" i="12" s="1"/>
  <c r="H168" i="12"/>
  <c r="M168" i="12" s="1"/>
  <c r="M169" i="12" s="1"/>
  <c r="G1499" i="9"/>
  <c r="M1501" i="12"/>
  <c r="G861" i="9"/>
  <c r="G833" i="9"/>
  <c r="H833" i="9" s="1"/>
  <c r="G911" i="9"/>
  <c r="G944" i="9"/>
  <c r="H944" i="9" s="1"/>
  <c r="G1374" i="9"/>
  <c r="H1374" i="9" s="1"/>
  <c r="H1375" i="9" s="1"/>
  <c r="F252" i="4" s="1"/>
  <c r="G252" i="4" s="1"/>
  <c r="P174" i="23"/>
  <c r="U174" i="23" s="1"/>
  <c r="P187" i="23" s="1"/>
  <c r="P78" i="23"/>
  <c r="M1045" i="12"/>
  <c r="G1425" i="9"/>
  <c r="G1511" i="9"/>
  <c r="D209" i="23"/>
  <c r="AC218" i="23"/>
  <c r="AJ218" i="23" s="1"/>
  <c r="AC231" i="23" s="1"/>
  <c r="G932" i="9"/>
  <c r="G841" i="9"/>
  <c r="G1350" i="9"/>
  <c r="H1350" i="9" s="1"/>
  <c r="H1351" i="9" s="1"/>
  <c r="F244" i="4" s="1"/>
  <c r="G244" i="4" s="1"/>
  <c r="F384" i="21"/>
  <c r="F286" i="21"/>
  <c r="F335" i="21"/>
  <c r="F341" i="21" s="1"/>
  <c r="M1121" i="12"/>
  <c r="G1437" i="9"/>
  <c r="G931" i="9"/>
  <c r="G899" i="9"/>
  <c r="G995" i="9"/>
  <c r="H995" i="9" s="1"/>
  <c r="H16" i="12"/>
  <c r="M16" i="12" s="1"/>
  <c r="M17" i="12" s="1"/>
  <c r="U78" i="23"/>
  <c r="P90" i="23" s="1"/>
  <c r="V90" i="23" s="1"/>
  <c r="M1278" i="9"/>
  <c r="L1278" i="9"/>
  <c r="H176" i="23"/>
  <c r="H178" i="23"/>
  <c r="H295" i="23"/>
  <c r="H297" i="23"/>
  <c r="K832" i="9"/>
  <c r="L832" i="9" s="1"/>
  <c r="L834" i="9" s="1"/>
  <c r="J162" i="4" s="1"/>
  <c r="K162" i="4" s="1"/>
  <c r="K878" i="9"/>
  <c r="L878" i="9" s="1"/>
  <c r="L880" i="9" s="1"/>
  <c r="J167" i="4" s="1"/>
  <c r="K167" i="4" s="1"/>
  <c r="K910" i="9"/>
  <c r="L910" i="9" s="1"/>
  <c r="L912" i="9" s="1"/>
  <c r="J170" i="4" s="1"/>
  <c r="K170" i="4" s="1"/>
  <c r="J255" i="4"/>
  <c r="K255" i="4" s="1"/>
  <c r="K823" i="9"/>
  <c r="L823" i="9" s="1"/>
  <c r="L825" i="9" s="1"/>
  <c r="J161" i="4" s="1"/>
  <c r="K161" i="4" s="1"/>
  <c r="I1825" i="9"/>
  <c r="J1825" i="9" s="1"/>
  <c r="J1827" i="9" s="1"/>
  <c r="H345" i="4" s="1"/>
  <c r="I345" i="4" s="1"/>
  <c r="I1768" i="9"/>
  <c r="J1768" i="9" s="1"/>
  <c r="M1841" i="9"/>
  <c r="H2198" i="9"/>
  <c r="M2198" i="9"/>
  <c r="J2056" i="9"/>
  <c r="J833" i="9"/>
  <c r="M833" i="9"/>
  <c r="J944" i="9"/>
  <c r="M944" i="9"/>
  <c r="J995" i="9"/>
  <c r="M1698" i="9"/>
  <c r="H1698" i="9"/>
  <c r="N1698" i="9" s="1"/>
  <c r="H386" i="4"/>
  <c r="I386" i="4" s="1"/>
  <c r="I2012" i="9"/>
  <c r="J2012" i="9" s="1"/>
  <c r="I2093" i="9"/>
  <c r="J2093" i="9" s="1"/>
  <c r="I2001" i="9"/>
  <c r="J2001" i="9" s="1"/>
  <c r="I1977" i="9"/>
  <c r="J1977" i="9" s="1"/>
  <c r="I1995" i="9"/>
  <c r="J1995" i="9" s="1"/>
  <c r="I1970" i="9"/>
  <c r="J1970" i="9" s="1"/>
  <c r="I2021" i="9"/>
  <c r="J2021" i="9" s="1"/>
  <c r="I2013" i="9"/>
  <c r="J2013" i="9" s="1"/>
  <c r="I2024" i="9"/>
  <c r="J2024" i="9" s="1"/>
  <c r="I2014" i="9"/>
  <c r="J2014" i="9" s="1"/>
  <c r="I2055" i="9"/>
  <c r="J2055" i="9" s="1"/>
  <c r="I2092" i="9"/>
  <c r="J2092" i="9" s="1"/>
  <c r="I2000" i="9"/>
  <c r="J2000" i="9" s="1"/>
  <c r="I2100" i="9"/>
  <c r="J2100" i="9" s="1"/>
  <c r="I2054" i="9"/>
  <c r="J2054" i="9" s="1"/>
  <c r="I2101" i="9"/>
  <c r="J2101" i="9" s="1"/>
  <c r="I2077" i="9"/>
  <c r="J2077" i="9" s="1"/>
  <c r="I2041" i="9"/>
  <c r="J2041" i="9" s="1"/>
  <c r="H10" i="4"/>
  <c r="I10" i="4" s="1"/>
  <c r="N238" i="9"/>
  <c r="L239" i="9"/>
  <c r="J40" i="4" s="1"/>
  <c r="K40" i="4" s="1"/>
  <c r="J1374" i="9"/>
  <c r="M1374" i="9"/>
  <c r="H1736" i="9"/>
  <c r="N1736" i="9" s="1"/>
  <c r="M1812" i="9"/>
  <c r="H1812" i="9"/>
  <c r="N1812" i="9" s="1"/>
  <c r="I2009" i="9"/>
  <c r="J2009" i="9" s="1"/>
  <c r="H383" i="4"/>
  <c r="I383" i="4" s="1"/>
  <c r="J634" i="9"/>
  <c r="N634" i="9" s="1"/>
  <c r="M634" i="9"/>
  <c r="M1726" i="9"/>
  <c r="H1726" i="9"/>
  <c r="N1726" i="9" s="1"/>
  <c r="I45" i="4"/>
  <c r="M45" i="4" s="1"/>
  <c r="L45" i="4"/>
  <c r="I391" i="4"/>
  <c r="M391" i="4" s="1"/>
  <c r="L391" i="4"/>
  <c r="L78" i="9"/>
  <c r="M78" i="9"/>
  <c r="L87" i="9"/>
  <c r="M87" i="9"/>
  <c r="H1871" i="9"/>
  <c r="N1871" i="9" s="1"/>
  <c r="M1871" i="9"/>
  <c r="J1293" i="9"/>
  <c r="M1707" i="9"/>
  <c r="H1707" i="9"/>
  <c r="N1707" i="9" s="1"/>
  <c r="M246" i="9"/>
  <c r="L246" i="9"/>
  <c r="J672" i="9"/>
  <c r="N672" i="9" s="1"/>
  <c r="M672" i="9"/>
  <c r="M398" i="9"/>
  <c r="H398" i="9"/>
  <c r="L69" i="4"/>
  <c r="I69" i="4"/>
  <c r="M69" i="4" s="1"/>
  <c r="M96" i="9"/>
  <c r="L96" i="9"/>
  <c r="H1851" i="9"/>
  <c r="N1851" i="9" s="1"/>
  <c r="M1851" i="9"/>
  <c r="H53" i="4"/>
  <c r="I53" i="4" s="1"/>
  <c r="I1036" i="9"/>
  <c r="J1036" i="9" s="1"/>
  <c r="M1861" i="9"/>
  <c r="H1861" i="9"/>
  <c r="N1861" i="9" s="1"/>
  <c r="H1793" i="9"/>
  <c r="N1793" i="9" s="1"/>
  <c r="M1793" i="9"/>
  <c r="I878" i="9"/>
  <c r="J878" i="9" s="1"/>
  <c r="I832" i="9"/>
  <c r="J832" i="9" s="1"/>
  <c r="I910" i="9"/>
  <c r="J910" i="9" s="1"/>
  <c r="J912" i="9" s="1"/>
  <c r="H170" i="4" s="1"/>
  <c r="I170" i="4" s="1"/>
  <c r="I888" i="9"/>
  <c r="J888" i="9" s="1"/>
  <c r="J890" i="9" s="1"/>
  <c r="H168" i="4" s="1"/>
  <c r="I168" i="4" s="1"/>
  <c r="I850" i="9"/>
  <c r="J850" i="9" s="1"/>
  <c r="I823" i="9"/>
  <c r="J823" i="9" s="1"/>
  <c r="J825" i="9" s="1"/>
  <c r="H161" i="4" s="1"/>
  <c r="I161" i="4" s="1"/>
  <c r="H255" i="4"/>
  <c r="I255" i="4" s="1"/>
  <c r="I860" i="9"/>
  <c r="J860" i="9" s="1"/>
  <c r="J862" i="9" s="1"/>
  <c r="H165" i="4" s="1"/>
  <c r="I165" i="4" s="1"/>
  <c r="M1755" i="9"/>
  <c r="H1755" i="9"/>
  <c r="N1755" i="9" s="1"/>
  <c r="H345" i="9"/>
  <c r="M345" i="9"/>
  <c r="I733" i="9"/>
  <c r="J733" i="9" s="1"/>
  <c r="H9" i="4"/>
  <c r="I9" i="4" s="1"/>
  <c r="I728" i="9"/>
  <c r="J728" i="9" s="1"/>
  <c r="J681" i="9"/>
  <c r="N681" i="9" s="1"/>
  <c r="M681" i="9"/>
  <c r="M648" i="9"/>
  <c r="J648" i="9"/>
  <c r="N648" i="9" s="1"/>
  <c r="I665" i="9"/>
  <c r="J665" i="9" s="1"/>
  <c r="I649" i="9"/>
  <c r="J649" i="9" s="1"/>
  <c r="I641" i="9"/>
  <c r="J641" i="9" s="1"/>
  <c r="I673" i="9"/>
  <c r="J673" i="9" s="1"/>
  <c r="I682" i="9"/>
  <c r="J682" i="9" s="1"/>
  <c r="J1073" i="21"/>
  <c r="L1073" i="21" s="1"/>
  <c r="G1607" i="9"/>
  <c r="G1619" i="9"/>
  <c r="G1613" i="9"/>
  <c r="G1625" i="9"/>
  <c r="M969" i="12"/>
  <c r="J143" i="21"/>
  <c r="L143" i="21" s="1"/>
  <c r="K571" i="9" s="1"/>
  <c r="L571" i="9" s="1"/>
  <c r="L572" i="9" s="1"/>
  <c r="J114" i="4" s="1"/>
  <c r="K114" i="4" s="1"/>
  <c r="J139" i="21"/>
  <c r="J141" i="21"/>
  <c r="L141" i="21" s="1"/>
  <c r="I571" i="9" s="1"/>
  <c r="J571" i="9" s="1"/>
  <c r="J572" i="9" s="1"/>
  <c r="H114" i="4" s="1"/>
  <c r="I114" i="4" s="1"/>
  <c r="I807" i="9"/>
  <c r="J807" i="9" s="1"/>
  <c r="I800" i="9"/>
  <c r="J800" i="9" s="1"/>
  <c r="J801" i="9" s="1"/>
  <c r="H158" i="4" s="1"/>
  <c r="I158" i="4" s="1"/>
  <c r="H157" i="4"/>
  <c r="I157" i="4" s="1"/>
  <c r="J337" i="21"/>
  <c r="L337" i="21" s="1"/>
  <c r="I580" i="9" s="1"/>
  <c r="J335" i="21"/>
  <c r="J339" i="21"/>
  <c r="J388" i="21"/>
  <c r="L388" i="21" s="1"/>
  <c r="K583" i="9" s="1"/>
  <c r="L583" i="9" s="1"/>
  <c r="L584" i="9" s="1"/>
  <c r="J118" i="4" s="1"/>
  <c r="K118" i="4" s="1"/>
  <c r="E61" i="11"/>
  <c r="E58" i="11"/>
  <c r="G58" i="11" s="1"/>
  <c r="E64" i="11"/>
  <c r="E274" i="11"/>
  <c r="E271" i="11"/>
  <c r="G271" i="11" s="1"/>
  <c r="I501" i="9" s="1"/>
  <c r="J501" i="9" s="1"/>
  <c r="J502" i="9" s="1"/>
  <c r="H96" i="4" s="1"/>
  <c r="I96" i="4" s="1"/>
  <c r="E268" i="11"/>
  <c r="G268" i="11" s="1"/>
  <c r="K501" i="9" s="1"/>
  <c r="L501" i="9" s="1"/>
  <c r="L502" i="9" s="1"/>
  <c r="J96" i="4" s="1"/>
  <c r="K96" i="4" s="1"/>
  <c r="C63" i="11"/>
  <c r="C64" i="11" s="1"/>
  <c r="G64" i="11" s="1"/>
  <c r="G462" i="9" s="1"/>
  <c r="C1078" i="11"/>
  <c r="C1079" i="11" s="1"/>
  <c r="G1079" i="11" s="1"/>
  <c r="G408" i="9" s="1"/>
  <c r="H408" i="9" s="1"/>
  <c r="C728" i="11"/>
  <c r="C729" i="11" s="1"/>
  <c r="G729" i="11" s="1"/>
  <c r="G1287" i="9"/>
  <c r="H1287" i="9" s="1"/>
  <c r="C553" i="11"/>
  <c r="C554" i="11" s="1"/>
  <c r="G554" i="11" s="1"/>
  <c r="G528" i="9" s="1"/>
  <c r="C378" i="11"/>
  <c r="C379" i="11" s="1"/>
  <c r="C238" i="11"/>
  <c r="C239" i="11" s="1"/>
  <c r="G239" i="11" s="1"/>
  <c r="G507" i="9" s="1"/>
  <c r="C1183" i="11"/>
  <c r="C1184" i="11" s="1"/>
  <c r="G1184" i="11" s="1"/>
  <c r="G547" i="9" s="1"/>
  <c r="C1148" i="11"/>
  <c r="C1149" i="11" s="1"/>
  <c r="G1149" i="11" s="1"/>
  <c r="G541" i="9" s="1"/>
  <c r="C658" i="11"/>
  <c r="C659" i="11" s="1"/>
  <c r="G659" i="11" s="1"/>
  <c r="C203" i="11"/>
  <c r="C204" i="11" s="1"/>
  <c r="C483" i="11"/>
  <c r="C484" i="11" s="1"/>
  <c r="M255" i="9"/>
  <c r="L255" i="9"/>
  <c r="L257" i="9" s="1"/>
  <c r="L1158" i="9"/>
  <c r="N1158" i="9" s="1"/>
  <c r="M1158" i="9"/>
  <c r="L1165" i="9"/>
  <c r="N1165" i="9" s="1"/>
  <c r="M1165" i="9"/>
  <c r="J482" i="21"/>
  <c r="L482" i="21" s="1"/>
  <c r="J484" i="21"/>
  <c r="L484" i="21" s="1"/>
  <c r="I589" i="9" s="1"/>
  <c r="J589" i="9" s="1"/>
  <c r="J590" i="9" s="1"/>
  <c r="H120" i="4" s="1"/>
  <c r="I120" i="4" s="1"/>
  <c r="J486" i="21"/>
  <c r="D674" i="21"/>
  <c r="K674" i="21" s="1"/>
  <c r="L677" i="21"/>
  <c r="I662" i="9"/>
  <c r="J662" i="9" s="1"/>
  <c r="H52" i="4"/>
  <c r="I52" i="4" s="1"/>
  <c r="I630" i="9"/>
  <c r="J630" i="9" s="1"/>
  <c r="I670" i="9"/>
  <c r="J670" i="9" s="1"/>
  <c r="I654" i="9"/>
  <c r="J654" i="9" s="1"/>
  <c r="I646" i="9"/>
  <c r="J646" i="9" s="1"/>
  <c r="I679" i="9"/>
  <c r="J679" i="9" s="1"/>
  <c r="I638" i="9"/>
  <c r="J638" i="9" s="1"/>
  <c r="L1103" i="9"/>
  <c r="J191" i="4" s="1"/>
  <c r="N1102" i="9"/>
  <c r="N1103" i="9" s="1"/>
  <c r="H301" i="23"/>
  <c r="H303" i="23" s="1"/>
  <c r="H299" i="23"/>
  <c r="H180" i="23"/>
  <c r="H182" i="23"/>
  <c r="G19" i="23"/>
  <c r="G18" i="23"/>
  <c r="G20" i="23"/>
  <c r="J20" i="23" s="1"/>
  <c r="D72" i="23" s="1"/>
  <c r="M1172" i="9"/>
  <c r="L1172" i="9"/>
  <c r="N1172" i="9" s="1"/>
  <c r="H1774" i="9"/>
  <c r="M1774" i="9"/>
  <c r="L403" i="9"/>
  <c r="M403" i="9"/>
  <c r="J1638" i="9"/>
  <c r="J1641" i="9" s="1"/>
  <c r="H322" i="4" s="1"/>
  <c r="I322" i="4" s="1"/>
  <c r="G1640" i="9"/>
  <c r="H1673" i="9"/>
  <c r="M1673" i="9"/>
  <c r="H1661" i="9"/>
  <c r="M1661" i="9"/>
  <c r="M868" i="9"/>
  <c r="H868" i="9"/>
  <c r="N868" i="9" s="1"/>
  <c r="P34" i="9"/>
  <c r="O2068" i="9"/>
  <c r="O2085" i="9"/>
  <c r="O2040" i="9"/>
  <c r="O2013" i="9"/>
  <c r="O2021" i="9"/>
  <c r="O2069" i="9"/>
  <c r="O2037" i="9"/>
  <c r="O1995" i="9"/>
  <c r="O2054" i="9"/>
  <c r="O2000" i="9"/>
  <c r="O2101" i="9"/>
  <c r="O2065" i="9"/>
  <c r="O2034" i="9"/>
  <c r="O2011" i="9"/>
  <c r="O2055" i="9"/>
  <c r="O2008" i="9"/>
  <c r="O2041" i="9"/>
  <c r="O2051" i="9"/>
  <c r="O2077" i="9"/>
  <c r="B27" i="9"/>
  <c r="O2014" i="9"/>
  <c r="O2093" i="9"/>
  <c r="O2026" i="9"/>
  <c r="O2048" i="9"/>
  <c r="O2024" i="9"/>
  <c r="O2001" i="9"/>
  <c r="O1998" i="9"/>
  <c r="O2108" i="9"/>
  <c r="O2076" i="9"/>
  <c r="O2062" i="9"/>
  <c r="O2027" i="9"/>
  <c r="O2092" i="9"/>
  <c r="O2084" i="9"/>
  <c r="O2100" i="9"/>
  <c r="O1977" i="9"/>
  <c r="O1970" i="9"/>
  <c r="E443" i="11"/>
  <c r="G443" i="11" s="1"/>
  <c r="K519" i="9" s="1"/>
  <c r="L519" i="9" s="1"/>
  <c r="L520" i="9" s="1"/>
  <c r="J102" i="4" s="1"/>
  <c r="K102" i="4" s="1"/>
  <c r="E449" i="11"/>
  <c r="E446" i="11"/>
  <c r="E513" i="11"/>
  <c r="G513" i="11" s="1"/>
  <c r="K525" i="9" s="1"/>
  <c r="L525" i="9" s="1"/>
  <c r="L526" i="9" s="1"/>
  <c r="J104" i="4" s="1"/>
  <c r="K104" i="4" s="1"/>
  <c r="E516" i="11"/>
  <c r="G516" i="11" s="1"/>
  <c r="I525" i="9" s="1"/>
  <c r="J525" i="9" s="1"/>
  <c r="J526" i="9" s="1"/>
  <c r="H104" i="4" s="1"/>
  <c r="I104" i="4" s="1"/>
  <c r="E519" i="11"/>
  <c r="J829" i="21"/>
  <c r="L829" i="21" s="1"/>
  <c r="K615" i="9" s="1"/>
  <c r="J825" i="21"/>
  <c r="J827" i="21"/>
  <c r="L827" i="21" s="1"/>
  <c r="K2119" i="9"/>
  <c r="L2119" i="9" s="1"/>
  <c r="J390" i="4"/>
  <c r="K2115" i="9"/>
  <c r="L2115" i="9" s="1"/>
  <c r="J286" i="21"/>
  <c r="L286" i="21" s="1"/>
  <c r="J290" i="21"/>
  <c r="J288" i="21"/>
  <c r="H795" i="12"/>
  <c r="M795" i="12" s="1"/>
  <c r="M796" i="12" s="1"/>
  <c r="M692" i="9"/>
  <c r="L692" i="9"/>
  <c r="J1917" i="9"/>
  <c r="H354" i="4" s="1"/>
  <c r="I354" i="4" s="1"/>
  <c r="N1910" i="9"/>
  <c r="H206" i="9"/>
  <c r="N206" i="9" s="1"/>
  <c r="I174" i="9"/>
  <c r="I184" i="9"/>
  <c r="H22" i="4"/>
  <c r="I22" i="4" s="1"/>
  <c r="I144" i="9"/>
  <c r="I164" i="9"/>
  <c r="I154" i="9"/>
  <c r="G43" i="4"/>
  <c r="H739" i="9"/>
  <c r="G63" i="4"/>
  <c r="M63" i="4" s="1"/>
  <c r="L63" i="4"/>
  <c r="M1151" i="9"/>
  <c r="L1151" i="9"/>
  <c r="N1151" i="9" s="1"/>
  <c r="L1207" i="9"/>
  <c r="N1207" i="9" s="1"/>
  <c r="M1207" i="9"/>
  <c r="H1472" i="9"/>
  <c r="M1472" i="9"/>
  <c r="H1488" i="9"/>
  <c r="F289" i="4" s="1"/>
  <c r="N1487" i="9"/>
  <c r="N1488" i="9" s="1"/>
  <c r="J1493" i="9"/>
  <c r="M1493" i="9"/>
  <c r="H1520" i="9"/>
  <c r="M1520" i="9"/>
  <c r="H1919" i="9"/>
  <c r="M1919" i="9"/>
  <c r="M1791" i="9"/>
  <c r="H1791" i="9"/>
  <c r="M1810" i="9"/>
  <c r="H1810" i="9"/>
  <c r="M1762" i="9"/>
  <c r="H1762" i="9"/>
  <c r="M1839" i="9"/>
  <c r="H1839" i="9"/>
  <c r="H1829" i="9"/>
  <c r="M1829" i="9"/>
  <c r="H1696" i="9"/>
  <c r="M1696" i="9"/>
  <c r="H1939" i="9"/>
  <c r="M1939" i="9"/>
  <c r="F392" i="4"/>
  <c r="G392" i="4" s="1"/>
  <c r="O2136" i="9"/>
  <c r="G2136" i="9"/>
  <c r="H2136" i="9" s="1"/>
  <c r="L1365" i="9"/>
  <c r="M1365" i="9"/>
  <c r="M357" i="9"/>
  <c r="H889" i="9"/>
  <c r="N889" i="9" s="1"/>
  <c r="M889" i="9"/>
  <c r="H1416" i="9"/>
  <c r="M1416" i="9"/>
  <c r="G231" i="4"/>
  <c r="H1359" i="9"/>
  <c r="M1359" i="9"/>
  <c r="H1440" i="9"/>
  <c r="M1440" i="9"/>
  <c r="H459" i="9"/>
  <c r="H1680" i="9"/>
  <c r="M1680" i="9"/>
  <c r="H1662" i="9"/>
  <c r="L339" i="21"/>
  <c r="K580" i="9" s="1"/>
  <c r="G393" i="4"/>
  <c r="J1897" i="9"/>
  <c r="H352" i="4" s="1"/>
  <c r="N1890" i="9"/>
  <c r="J1565" i="9"/>
  <c r="J1568" i="9" s="1"/>
  <c r="H310" i="4" s="1"/>
  <c r="I310" i="4" s="1"/>
  <c r="I6" i="4"/>
  <c r="J1769" i="9"/>
  <c r="J1731" i="9"/>
  <c r="J1759" i="9"/>
  <c r="J1760" i="9" s="1"/>
  <c r="H338" i="4" s="1"/>
  <c r="I338" i="4" s="1"/>
  <c r="L69" i="9"/>
  <c r="M69" i="9"/>
  <c r="G42" i="4"/>
  <c r="J1308" i="9"/>
  <c r="M1308" i="9"/>
  <c r="G321" i="4"/>
  <c r="M321" i="4" s="1"/>
  <c r="L321" i="4"/>
  <c r="E1290" i="11"/>
  <c r="E1284" i="11"/>
  <c r="G1284" i="11" s="1"/>
  <c r="E1287" i="11"/>
  <c r="G1287" i="11" s="1"/>
  <c r="E344" i="11"/>
  <c r="G344" i="11" s="1"/>
  <c r="E338" i="11"/>
  <c r="E341" i="11"/>
  <c r="E39" i="22"/>
  <c r="F41" i="22"/>
  <c r="D47" i="22" s="1"/>
  <c r="H6" i="9"/>
  <c r="H16" i="9"/>
  <c r="H49" i="9"/>
  <c r="N1989" i="9"/>
  <c r="G126" i="9"/>
  <c r="M124" i="9"/>
  <c r="H124" i="9"/>
  <c r="H134" i="9"/>
  <c r="G136" i="9"/>
  <c r="M134" i="9"/>
  <c r="N2135" i="9"/>
  <c r="N2159" i="9"/>
  <c r="N2162" i="9" s="1"/>
  <c r="H2162" i="9"/>
  <c r="N2170" i="9"/>
  <c r="N2174" i="9" s="1"/>
  <c r="H2174" i="9"/>
  <c r="N243" i="9"/>
  <c r="H2143" i="9"/>
  <c r="M2143" i="9"/>
  <c r="J1003" i="9"/>
  <c r="M1003" i="9"/>
  <c r="N1661" i="9"/>
  <c r="J930" i="9"/>
  <c r="M930" i="9"/>
  <c r="F390" i="21"/>
  <c r="H1289" i="12"/>
  <c r="M1289" i="12" s="1"/>
  <c r="M1290" i="12" s="1"/>
  <c r="K459" i="9"/>
  <c r="L459" i="9" s="1"/>
  <c r="L460" i="9" s="1"/>
  <c r="J83" i="4" s="1"/>
  <c r="K83" i="4" s="1"/>
  <c r="AI160" i="23"/>
  <c r="AI161" i="23"/>
  <c r="N117" i="9"/>
  <c r="H122" i="9"/>
  <c r="F21" i="4" s="1"/>
  <c r="F382" i="4"/>
  <c r="G1996" i="9"/>
  <c r="L710" i="9"/>
  <c r="N710" i="9" s="1"/>
  <c r="M710" i="9"/>
  <c r="I1037" i="9"/>
  <c r="J1037" i="9" s="1"/>
  <c r="H72" i="4"/>
  <c r="I72" i="4" s="1"/>
  <c r="L486" i="21"/>
  <c r="K589" i="9" s="1"/>
  <c r="L589" i="9" s="1"/>
  <c r="L590" i="9" s="1"/>
  <c r="J120" i="4" s="1"/>
  <c r="K120" i="4" s="1"/>
  <c r="N430" i="21"/>
  <c r="N140" i="9"/>
  <c r="E30" i="21"/>
  <c r="G19" i="21" s="1"/>
  <c r="D37" i="21" s="1"/>
  <c r="K37" i="21" s="1"/>
  <c r="N36" i="21" s="1"/>
  <c r="J142" i="9"/>
  <c r="E916" i="21"/>
  <c r="G898" i="21" s="1"/>
  <c r="D921" i="21" s="1"/>
  <c r="K921" i="21" s="1"/>
  <c r="M1505" i="9"/>
  <c r="M1800" i="9"/>
  <c r="M1899" i="9"/>
  <c r="M1724" i="9"/>
  <c r="M1849" i="9"/>
  <c r="J19" i="23"/>
  <c r="D70" i="23" s="1"/>
  <c r="M1484" i="9"/>
  <c r="E204" i="11"/>
  <c r="E198" i="11"/>
  <c r="G198" i="11" s="1"/>
  <c r="E201" i="11"/>
  <c r="E970" i="11"/>
  <c r="G970" i="11" s="1"/>
  <c r="E973" i="11"/>
  <c r="G973" i="11" s="1"/>
  <c r="E976" i="11"/>
  <c r="G976" i="11" s="1"/>
  <c r="K541" i="9"/>
  <c r="L541" i="9" s="1"/>
  <c r="L545" i="9" s="1"/>
  <c r="J108" i="4" s="1"/>
  <c r="K108" i="4" s="1"/>
  <c r="L1100" i="9"/>
  <c r="J190" i="4" s="1"/>
  <c r="N1099" i="9"/>
  <c r="N1100" i="9" s="1"/>
  <c r="AI16" i="23"/>
  <c r="AI17" i="23"/>
  <c r="E1003" i="11"/>
  <c r="G1003" i="11" s="1"/>
  <c r="E1006" i="11"/>
  <c r="G1006" i="11" s="1"/>
  <c r="E1009" i="11"/>
  <c r="M689" i="9"/>
  <c r="L689" i="9"/>
  <c r="J52" i="4"/>
  <c r="K52" i="4" s="1"/>
  <c r="K638" i="9"/>
  <c r="L638" i="9" s="1"/>
  <c r="K630" i="9"/>
  <c r="L630" i="9" s="1"/>
  <c r="K654" i="9"/>
  <c r="L654" i="9" s="1"/>
  <c r="K679" i="9"/>
  <c r="L679" i="9" s="1"/>
  <c r="K646" i="9"/>
  <c r="L646" i="9" s="1"/>
  <c r="K670" i="9"/>
  <c r="L670" i="9" s="1"/>
  <c r="K662" i="9"/>
  <c r="L662" i="9" s="1"/>
  <c r="K528" i="9"/>
  <c r="L528" i="9" s="1"/>
  <c r="L529" i="9" s="1"/>
  <c r="J105" i="4" s="1"/>
  <c r="K105" i="4" s="1"/>
  <c r="M784" i="9"/>
  <c r="M1137" i="9"/>
  <c r="L1137" i="9"/>
  <c r="N1137" i="9" s="1"/>
  <c r="S115" i="23"/>
  <c r="U115" i="23" s="1"/>
  <c r="R181" i="23" s="1"/>
  <c r="S116" i="23"/>
  <c r="U116" i="23" s="1"/>
  <c r="T181" i="23" s="1"/>
  <c r="T189" i="23" s="1"/>
  <c r="S114" i="23"/>
  <c r="U114" i="23" s="1"/>
  <c r="P181" i="23" s="1"/>
  <c r="J241" i="21"/>
  <c r="L241" i="21" s="1"/>
  <c r="K577" i="9" s="1"/>
  <c r="L577" i="9" s="1"/>
  <c r="L578" i="9" s="1"/>
  <c r="J116" i="4" s="1"/>
  <c r="K116" i="4" s="1"/>
  <c r="J239" i="21"/>
  <c r="L239" i="21" s="1"/>
  <c r="I577" i="9" s="1"/>
  <c r="J577" i="9" s="1"/>
  <c r="J578" i="9" s="1"/>
  <c r="H116" i="4" s="1"/>
  <c r="I116" i="4" s="1"/>
  <c r="J237" i="21"/>
  <c r="L1311" i="9"/>
  <c r="M1311" i="9"/>
  <c r="J1449" i="9"/>
  <c r="M1449" i="9"/>
  <c r="J1506" i="9"/>
  <c r="H295" i="4" s="1"/>
  <c r="N1505" i="9"/>
  <c r="N1506" i="9" s="1"/>
  <c r="J1508" i="9"/>
  <c r="M1508" i="9"/>
  <c r="L1907" i="9"/>
  <c r="J353" i="4" s="1"/>
  <c r="K353" i="4" s="1"/>
  <c r="N1899" i="9"/>
  <c r="K379" i="4"/>
  <c r="M379" i="4" s="1"/>
  <c r="L379" i="4"/>
  <c r="N93" i="9"/>
  <c r="H98" i="9"/>
  <c r="F18" i="4" s="1"/>
  <c r="L60" i="9"/>
  <c r="M60" i="9"/>
  <c r="M247" i="12"/>
  <c r="G1305" i="9"/>
  <c r="M1014" i="9"/>
  <c r="H1014" i="9"/>
  <c r="N1014" i="9" s="1"/>
  <c r="M1685" i="9"/>
  <c r="H1685" i="9"/>
  <c r="H814" i="9"/>
  <c r="N814" i="9" s="1"/>
  <c r="M814" i="9"/>
  <c r="H1655" i="9"/>
  <c r="N1655" i="9" s="1"/>
  <c r="M1655" i="9"/>
  <c r="N37" i="9"/>
  <c r="H40" i="9"/>
  <c r="G290" i="4"/>
  <c r="N437" i="9"/>
  <c r="L440" i="9"/>
  <c r="J78" i="4" s="1"/>
  <c r="K78" i="4" s="1"/>
  <c r="G800" i="9"/>
  <c r="F157" i="4"/>
  <c r="G807" i="9"/>
  <c r="I221" i="9"/>
  <c r="J219" i="9"/>
  <c r="J43" i="4"/>
  <c r="K43" i="4" s="1"/>
  <c r="K796" i="9"/>
  <c r="K739" i="9"/>
  <c r="L739" i="9" s="1"/>
  <c r="L742" i="9" s="1"/>
  <c r="J147" i="4" s="1"/>
  <c r="K147" i="4" s="1"/>
  <c r="K745" i="9"/>
  <c r="L745" i="9" s="1"/>
  <c r="L748" i="9" s="1"/>
  <c r="J148" i="4" s="1"/>
  <c r="K148" i="4" s="1"/>
  <c r="E99" i="11"/>
  <c r="E93" i="11"/>
  <c r="G93" i="11" s="1"/>
  <c r="K465" i="9" s="1"/>
  <c r="L465" i="9" s="1"/>
  <c r="L466" i="9" s="1"/>
  <c r="J85" i="4" s="1"/>
  <c r="K85" i="4" s="1"/>
  <c r="E96" i="11"/>
  <c r="G96" i="11" s="1"/>
  <c r="I465" i="9" s="1"/>
  <c r="J465" i="9" s="1"/>
  <c r="J466" i="9" s="1"/>
  <c r="H85" i="4" s="1"/>
  <c r="I85" i="4" s="1"/>
  <c r="E484" i="11"/>
  <c r="E481" i="11"/>
  <c r="E478" i="11"/>
  <c r="G478" i="11" s="1"/>
  <c r="E586" i="11"/>
  <c r="G586" i="11" s="1"/>
  <c r="I531" i="9" s="1"/>
  <c r="J531" i="9" s="1"/>
  <c r="J532" i="9" s="1"/>
  <c r="H106" i="4" s="1"/>
  <c r="I106" i="4" s="1"/>
  <c r="E589" i="11"/>
  <c r="E583" i="11"/>
  <c r="G583" i="11" s="1"/>
  <c r="K531" i="9" s="1"/>
  <c r="L531" i="9" s="1"/>
  <c r="L532" i="9" s="1"/>
  <c r="J106" i="4" s="1"/>
  <c r="K106" i="4" s="1"/>
  <c r="J630" i="21"/>
  <c r="N630" i="21" s="1"/>
  <c r="J628" i="21"/>
  <c r="J632" i="21"/>
  <c r="L632" i="21" s="1"/>
  <c r="I2142" i="9"/>
  <c r="H393" i="4"/>
  <c r="I393" i="4" s="1"/>
  <c r="H81" i="9"/>
  <c r="F16" i="4" s="1"/>
  <c r="N75" i="9"/>
  <c r="F330" i="23"/>
  <c r="I330" i="23" s="1"/>
  <c r="F329" i="23"/>
  <c r="I329" i="23" s="1"/>
  <c r="F328" i="23"/>
  <c r="I328" i="23" s="1"/>
  <c r="J776" i="21"/>
  <c r="J780" i="21"/>
  <c r="L780" i="21" s="1"/>
  <c r="J778" i="21"/>
  <c r="L778" i="21" s="1"/>
  <c r="N1849" i="9"/>
  <c r="H63" i="9"/>
  <c r="N57" i="9"/>
  <c r="I2029" i="9"/>
  <c r="J2029" i="9" s="1"/>
  <c r="I2057" i="9"/>
  <c r="J2057" i="9" s="1"/>
  <c r="I2071" i="9"/>
  <c r="J2071" i="9" s="1"/>
  <c r="I2016" i="9"/>
  <c r="J2016" i="9" s="1"/>
  <c r="I2043" i="9"/>
  <c r="J2043" i="9" s="1"/>
  <c r="H14" i="4"/>
  <c r="I14" i="4" s="1"/>
  <c r="I2003" i="9"/>
  <c r="J2003" i="9" s="1"/>
  <c r="N112" i="9"/>
  <c r="H239" i="9"/>
  <c r="F40" i="4" s="1"/>
  <c r="N235" i="9"/>
  <c r="G44" i="4"/>
  <c r="M44" i="4" s="1"/>
  <c r="L44" i="4"/>
  <c r="J1490" i="9"/>
  <c r="M1490" i="9"/>
  <c r="H1983" i="9"/>
  <c r="M1949" i="9"/>
  <c r="H1949" i="9"/>
  <c r="M1743" i="9"/>
  <c r="H1743" i="9"/>
  <c r="M1819" i="9"/>
  <c r="H1819" i="9"/>
  <c r="M1869" i="9"/>
  <c r="H1869" i="9"/>
  <c r="H1753" i="9"/>
  <c r="M1753" i="9"/>
  <c r="H1909" i="9"/>
  <c r="M1909" i="9"/>
  <c r="H1879" i="9"/>
  <c r="M1879" i="9"/>
  <c r="H1859" i="9"/>
  <c r="M1859" i="9"/>
  <c r="I2136" i="9"/>
  <c r="J2136" i="9" s="1"/>
  <c r="J2138" i="9" s="1"/>
  <c r="H380" i="4" s="1"/>
  <c r="I380" i="4" s="1"/>
  <c r="H392" i="4"/>
  <c r="I392" i="4" s="1"/>
  <c r="I2118" i="9"/>
  <c r="J2118" i="9" s="1"/>
  <c r="J2120" i="9" s="1"/>
  <c r="H376" i="4" s="1"/>
  <c r="I376" i="4" s="1"/>
  <c r="I2114" i="9"/>
  <c r="J2114" i="9" s="1"/>
  <c r="H389" i="4"/>
  <c r="I389" i="4" s="1"/>
  <c r="H968" i="9"/>
  <c r="N968" i="9" s="1"/>
  <c r="M968" i="9"/>
  <c r="M1235" i="12"/>
  <c r="AC26" i="23"/>
  <c r="G1455" i="9"/>
  <c r="AC74" i="23"/>
  <c r="H1383" i="9"/>
  <c r="H1284" i="9"/>
  <c r="H1650" i="9"/>
  <c r="H1692" i="9"/>
  <c r="M1686" i="9"/>
  <c r="H1686" i="9"/>
  <c r="N1686" i="9" s="1"/>
  <c r="J563" i="9"/>
  <c r="H111" i="4" s="1"/>
  <c r="I111" i="4" s="1"/>
  <c r="N561" i="9"/>
  <c r="N1959" i="9"/>
  <c r="G2025" i="9"/>
  <c r="F387" i="4"/>
  <c r="J1788" i="9"/>
  <c r="J1721" i="9"/>
  <c r="J1778" i="9"/>
  <c r="J1779" i="9" s="1"/>
  <c r="H340" i="4" s="1"/>
  <c r="I340" i="4" s="1"/>
  <c r="J1712" i="9"/>
  <c r="J1990" i="9"/>
  <c r="J1993" i="9" s="1"/>
  <c r="H363" i="4" s="1"/>
  <c r="I363" i="4" s="1"/>
  <c r="C725" i="11"/>
  <c r="C726" i="11" s="1"/>
  <c r="G726" i="11" s="1"/>
  <c r="C480" i="11"/>
  <c r="C481" i="11" s="1"/>
  <c r="C1180" i="11"/>
  <c r="C1181" i="11" s="1"/>
  <c r="G1181" i="11" s="1"/>
  <c r="C200" i="11"/>
  <c r="C201" i="11" s="1"/>
  <c r="G201" i="11" s="1"/>
  <c r="I498" i="9" s="1"/>
  <c r="J498" i="9" s="1"/>
  <c r="J499" i="9" s="1"/>
  <c r="H95" i="4" s="1"/>
  <c r="I95" i="4" s="1"/>
  <c r="C235" i="11"/>
  <c r="C236" i="11" s="1"/>
  <c r="G236" i="11" s="1"/>
  <c r="C60" i="11"/>
  <c r="C61" i="11" s="1"/>
  <c r="G61" i="11" s="1"/>
  <c r="I462" i="9" s="1"/>
  <c r="J462" i="9" s="1"/>
  <c r="J463" i="9" s="1"/>
  <c r="H84" i="4" s="1"/>
  <c r="I84" i="4" s="1"/>
  <c r="C1145" i="11"/>
  <c r="C1146" i="11" s="1"/>
  <c r="G1146" i="11" s="1"/>
  <c r="I541" i="9" s="1"/>
  <c r="J541" i="9" s="1"/>
  <c r="J545" i="9" s="1"/>
  <c r="H108" i="4" s="1"/>
  <c r="I108" i="4" s="1"/>
  <c r="I1287" i="9"/>
  <c r="C1075" i="11"/>
  <c r="C1076" i="11" s="1"/>
  <c r="G1076" i="11" s="1"/>
  <c r="C655" i="11"/>
  <c r="C656" i="11" s="1"/>
  <c r="G656" i="11" s="1"/>
  <c r="K660" i="11" s="1"/>
  <c r="M114" i="12"/>
  <c r="C375" i="11"/>
  <c r="C376" i="11" s="1"/>
  <c r="C550" i="11"/>
  <c r="C551" i="11" s="1"/>
  <c r="G551" i="11" s="1"/>
  <c r="I528" i="9" s="1"/>
  <c r="J528" i="9" s="1"/>
  <c r="J529" i="9" s="1"/>
  <c r="H105" i="4" s="1"/>
  <c r="I105" i="4" s="1"/>
  <c r="E414" i="11"/>
  <c r="E411" i="11"/>
  <c r="G411" i="11" s="1"/>
  <c r="E408" i="11"/>
  <c r="G408" i="11" s="1"/>
  <c r="E373" i="11"/>
  <c r="G373" i="11" s="1"/>
  <c r="E376" i="11"/>
  <c r="E379" i="11"/>
  <c r="E904" i="11"/>
  <c r="G904" i="11" s="1"/>
  <c r="E898" i="11"/>
  <c r="G898" i="11" s="1"/>
  <c r="E901" i="11"/>
  <c r="H11" i="9"/>
  <c r="H42" i="9"/>
  <c r="H21" i="9"/>
  <c r="H28" i="9"/>
  <c r="H1532" i="9"/>
  <c r="N1532" i="9" s="1"/>
  <c r="M1532" i="9"/>
  <c r="H2137" i="9"/>
  <c r="N2137" i="9" s="1"/>
  <c r="M2137" i="9"/>
  <c r="J964" i="9"/>
  <c r="M964" i="9"/>
  <c r="H1669" i="12"/>
  <c r="M1669" i="12" s="1"/>
  <c r="M1670" i="12" s="1"/>
  <c r="G1458" i="9"/>
  <c r="M1273" i="12"/>
  <c r="G1002" i="9"/>
  <c r="G768" i="9"/>
  <c r="G897" i="9"/>
  <c r="P255" i="23"/>
  <c r="U255" i="23" s="1"/>
  <c r="C1043" i="11"/>
  <c r="C1044" i="11" s="1"/>
  <c r="G1044" i="11" s="1"/>
  <c r="K1045" i="11" s="1"/>
  <c r="G780" i="9"/>
  <c r="C868" i="11"/>
  <c r="C869" i="11" s="1"/>
  <c r="G869" i="11" s="1"/>
  <c r="K870" i="11" s="1"/>
  <c r="P279" i="23"/>
  <c r="U279" i="23" s="1"/>
  <c r="G929" i="9"/>
  <c r="M817" i="12"/>
  <c r="G1527" i="9"/>
  <c r="G1013" i="9"/>
  <c r="G1025" i="9"/>
  <c r="P228" i="23"/>
  <c r="U228" i="23" s="1"/>
  <c r="F211" i="23"/>
  <c r="I211" i="23" s="1"/>
  <c r="F210" i="23"/>
  <c r="I210" i="23" s="1"/>
  <c r="F209" i="23"/>
  <c r="I209" i="23" s="1"/>
  <c r="G378" i="4"/>
  <c r="M378" i="4" s="1"/>
  <c r="L378" i="4"/>
  <c r="M421" i="9"/>
  <c r="H421" i="9"/>
  <c r="H1485" i="9"/>
  <c r="F288" i="4" s="1"/>
  <c r="N1484" i="9"/>
  <c r="N1485" i="9" s="1"/>
  <c r="F383" i="4"/>
  <c r="G2009" i="9"/>
  <c r="L1069" i="9"/>
  <c r="J185" i="4" s="1"/>
  <c r="K185" i="4" s="1"/>
  <c r="N1929" i="9"/>
  <c r="AG116" i="23"/>
  <c r="AB118" i="23" s="1"/>
  <c r="AI118" i="23" s="1"/>
  <c r="AB116" i="23"/>
  <c r="J584" i="21"/>
  <c r="L584" i="21" s="1"/>
  <c r="K595" i="9" s="1"/>
  <c r="L595" i="9" s="1"/>
  <c r="L596" i="9" s="1"/>
  <c r="J122" i="4" s="1"/>
  <c r="K122" i="4" s="1"/>
  <c r="J582" i="21"/>
  <c r="L582" i="21" s="1"/>
  <c r="I595" i="9" s="1"/>
  <c r="J595" i="9" s="1"/>
  <c r="J596" i="9" s="1"/>
  <c r="H122" i="4" s="1"/>
  <c r="I122" i="4" s="1"/>
  <c r="J580" i="21"/>
  <c r="G449" i="11"/>
  <c r="G519" i="9" s="1"/>
  <c r="G1009" i="11"/>
  <c r="L40" i="21"/>
  <c r="N673" i="21"/>
  <c r="N920" i="21"/>
  <c r="M1781" i="9"/>
  <c r="N457" i="9"/>
  <c r="N1126" i="9"/>
  <c r="U41" i="23"/>
  <c r="P86" i="23" s="1"/>
  <c r="L290" i="21"/>
  <c r="F292" i="21"/>
  <c r="L288" i="21"/>
  <c r="G338" i="11"/>
  <c r="M1649" i="9"/>
  <c r="G1443" i="9"/>
  <c r="M1159" i="12"/>
  <c r="G1051" i="9"/>
  <c r="G1065" i="9"/>
  <c r="M1634" i="12"/>
  <c r="G1517" i="9"/>
  <c r="G1478" i="9"/>
  <c r="M1387" i="12"/>
  <c r="G1434" i="9"/>
  <c r="M1102" i="12"/>
  <c r="C1113" i="11"/>
  <c r="C1114" i="11" s="1"/>
  <c r="G1114" i="11" s="1"/>
  <c r="C273" i="11"/>
  <c r="C274" i="11" s="1"/>
  <c r="G274" i="11" s="1"/>
  <c r="C308" i="11"/>
  <c r="C309" i="11" s="1"/>
  <c r="G309" i="11" s="1"/>
  <c r="C413" i="11"/>
  <c r="C414" i="11" s="1"/>
  <c r="G414" i="11" s="1"/>
  <c r="H114" i="9"/>
  <c r="F20" i="4" s="1"/>
  <c r="N109" i="9"/>
  <c r="H1118" i="9"/>
  <c r="F193" i="4" s="1"/>
  <c r="H1496" i="9"/>
  <c r="M1496" i="9"/>
  <c r="H988" i="9"/>
  <c r="M988" i="9"/>
  <c r="H1452" i="9"/>
  <c r="H976" i="9"/>
  <c r="M976" i="9"/>
  <c r="F439" i="21"/>
  <c r="F488" i="21"/>
  <c r="G246" i="4"/>
  <c r="H1356" i="9"/>
  <c r="M1356" i="9"/>
  <c r="H967" i="9"/>
  <c r="N967" i="9" s="1"/>
  <c r="M967" i="9"/>
  <c r="H943" i="9"/>
  <c r="N943" i="9" s="1"/>
  <c r="M943" i="9"/>
  <c r="H955" i="9"/>
  <c r="N955" i="9" s="1"/>
  <c r="M955" i="9"/>
  <c r="M1368" i="9"/>
  <c r="H1368" i="9"/>
  <c r="H1656" i="9"/>
  <c r="H495" i="9"/>
  <c r="H1386" i="9"/>
  <c r="M1386" i="9"/>
  <c r="H1691" i="9"/>
  <c r="M1691" i="9"/>
  <c r="M695" i="9"/>
  <c r="H695" i="9"/>
  <c r="M722" i="9"/>
  <c r="H722" i="9"/>
  <c r="H704" i="9"/>
  <c r="M704" i="9"/>
  <c r="H1428" i="9"/>
  <c r="M1428" i="9"/>
  <c r="H1290" i="9"/>
  <c r="M1290" i="9"/>
  <c r="F881" i="21"/>
  <c r="H900" i="9"/>
  <c r="M900" i="9"/>
  <c r="H815" i="9"/>
  <c r="N815" i="9" s="1"/>
  <c r="M815" i="9"/>
  <c r="H2191" i="9"/>
  <c r="M2191" i="9"/>
  <c r="H992" i="9"/>
  <c r="N992" i="9" s="1"/>
  <c r="M992" i="9"/>
  <c r="H851" i="9"/>
  <c r="N851" i="9" s="1"/>
  <c r="M851" i="9"/>
  <c r="H956" i="9"/>
  <c r="N956" i="9" s="1"/>
  <c r="M956" i="9"/>
  <c r="H306" i="9"/>
  <c r="N306" i="9" s="1"/>
  <c r="M306" i="9"/>
  <c r="M299" i="9"/>
  <c r="H299" i="9"/>
  <c r="N299" i="9" s="1"/>
  <c r="M1467" i="9"/>
  <c r="H1467" i="9"/>
  <c r="H916" i="9"/>
  <c r="M916" i="9"/>
  <c r="H1524" i="9"/>
  <c r="M1524" i="9"/>
  <c r="L919" i="9"/>
  <c r="M919" i="9"/>
  <c r="H369" i="9"/>
  <c r="J1350" i="9"/>
  <c r="M1350" i="9"/>
  <c r="G1015" i="9"/>
  <c r="G1296" i="9"/>
  <c r="G1004" i="9"/>
  <c r="M190" i="12"/>
  <c r="G1332" i="9"/>
  <c r="M418" i="12"/>
  <c r="G1638" i="9"/>
  <c r="G1595" i="9"/>
  <c r="G1583" i="9"/>
  <c r="M950" i="12"/>
  <c r="G1577" i="9"/>
  <c r="G1601" i="9"/>
  <c r="G1589" i="9"/>
  <c r="G1413" i="9"/>
  <c r="G1559" i="9"/>
  <c r="G1407" i="9"/>
  <c r="M912" i="12"/>
  <c r="G1502" i="9"/>
  <c r="M1520" i="12"/>
  <c r="P210" i="23"/>
  <c r="U210" i="23" s="1"/>
  <c r="G1380" i="9"/>
  <c r="M741" i="12"/>
  <c r="N195" i="9"/>
  <c r="N1132" i="9"/>
  <c r="N1134" i="9" s="1"/>
  <c r="H1134" i="9"/>
  <c r="F195" i="4" s="1"/>
  <c r="M608" i="12"/>
  <c r="G941" i="9"/>
  <c r="G1362" i="9"/>
  <c r="G977" i="9"/>
  <c r="G953" i="9"/>
  <c r="G908" i="9"/>
  <c r="G989" i="9"/>
  <c r="G965" i="9"/>
  <c r="D114" i="23"/>
  <c r="J114" i="23" s="1"/>
  <c r="G858" i="9"/>
  <c r="G830" i="9"/>
  <c r="M456" i="12"/>
  <c r="D18" i="23"/>
  <c r="J18" i="23" s="1"/>
  <c r="G1338" i="9"/>
  <c r="G886" i="9"/>
  <c r="D234" i="23"/>
  <c r="J234" i="23" s="1"/>
  <c r="F677" i="21"/>
  <c r="M494" i="12"/>
  <c r="F188" i="21"/>
  <c r="F825" i="21"/>
  <c r="L825" i="21" s="1"/>
  <c r="G615" i="9" s="1"/>
  <c r="H615" i="9" s="1"/>
  <c r="F237" i="21"/>
  <c r="L237" i="21" s="1"/>
  <c r="G1068" i="9"/>
  <c r="G1344" i="9"/>
  <c r="F776" i="21"/>
  <c r="L776" i="21" s="1"/>
  <c r="G611" i="9" s="1"/>
  <c r="H611" i="9" s="1"/>
  <c r="G1054" i="9"/>
  <c r="F89" i="21"/>
  <c r="G284" i="9"/>
  <c r="M1311" i="12"/>
  <c r="G291" i="9"/>
  <c r="G298" i="9"/>
  <c r="G312" i="9"/>
  <c r="G277" i="9"/>
  <c r="G305" i="9"/>
  <c r="G1464" i="9"/>
  <c r="G1341" i="9"/>
  <c r="G1016" i="9"/>
  <c r="F40" i="21"/>
  <c r="G1053" i="9"/>
  <c r="F727" i="21"/>
  <c r="L727" i="21" s="1"/>
  <c r="G607" i="9" s="1"/>
  <c r="H607" i="9" s="1"/>
  <c r="G1005" i="9"/>
  <c r="F139" i="21"/>
  <c r="F628" i="21"/>
  <c r="N628" i="21" s="1"/>
  <c r="G599" i="9" s="1"/>
  <c r="H599" i="9" s="1"/>
  <c r="G1067" i="9"/>
  <c r="F1069" i="21"/>
  <c r="M475" i="12"/>
  <c r="M513" i="12"/>
  <c r="G1347" i="9"/>
  <c r="G1371" i="9"/>
  <c r="M646" i="12"/>
  <c r="G1404" i="9"/>
  <c r="M893" i="12"/>
  <c r="H1410" i="9"/>
  <c r="M1410" i="9"/>
  <c r="M994" i="9"/>
  <c r="H994" i="9"/>
  <c r="N994" i="9" s="1"/>
  <c r="M1275" i="9"/>
  <c r="H1275" i="9"/>
  <c r="H1329" i="9"/>
  <c r="M1329" i="9"/>
  <c r="H940" i="9"/>
  <c r="M940" i="9"/>
  <c r="H907" i="9"/>
  <c r="M907" i="9"/>
  <c r="V84" i="23"/>
  <c r="P92" i="23"/>
  <c r="H952" i="9"/>
  <c r="M952" i="9"/>
  <c r="M1398" i="9"/>
  <c r="H1398" i="9"/>
  <c r="G245" i="4"/>
  <c r="M245" i="4" s="1"/>
  <c r="L245" i="4"/>
  <c r="H1353" i="9"/>
  <c r="M1353" i="9"/>
  <c r="L972" i="21"/>
  <c r="G623" i="9" s="1"/>
  <c r="H623" i="9" s="1"/>
  <c r="F978" i="21"/>
  <c r="F586" i="21"/>
  <c r="L580" i="21"/>
  <c r="F537" i="21"/>
  <c r="F1027" i="21"/>
  <c r="M991" i="9"/>
  <c r="H991" i="9"/>
  <c r="N991" i="9" s="1"/>
  <c r="H979" i="9"/>
  <c r="N979" i="9" s="1"/>
  <c r="M979" i="9"/>
  <c r="M1026" i="12"/>
  <c r="G1422" i="9"/>
  <c r="G1446" i="9"/>
  <c r="M1178" i="12"/>
  <c r="M1406" i="12"/>
  <c r="G1481" i="9"/>
  <c r="G1302" i="9"/>
  <c r="M228" i="12"/>
  <c r="H1027" i="9"/>
  <c r="H1668" i="9"/>
  <c r="M1668" i="9"/>
  <c r="M840" i="9"/>
  <c r="H840" i="9"/>
  <c r="N840" i="9" s="1"/>
  <c r="H1667" i="9"/>
  <c r="M1667" i="9"/>
  <c r="H1431" i="9"/>
  <c r="M1431" i="9"/>
  <c r="K763" i="9"/>
  <c r="K776" i="9"/>
  <c r="AP9" i="22"/>
  <c r="AS9" i="22" s="1"/>
  <c r="H713" i="9"/>
  <c r="M713" i="9"/>
  <c r="D180" i="23"/>
  <c r="D301" i="23"/>
  <c r="D182" i="23"/>
  <c r="D299" i="23"/>
  <c r="H1323" i="9"/>
  <c r="M1323" i="9"/>
  <c r="F929" i="21"/>
  <c r="H869" i="9"/>
  <c r="N869" i="9" s="1"/>
  <c r="M869" i="9"/>
  <c r="H1419" i="9"/>
  <c r="M1419" i="9"/>
  <c r="M980" i="9"/>
  <c r="H980" i="9"/>
  <c r="N980" i="9" s="1"/>
  <c r="H1514" i="9"/>
  <c r="M1514" i="9"/>
  <c r="H879" i="9"/>
  <c r="N879" i="9" s="1"/>
  <c r="M879" i="9"/>
  <c r="K2136" i="9"/>
  <c r="J392" i="4"/>
  <c r="L221" i="4"/>
  <c r="K221" i="4"/>
  <c r="M221" i="4" s="1"/>
  <c r="K58" i="4"/>
  <c r="I318" i="4"/>
  <c r="J54" i="4"/>
  <c r="K1711" i="9"/>
  <c r="L510" i="9"/>
  <c r="L511" i="9" s="1"/>
  <c r="J99" i="4"/>
  <c r="K99" i="4" s="1"/>
  <c r="M285" i="9"/>
  <c r="H285" i="9"/>
  <c r="N285" i="9" s="1"/>
  <c r="H313" i="9"/>
  <c r="N313" i="9" s="1"/>
  <c r="M313" i="9"/>
  <c r="M278" i="9"/>
  <c r="H278" i="9"/>
  <c r="N278" i="9" s="1"/>
  <c r="M292" i="9"/>
  <c r="H292" i="9"/>
  <c r="N292" i="9" s="1"/>
  <c r="G2233" i="9" l="1"/>
  <c r="G2224" i="9"/>
  <c r="H2224" i="9" s="1"/>
  <c r="G438" i="9"/>
  <c r="M1368" i="12"/>
  <c r="H99" i="4"/>
  <c r="I99" i="4" s="1"/>
  <c r="J510" i="9"/>
  <c r="J511" i="9" s="1"/>
  <c r="N872" i="21"/>
  <c r="N185" i="21"/>
  <c r="N1018" i="21"/>
  <c r="N993" i="9"/>
  <c r="J531" i="21"/>
  <c r="L531" i="21" s="1"/>
  <c r="L537" i="21" s="1"/>
  <c r="J533" i="21"/>
  <c r="L533" i="21" s="1"/>
  <c r="I592" i="9" s="1"/>
  <c r="J535" i="21"/>
  <c r="L535" i="21" s="1"/>
  <c r="K592" i="9" s="1"/>
  <c r="M722" i="12"/>
  <c r="G1026" i="9"/>
  <c r="H1026" i="9" s="1"/>
  <c r="G1377" i="9"/>
  <c r="J91" i="21"/>
  <c r="N91" i="21" s="1"/>
  <c r="I568" i="9" s="1"/>
  <c r="J568" i="9" s="1"/>
  <c r="J569" i="9" s="1"/>
  <c r="H113" i="4" s="1"/>
  <c r="I113" i="4" s="1"/>
  <c r="J93" i="21"/>
  <c r="L93" i="21" s="1"/>
  <c r="K568" i="9" s="1"/>
  <c r="L568" i="9" s="1"/>
  <c r="L569" i="9" s="1"/>
  <c r="J113" i="4" s="1"/>
  <c r="K113" i="4" s="1"/>
  <c r="J89" i="21"/>
  <c r="N89" i="21" s="1"/>
  <c r="H2233" i="9"/>
  <c r="M2233" i="9"/>
  <c r="L610" i="9"/>
  <c r="K611" i="9"/>
  <c r="L1546" i="9"/>
  <c r="N1546" i="9" s="1"/>
  <c r="M1546" i="9"/>
  <c r="O1281" i="9"/>
  <c r="A78" i="12"/>
  <c r="J610" i="9"/>
  <c r="I611" i="9"/>
  <c r="J611" i="9" s="1"/>
  <c r="J598" i="9"/>
  <c r="I599" i="9"/>
  <c r="J599" i="9" s="1"/>
  <c r="G754" i="9"/>
  <c r="H754" i="9" s="1"/>
  <c r="G759" i="9"/>
  <c r="L1618" i="9"/>
  <c r="M1618" i="9"/>
  <c r="AG219" i="23"/>
  <c r="AJ219" i="23" s="1"/>
  <c r="AC233" i="23" s="1"/>
  <c r="AG220" i="23"/>
  <c r="AJ220" i="23" s="1"/>
  <c r="AC235" i="23" s="1"/>
  <c r="AG218" i="23"/>
  <c r="H1389" i="9"/>
  <c r="N1389" i="9" s="1"/>
  <c r="N1390" i="9" s="1"/>
  <c r="G537" i="9"/>
  <c r="P235" i="23"/>
  <c r="G769" i="9"/>
  <c r="L89" i="21"/>
  <c r="G1999" i="9"/>
  <c r="H1961" i="9"/>
  <c r="N1961" i="9" s="1"/>
  <c r="N1967" i="9" s="1"/>
  <c r="H184" i="23"/>
  <c r="J384" i="21"/>
  <c r="L384" i="21" s="1"/>
  <c r="G583" i="9" s="1"/>
  <c r="J1069" i="21"/>
  <c r="J188" i="21"/>
  <c r="N981" i="9"/>
  <c r="M1911" i="9"/>
  <c r="M2224" i="9"/>
  <c r="J178" i="23"/>
  <c r="H2239" i="9"/>
  <c r="F396" i="4" s="1"/>
  <c r="G396" i="4" s="1"/>
  <c r="G2242" i="9"/>
  <c r="AG76" i="23"/>
  <c r="AJ76" i="23" s="1"/>
  <c r="AC91" i="23" s="1"/>
  <c r="AG75" i="23"/>
  <c r="AJ75" i="23" s="1"/>
  <c r="AC89" i="23" s="1"/>
  <c r="AG74" i="23"/>
  <c r="I623" i="9"/>
  <c r="J623" i="9" s="1"/>
  <c r="J624" i="9" s="1"/>
  <c r="H129" i="4" s="1"/>
  <c r="I129" i="4" s="1"/>
  <c r="M1624" i="9"/>
  <c r="L1624" i="9"/>
  <c r="M1558" i="9"/>
  <c r="L1558" i="9"/>
  <c r="G1475" i="9"/>
  <c r="L188" i="21"/>
  <c r="C1218" i="11"/>
  <c r="C1219" i="11" s="1"/>
  <c r="G1219" i="11" s="1"/>
  <c r="M209" i="12"/>
  <c r="G839" i="9"/>
  <c r="H921" i="9"/>
  <c r="N921" i="9" s="1"/>
  <c r="G404" i="9"/>
  <c r="L1069" i="21"/>
  <c r="M246" i="4"/>
  <c r="G1299" i="9"/>
  <c r="M1299" i="9" s="1"/>
  <c r="C588" i="11"/>
  <c r="C589" i="11" s="1"/>
  <c r="G589" i="11" s="1"/>
  <c r="G813" i="9"/>
  <c r="C1253" i="11"/>
  <c r="C1254" i="11" s="1"/>
  <c r="G1254" i="11" s="1"/>
  <c r="G481" i="11"/>
  <c r="I522" i="9" s="1"/>
  <c r="J522" i="9" s="1"/>
  <c r="J523" i="9" s="1"/>
  <c r="H103" i="4" s="1"/>
  <c r="I103" i="4" s="1"/>
  <c r="N1857" i="9"/>
  <c r="J173" i="4"/>
  <c r="K173" i="4" s="1"/>
  <c r="H1401" i="9"/>
  <c r="L335" i="21"/>
  <c r="L341" i="21" s="1"/>
  <c r="M1891" i="9"/>
  <c r="J297" i="23"/>
  <c r="N1096" i="9"/>
  <c r="I2049" i="9"/>
  <c r="J2049" i="9" s="1"/>
  <c r="M2216" i="9"/>
  <c r="G2215" i="9"/>
  <c r="L598" i="9"/>
  <c r="K599" i="9"/>
  <c r="I615" i="9"/>
  <c r="J615" i="9" s="1"/>
  <c r="J616" i="9" s="1"/>
  <c r="H127" i="4" s="1"/>
  <c r="I127" i="4" s="1"/>
  <c r="J606" i="9"/>
  <c r="I607" i="9"/>
  <c r="J607" i="9" s="1"/>
  <c r="J152" i="4"/>
  <c r="K152" i="4" s="1"/>
  <c r="K770" i="9"/>
  <c r="L770" i="9" s="1"/>
  <c r="L1552" i="9"/>
  <c r="N1552" i="9" s="1"/>
  <c r="M1552" i="9"/>
  <c r="G427" i="9"/>
  <c r="L139" i="21"/>
  <c r="D68" i="23"/>
  <c r="L246" i="4"/>
  <c r="C98" i="11"/>
  <c r="C99" i="11" s="1"/>
  <c r="G99" i="11" s="1"/>
  <c r="G781" i="9"/>
  <c r="C518" i="11"/>
  <c r="C519" i="11" s="1"/>
  <c r="G519" i="11" s="1"/>
  <c r="K520" i="11" s="1"/>
  <c r="AJ74" i="23"/>
  <c r="AC87" i="23" s="1"/>
  <c r="AJ92" i="23" s="1"/>
  <c r="G194" i="4"/>
  <c r="M194" i="4" s="1"/>
  <c r="M981" i="9"/>
  <c r="M182" i="4"/>
  <c r="M1096" i="9"/>
  <c r="K765" i="11"/>
  <c r="A251" i="11"/>
  <c r="O507" i="9"/>
  <c r="G446" i="11"/>
  <c r="I519" i="9" s="1"/>
  <c r="J519" i="9" s="1"/>
  <c r="J520" i="9" s="1"/>
  <c r="H102" i="4" s="1"/>
  <c r="I102" i="4" s="1"/>
  <c r="G341" i="11"/>
  <c r="M1576" i="9"/>
  <c r="L1576" i="9"/>
  <c r="M1570" i="9"/>
  <c r="L1570" i="9"/>
  <c r="N1570" i="9" s="1"/>
  <c r="M2225" i="9"/>
  <c r="M1564" i="9"/>
  <c r="L1564" i="9"/>
  <c r="N1564" i="9" s="1"/>
  <c r="L1586" i="9"/>
  <c r="J313" i="4" s="1"/>
  <c r="K313" i="4" s="1"/>
  <c r="N1582" i="9"/>
  <c r="L765" i="9"/>
  <c r="N765" i="9" s="1"/>
  <c r="M765" i="9"/>
  <c r="M745" i="9"/>
  <c r="J754" i="9"/>
  <c r="M754" i="9"/>
  <c r="J808" i="9"/>
  <c r="H159" i="4" s="1"/>
  <c r="I159" i="4" s="1"/>
  <c r="M995" i="9"/>
  <c r="L377" i="4"/>
  <c r="N1265" i="9"/>
  <c r="N1248" i="9"/>
  <c r="N1249" i="9" s="1"/>
  <c r="L1249" i="9"/>
  <c r="J212" i="4" s="1"/>
  <c r="L1266" i="9"/>
  <c r="N1266" i="9" s="1"/>
  <c r="M1266" i="9"/>
  <c r="N933" i="9"/>
  <c r="N106" i="9"/>
  <c r="H90" i="9"/>
  <c r="F17" i="4" s="1"/>
  <c r="G17" i="4" s="1"/>
  <c r="K695" i="11"/>
  <c r="V187" i="23"/>
  <c r="L247" i="9"/>
  <c r="M247" i="9"/>
  <c r="I231" i="9"/>
  <c r="J231" i="9" s="1"/>
  <c r="N231" i="9" s="1"/>
  <c r="G1711" i="9"/>
  <c r="H1711" i="9" s="1"/>
  <c r="M1061" i="9"/>
  <c r="H1764" i="9"/>
  <c r="N1764" i="9" s="1"/>
  <c r="G1768" i="9"/>
  <c r="H1768" i="9" s="1"/>
  <c r="G901" i="11"/>
  <c r="K905" i="11" s="1"/>
  <c r="M538" i="9"/>
  <c r="F182" i="23"/>
  <c r="F184" i="23" s="1"/>
  <c r="J982" i="9"/>
  <c r="H177" i="4" s="1"/>
  <c r="I177" i="4" s="1"/>
  <c r="M1027" i="9"/>
  <c r="K170" i="11"/>
  <c r="K135" i="11"/>
  <c r="M495" i="9"/>
  <c r="M1656" i="9"/>
  <c r="H97" i="4"/>
  <c r="I97" i="4" s="1"/>
  <c r="G1825" i="9"/>
  <c r="H1825" i="9" s="1"/>
  <c r="F301" i="23"/>
  <c r="F303" i="23" s="1"/>
  <c r="H783" i="9"/>
  <c r="N783" i="9" s="1"/>
  <c r="J393" i="4"/>
  <c r="K393" i="4" s="1"/>
  <c r="M393" i="4" s="1"/>
  <c r="H449" i="9"/>
  <c r="F80" i="4" s="1"/>
  <c r="G80" i="4" s="1"/>
  <c r="M80" i="4" s="1"/>
  <c r="J834" i="9"/>
  <c r="H162" i="4" s="1"/>
  <c r="I162" i="4" s="1"/>
  <c r="H1921" i="9"/>
  <c r="N1921" i="9" s="1"/>
  <c r="I712" i="9"/>
  <c r="J712" i="9" s="1"/>
  <c r="N1027" i="9"/>
  <c r="J1789" i="9"/>
  <c r="H341" i="4" s="1"/>
  <c r="I341" i="4" s="1"/>
  <c r="M1650" i="9"/>
  <c r="J745" i="9"/>
  <c r="N745" i="9" s="1"/>
  <c r="G1749" i="9"/>
  <c r="H1749" i="9" s="1"/>
  <c r="F299" i="23"/>
  <c r="N1662" i="9"/>
  <c r="N1664" i="9" s="1"/>
  <c r="H1931" i="9"/>
  <c r="N1931" i="9" s="1"/>
  <c r="N1937" i="9" s="1"/>
  <c r="J660" i="9"/>
  <c r="H136" i="4" s="1"/>
  <c r="I136" i="4" s="1"/>
  <c r="J880" i="9"/>
  <c r="H167" i="4" s="1"/>
  <c r="I167" i="4" s="1"/>
  <c r="H382" i="4"/>
  <c r="I382" i="4" s="1"/>
  <c r="M363" i="9"/>
  <c r="J958" i="9"/>
  <c r="H175" i="4" s="1"/>
  <c r="I175" i="4" s="1"/>
  <c r="N1668" i="9"/>
  <c r="H1047" i="9"/>
  <c r="N1047" i="9" s="1"/>
  <c r="M1692" i="9"/>
  <c r="J2116" i="9"/>
  <c r="H375" i="4" s="1"/>
  <c r="I375" i="4" s="1"/>
  <c r="N239" i="9"/>
  <c r="L114" i="9"/>
  <c r="J20" i="4" s="1"/>
  <c r="K20" i="4" s="1"/>
  <c r="R189" i="23"/>
  <c r="N122" i="9"/>
  <c r="M1901" i="9"/>
  <c r="L773" i="9"/>
  <c r="N773" i="9" s="1"/>
  <c r="I1999" i="9"/>
  <c r="J1999" i="9" s="1"/>
  <c r="J2006" i="9" s="1"/>
  <c r="H364" i="4" s="1"/>
  <c r="I364" i="4" s="1"/>
  <c r="H1831" i="9"/>
  <c r="N1831" i="9" s="1"/>
  <c r="J852" i="9"/>
  <c r="H164" i="4" s="1"/>
  <c r="I164" i="4" s="1"/>
  <c r="H384" i="4"/>
  <c r="I384" i="4" s="1"/>
  <c r="M428" i="9"/>
  <c r="J644" i="9"/>
  <c r="H134" i="4" s="1"/>
  <c r="I134" i="4" s="1"/>
  <c r="N945" i="9"/>
  <c r="J946" i="9"/>
  <c r="H174" i="4" s="1"/>
  <c r="I174" i="4" s="1"/>
  <c r="N1650" i="9"/>
  <c r="N1652" i="9" s="1"/>
  <c r="M1284" i="9"/>
  <c r="H433" i="9"/>
  <c r="G655" i="9" s="1"/>
  <c r="F55" i="4"/>
  <c r="G55" i="4" s="1"/>
  <c r="G1787" i="9"/>
  <c r="H1787" i="9" s="1"/>
  <c r="G1806" i="9"/>
  <c r="H1806" i="9" s="1"/>
  <c r="M1662" i="9"/>
  <c r="I2063" i="9"/>
  <c r="J2063" i="9" s="1"/>
  <c r="H306" i="4"/>
  <c r="I306" i="4" s="1"/>
  <c r="H1967" i="9"/>
  <c r="F359" i="4" s="1"/>
  <c r="G359" i="4" s="1"/>
  <c r="M359" i="4" s="1"/>
  <c r="J996" i="9"/>
  <c r="H178" i="4" s="1"/>
  <c r="I178" i="4" s="1"/>
  <c r="J636" i="9"/>
  <c r="H133" i="4" s="1"/>
  <c r="I133" i="4" s="1"/>
  <c r="J2032" i="9"/>
  <c r="H366" i="4" s="1"/>
  <c r="I366" i="4" s="1"/>
  <c r="K450" i="11"/>
  <c r="V92" i="23"/>
  <c r="L1075" i="21"/>
  <c r="V86" i="23"/>
  <c r="N1692" i="9"/>
  <c r="K30" i="11"/>
  <c r="M1109" i="9"/>
  <c r="M351" i="9"/>
  <c r="H1941" i="9"/>
  <c r="N1941" i="9" s="1"/>
  <c r="I703" i="9"/>
  <c r="J703" i="9" s="1"/>
  <c r="I721" i="9"/>
  <c r="J721" i="9" s="1"/>
  <c r="H7" i="4"/>
  <c r="I7" i="4" s="1"/>
  <c r="N1093" i="9"/>
  <c r="J1097" i="9"/>
  <c r="H187" i="4" s="1"/>
  <c r="I187" i="4" s="1"/>
  <c r="N1079" i="9"/>
  <c r="J1083" i="9"/>
  <c r="H186" i="4" s="1"/>
  <c r="I186" i="4" s="1"/>
  <c r="M1075" i="9"/>
  <c r="H1075" i="9"/>
  <c r="H1089" i="9"/>
  <c r="M1089" i="9"/>
  <c r="H1080" i="9"/>
  <c r="N1080" i="9" s="1"/>
  <c r="M1080" i="9"/>
  <c r="M1094" i="9"/>
  <c r="H1094" i="9"/>
  <c r="N1094" i="9" s="1"/>
  <c r="H184" i="4"/>
  <c r="I184" i="4" s="1"/>
  <c r="J2239" i="9"/>
  <c r="H396" i="4" s="1"/>
  <c r="N2233" i="9"/>
  <c r="N2239" i="9" s="1"/>
  <c r="J2221" i="9"/>
  <c r="H394" i="4" s="1"/>
  <c r="I394" i="4" s="1"/>
  <c r="J2230" i="9"/>
  <c r="H395" i="4" s="1"/>
  <c r="I395" i="4" s="1"/>
  <c r="N2224" i="9"/>
  <c r="J2248" i="9"/>
  <c r="H397" i="4" s="1"/>
  <c r="I397" i="4" s="1"/>
  <c r="P41" i="9"/>
  <c r="P48" i="9" s="1"/>
  <c r="N944" i="9"/>
  <c r="N833" i="9"/>
  <c r="L1261" i="9"/>
  <c r="N1261" i="9" s="1"/>
  <c r="K1262" i="9" s="1"/>
  <c r="N1259" i="9"/>
  <c r="N2223" i="9"/>
  <c r="H2230" i="9"/>
  <c r="F395" i="4" s="1"/>
  <c r="N2241" i="9"/>
  <c r="M993" i="9"/>
  <c r="H642" i="9"/>
  <c r="N642" i="9" s="1"/>
  <c r="M642" i="9"/>
  <c r="L1052" i="9"/>
  <c r="M1052" i="9"/>
  <c r="H674" i="9"/>
  <c r="N674" i="9" s="1"/>
  <c r="M674" i="9"/>
  <c r="H683" i="9"/>
  <c r="N683" i="9" s="1"/>
  <c r="M683" i="9"/>
  <c r="I224" i="9"/>
  <c r="H34" i="4"/>
  <c r="I34" i="4" s="1"/>
  <c r="I214" i="9"/>
  <c r="H453" i="9"/>
  <c r="F81" i="4" s="1"/>
  <c r="N452" i="9"/>
  <c r="N453" i="9" s="1"/>
  <c r="J2019" i="9"/>
  <c r="H365" i="4" s="1"/>
  <c r="I365" i="4" s="1"/>
  <c r="H212" i="9"/>
  <c r="G229" i="9" s="1"/>
  <c r="H1857" i="9"/>
  <c r="F348" i="4" s="1"/>
  <c r="L348" i="4" s="1"/>
  <c r="L19" i="4"/>
  <c r="J652" i="9"/>
  <c r="H135" i="4" s="1"/>
  <c r="I135" i="4" s="1"/>
  <c r="J676" i="9"/>
  <c r="H138" i="4" s="1"/>
  <c r="I138" i="4" s="1"/>
  <c r="M933" i="9"/>
  <c r="M1029" i="9"/>
  <c r="M945" i="9"/>
  <c r="L182" i="4"/>
  <c r="N114" i="9"/>
  <c r="J685" i="9"/>
  <c r="H139" i="4" s="1"/>
  <c r="I139" i="4" s="1"/>
  <c r="J668" i="9"/>
  <c r="H137" i="4" s="1"/>
  <c r="I137" i="4" s="1"/>
  <c r="G21" i="4"/>
  <c r="M21" i="4" s="1"/>
  <c r="L21" i="4"/>
  <c r="L2192" i="9"/>
  <c r="N2190" i="9"/>
  <c r="N1643" i="9"/>
  <c r="N1646" i="9" s="1"/>
  <c r="H1646" i="9"/>
  <c r="F323" i="4" s="1"/>
  <c r="H2185" i="9"/>
  <c r="N2182" i="9"/>
  <c r="N2185" i="9" s="1"/>
  <c r="H1530" i="9"/>
  <c r="N1530" i="9" s="1"/>
  <c r="M1530" i="9"/>
  <c r="G1533" i="9"/>
  <c r="N1252" i="9"/>
  <c r="L1254" i="9"/>
  <c r="N1254" i="9" s="1"/>
  <c r="K1255" i="9" s="1"/>
  <c r="H196" i="9"/>
  <c r="M196" i="9"/>
  <c r="H957" i="9"/>
  <c r="N957" i="9" s="1"/>
  <c r="M957" i="9"/>
  <c r="M969" i="9"/>
  <c r="H969" i="9"/>
  <c r="N969" i="9" s="1"/>
  <c r="H1017" i="9"/>
  <c r="N1017" i="9" s="1"/>
  <c r="M1017" i="9"/>
  <c r="H1006" i="9"/>
  <c r="N1006" i="9" s="1"/>
  <c r="M1006" i="9"/>
  <c r="N212" i="9"/>
  <c r="J301" i="23"/>
  <c r="J303" i="23" s="1"/>
  <c r="L1315" i="9"/>
  <c r="J232" i="4" s="1"/>
  <c r="N1314" i="9"/>
  <c r="N1315" i="9" s="1"/>
  <c r="L340" i="9"/>
  <c r="N338" i="9"/>
  <c r="N340" i="9" s="1"/>
  <c r="N362" i="9"/>
  <c r="L364" i="9"/>
  <c r="J59" i="4" s="1"/>
  <c r="K59" i="4" s="1"/>
  <c r="N368" i="9"/>
  <c r="L370" i="9"/>
  <c r="J60" i="4" s="1"/>
  <c r="K60" i="4" s="1"/>
  <c r="L352" i="9"/>
  <c r="J57" i="4" s="1"/>
  <c r="K57" i="4" s="1"/>
  <c r="N350" i="9"/>
  <c r="L346" i="9"/>
  <c r="J56" i="4" s="1"/>
  <c r="K56" i="4" s="1"/>
  <c r="N344" i="9"/>
  <c r="G1395" i="9"/>
  <c r="M836" i="12"/>
  <c r="G1293" i="9"/>
  <c r="G821" i="9"/>
  <c r="G876" i="9"/>
  <c r="G848" i="9"/>
  <c r="M171" i="12"/>
  <c r="M19" i="12"/>
  <c r="G1272" i="9"/>
  <c r="H931" i="9"/>
  <c r="N931" i="9" s="1"/>
  <c r="M931" i="9"/>
  <c r="H1425" i="9"/>
  <c r="M1425" i="9"/>
  <c r="H911" i="9"/>
  <c r="N911" i="9" s="1"/>
  <c r="M911" i="9"/>
  <c r="H861" i="9"/>
  <c r="N861" i="9" s="1"/>
  <c r="M861" i="9"/>
  <c r="H1499" i="9"/>
  <c r="M1499" i="9"/>
  <c r="H1674" i="9"/>
  <c r="N1674" i="9" s="1"/>
  <c r="M1674" i="9"/>
  <c r="H899" i="9"/>
  <c r="N899" i="9" s="1"/>
  <c r="M899" i="9"/>
  <c r="M1437" i="9"/>
  <c r="H1437" i="9"/>
  <c r="H841" i="9"/>
  <c r="N841" i="9" s="1"/>
  <c r="M841" i="9"/>
  <c r="H932" i="9"/>
  <c r="N932" i="9" s="1"/>
  <c r="M932" i="9"/>
  <c r="H1511" i="9"/>
  <c r="M1511" i="9"/>
  <c r="M898" i="9"/>
  <c r="H898" i="9"/>
  <c r="N898" i="9" s="1"/>
  <c r="M1679" i="9"/>
  <c r="H1679" i="9"/>
  <c r="N1679" i="9" s="1"/>
  <c r="N995" i="9"/>
  <c r="N1278" i="9"/>
  <c r="N1279" i="9" s="1"/>
  <c r="L1279" i="9"/>
  <c r="J220" i="4" s="1"/>
  <c r="N1029" i="9"/>
  <c r="J1030" i="9"/>
  <c r="H181" i="4" s="1"/>
  <c r="I181" i="4" s="1"/>
  <c r="H2199" i="9"/>
  <c r="N2198" i="9"/>
  <c r="N2199" i="9" s="1"/>
  <c r="J1375" i="9"/>
  <c r="H252" i="4" s="1"/>
  <c r="N1374" i="9"/>
  <c r="N1375" i="9" s="1"/>
  <c r="H364" i="9"/>
  <c r="F59" i="4" s="1"/>
  <c r="N363" i="9"/>
  <c r="N364" i="9" s="1"/>
  <c r="N1891" i="9"/>
  <c r="N1897" i="9" s="1"/>
  <c r="H1897" i="9"/>
  <c r="F352" i="4" s="1"/>
  <c r="G352" i="4" s="1"/>
  <c r="H346" i="9"/>
  <c r="F56" i="4" s="1"/>
  <c r="N345" i="9"/>
  <c r="N346" i="9" s="1"/>
  <c r="L90" i="9"/>
  <c r="J17" i="4" s="1"/>
  <c r="N87" i="9"/>
  <c r="N90" i="9" s="1"/>
  <c r="L81" i="9"/>
  <c r="J16" i="4" s="1"/>
  <c r="K16" i="4" s="1"/>
  <c r="N78" i="9"/>
  <c r="N81" i="9" s="1"/>
  <c r="N351" i="9"/>
  <c r="H352" i="9"/>
  <c r="F57" i="4" s="1"/>
  <c r="L98" i="9"/>
  <c r="J18" i="4" s="1"/>
  <c r="K18" i="4" s="1"/>
  <c r="N96" i="9"/>
  <c r="N98" i="9" s="1"/>
  <c r="N398" i="9"/>
  <c r="N399" i="9" s="1"/>
  <c r="H399" i="9"/>
  <c r="F71" i="4" s="1"/>
  <c r="N246" i="9"/>
  <c r="J1294" i="9"/>
  <c r="H225" i="4" s="1"/>
  <c r="M1672" i="12"/>
  <c r="G1521" i="9"/>
  <c r="V181" i="23"/>
  <c r="P189" i="23"/>
  <c r="J121" i="4"/>
  <c r="K121" i="4" s="1"/>
  <c r="L592" i="9"/>
  <c r="L593" i="9" s="1"/>
  <c r="C1289" i="11"/>
  <c r="C1290" i="11" s="1"/>
  <c r="G1290" i="11" s="1"/>
  <c r="D90" i="23"/>
  <c r="I90" i="23" s="1"/>
  <c r="M798" i="12"/>
  <c r="G1392" i="9"/>
  <c r="I468" i="9"/>
  <c r="J468" i="9" s="1"/>
  <c r="J469" i="9" s="1"/>
  <c r="H86" i="4" s="1"/>
  <c r="I86" i="4" s="1"/>
  <c r="I471" i="9"/>
  <c r="J471" i="9" s="1"/>
  <c r="J925" i="21"/>
  <c r="L925" i="21" s="1"/>
  <c r="J923" i="21"/>
  <c r="L923" i="21" s="1"/>
  <c r="G619" i="9" s="1"/>
  <c r="H619" i="9" s="1"/>
  <c r="J927" i="21"/>
  <c r="L927" i="21" s="1"/>
  <c r="AG123" i="23"/>
  <c r="AJ123" i="23" s="1"/>
  <c r="AC137" i="23" s="1"/>
  <c r="AG122" i="23"/>
  <c r="AG124" i="23"/>
  <c r="AJ124" i="23" s="1"/>
  <c r="AC139" i="23" s="1"/>
  <c r="L383" i="4"/>
  <c r="G383" i="4"/>
  <c r="M383" i="4" s="1"/>
  <c r="G288" i="4"/>
  <c r="M288" i="4" s="1"/>
  <c r="L288" i="4"/>
  <c r="M1013" i="9"/>
  <c r="H1013" i="9"/>
  <c r="N1013" i="9" s="1"/>
  <c r="M780" i="9"/>
  <c r="H780" i="9"/>
  <c r="N780" i="9" s="1"/>
  <c r="M768" i="9"/>
  <c r="H768" i="9"/>
  <c r="N768" i="9" s="1"/>
  <c r="K478" i="9"/>
  <c r="L478" i="9" s="1"/>
  <c r="K475" i="9"/>
  <c r="L475" i="9" s="1"/>
  <c r="L476" i="9" s="1"/>
  <c r="J88" i="4" s="1"/>
  <c r="I482" i="9"/>
  <c r="J482" i="9" s="1"/>
  <c r="J483" i="9" s="1"/>
  <c r="H90" i="4" s="1"/>
  <c r="I90" i="4" s="1"/>
  <c r="I485" i="9"/>
  <c r="J485" i="9" s="1"/>
  <c r="I408" i="9"/>
  <c r="K1080" i="11"/>
  <c r="I507" i="9"/>
  <c r="M507" i="9" s="1"/>
  <c r="K240" i="11"/>
  <c r="I547" i="9"/>
  <c r="J547" i="9" s="1"/>
  <c r="J551" i="9" s="1"/>
  <c r="H109" i="4" s="1"/>
  <c r="I109" i="4" s="1"/>
  <c r="K1185" i="11"/>
  <c r="H2025" i="9"/>
  <c r="N2025" i="9" s="1"/>
  <c r="M2025" i="9"/>
  <c r="N1284" i="9"/>
  <c r="N1285" i="9" s="1"/>
  <c r="H1285" i="9"/>
  <c r="F222" i="4" s="1"/>
  <c r="N1383" i="9"/>
  <c r="N1384" i="9" s="1"/>
  <c r="H1384" i="9"/>
  <c r="H1455" i="9"/>
  <c r="M1455" i="9"/>
  <c r="N1869" i="9"/>
  <c r="N1877" i="9" s="1"/>
  <c r="H1877" i="9"/>
  <c r="F350" i="4" s="1"/>
  <c r="N1819" i="9"/>
  <c r="N1743" i="9"/>
  <c r="H1957" i="9"/>
  <c r="F358" i="4" s="1"/>
  <c r="N1949" i="9"/>
  <c r="N1957" i="9" s="1"/>
  <c r="H1987" i="9"/>
  <c r="F362" i="4" s="1"/>
  <c r="G2016" i="9"/>
  <c r="G2003" i="9"/>
  <c r="G2071" i="9"/>
  <c r="F14" i="4"/>
  <c r="G2043" i="9"/>
  <c r="G2057" i="9"/>
  <c r="G2029" i="9"/>
  <c r="G647" i="9"/>
  <c r="L16" i="4"/>
  <c r="G16" i="4"/>
  <c r="M16" i="4" s="1"/>
  <c r="K522" i="9"/>
  <c r="L522" i="9" s="1"/>
  <c r="L523" i="9" s="1"/>
  <c r="J103" i="4" s="1"/>
  <c r="K103" i="4" s="1"/>
  <c r="L796" i="9"/>
  <c r="M796" i="9"/>
  <c r="H807" i="9"/>
  <c r="N807" i="9" s="1"/>
  <c r="M807" i="9"/>
  <c r="H800" i="9"/>
  <c r="M800" i="9"/>
  <c r="L63" i="9"/>
  <c r="N60" i="9"/>
  <c r="N63" i="9" s="1"/>
  <c r="J1509" i="9"/>
  <c r="H296" i="4" s="1"/>
  <c r="N1508" i="9"/>
  <c r="N1509" i="9" s="1"/>
  <c r="I295" i="4"/>
  <c r="M295" i="4" s="1"/>
  <c r="L295" i="4"/>
  <c r="J1450" i="9"/>
  <c r="H277" i="4" s="1"/>
  <c r="N1449" i="9"/>
  <c r="N1450" i="9" s="1"/>
  <c r="L1312" i="9"/>
  <c r="J231" i="4" s="1"/>
  <c r="N1311" i="9"/>
  <c r="N1312" i="9" s="1"/>
  <c r="N689" i="9"/>
  <c r="N690" i="9" s="1"/>
  <c r="L690" i="9"/>
  <c r="J140" i="4" s="1"/>
  <c r="K190" i="4"/>
  <c r="M190" i="4" s="1"/>
  <c r="L190" i="4"/>
  <c r="I189" i="9"/>
  <c r="I169" i="9"/>
  <c r="I149" i="9"/>
  <c r="I179" i="9"/>
  <c r="H23" i="4"/>
  <c r="I23" i="4" s="1"/>
  <c r="I159" i="9"/>
  <c r="H1999" i="9"/>
  <c r="N1999" i="9" s="1"/>
  <c r="G382" i="4"/>
  <c r="M382" i="4" s="1"/>
  <c r="J934" i="9"/>
  <c r="N930" i="9"/>
  <c r="J1007" i="9"/>
  <c r="H179" i="4" s="1"/>
  <c r="I179" i="4" s="1"/>
  <c r="N1003" i="9"/>
  <c r="N2143" i="9"/>
  <c r="H2144" i="9"/>
  <c r="F381" i="4" s="1"/>
  <c r="M136" i="9"/>
  <c r="H136" i="9"/>
  <c r="N136" i="9" s="1"/>
  <c r="N124" i="9"/>
  <c r="H126" i="9"/>
  <c r="N126" i="9" s="1"/>
  <c r="M126" i="9"/>
  <c r="H54" i="9"/>
  <c r="H19" i="9"/>
  <c r="F8" i="4" s="1"/>
  <c r="H9" i="9"/>
  <c r="I479" i="9"/>
  <c r="J479" i="9" s="1"/>
  <c r="I472" i="9"/>
  <c r="J472" i="9" s="1"/>
  <c r="I486" i="9"/>
  <c r="J486" i="9" s="1"/>
  <c r="I394" i="9"/>
  <c r="J394" i="9" s="1"/>
  <c r="J395" i="9" s="1"/>
  <c r="H70" i="4" s="1"/>
  <c r="I70" i="4" s="1"/>
  <c r="N1308" i="9"/>
  <c r="N1309" i="9" s="1"/>
  <c r="J1309" i="9"/>
  <c r="H230" i="4" s="1"/>
  <c r="L72" i="9"/>
  <c r="J15" i="4" s="1"/>
  <c r="N69" i="9"/>
  <c r="N72" i="9" s="1"/>
  <c r="I352" i="4"/>
  <c r="N1680" i="9"/>
  <c r="H1682" i="9"/>
  <c r="F329" i="4" s="1"/>
  <c r="N1440" i="9"/>
  <c r="N1441" i="9" s="1"/>
  <c r="H1441" i="9"/>
  <c r="F274" i="4" s="1"/>
  <c r="H1360" i="9"/>
  <c r="F247" i="4" s="1"/>
  <c r="N1359" i="9"/>
  <c r="N1360" i="9" s="1"/>
  <c r="H1417" i="9"/>
  <c r="F266" i="4" s="1"/>
  <c r="N1416" i="9"/>
  <c r="N1417" i="9" s="1"/>
  <c r="H358" i="9"/>
  <c r="F58" i="4" s="1"/>
  <c r="N357" i="9"/>
  <c r="N358" i="9" s="1"/>
  <c r="L1366" i="9"/>
  <c r="J249" i="4" s="1"/>
  <c r="N1365" i="9"/>
  <c r="N1366" i="9" s="1"/>
  <c r="N1839" i="9"/>
  <c r="N1847" i="9" s="1"/>
  <c r="H1847" i="9"/>
  <c r="F347" i="4" s="1"/>
  <c r="N1762" i="9"/>
  <c r="N1810" i="9"/>
  <c r="N1791" i="9"/>
  <c r="J154" i="9"/>
  <c r="I156" i="9"/>
  <c r="I146" i="9"/>
  <c r="J144" i="9"/>
  <c r="J184" i="9"/>
  <c r="I186" i="9"/>
  <c r="N692" i="9"/>
  <c r="K390" i="4"/>
  <c r="M1640" i="9"/>
  <c r="H1640" i="9"/>
  <c r="N1640" i="9" s="1"/>
  <c r="L191" i="4"/>
  <c r="K191" i="4"/>
  <c r="M191" i="4" s="1"/>
  <c r="N255" i="9"/>
  <c r="N257" i="9" s="1"/>
  <c r="J42" i="4"/>
  <c r="H547" i="9"/>
  <c r="M547" i="9"/>
  <c r="H1288" i="9"/>
  <c r="F223" i="4" s="1"/>
  <c r="K462" i="9"/>
  <c r="L462" i="9" s="1"/>
  <c r="L463" i="9" s="1"/>
  <c r="J84" i="4" s="1"/>
  <c r="K84" i="4" s="1"/>
  <c r="K65" i="11"/>
  <c r="H1613" i="9"/>
  <c r="M1613" i="9"/>
  <c r="H1607" i="9"/>
  <c r="M1607" i="9"/>
  <c r="K1010" i="11"/>
  <c r="K555" i="11"/>
  <c r="AJ122" i="23"/>
  <c r="AC135" i="23" s="1"/>
  <c r="M459" i="9"/>
  <c r="M739" i="9"/>
  <c r="M43" i="4"/>
  <c r="L292" i="21"/>
  <c r="G484" i="11"/>
  <c r="G522" i="9" s="1"/>
  <c r="G379" i="11"/>
  <c r="K468" i="9"/>
  <c r="L468" i="9" s="1"/>
  <c r="L469" i="9" s="1"/>
  <c r="J86" i="4" s="1"/>
  <c r="K86" i="4" s="1"/>
  <c r="K471" i="9"/>
  <c r="L471" i="9" s="1"/>
  <c r="K345" i="11"/>
  <c r="J677" i="21"/>
  <c r="N677" i="21" s="1"/>
  <c r="G603" i="9" s="1"/>
  <c r="H603" i="9" s="1"/>
  <c r="J679" i="21"/>
  <c r="N679" i="21" s="1"/>
  <c r="J681" i="21"/>
  <c r="L681" i="21" s="1"/>
  <c r="H2009" i="9"/>
  <c r="N2009" i="9" s="1"/>
  <c r="M2009" i="9"/>
  <c r="N421" i="9"/>
  <c r="N422" i="9" s="1"/>
  <c r="H422" i="9"/>
  <c r="F75" i="4" s="1"/>
  <c r="M1025" i="9"/>
  <c r="H1025" i="9"/>
  <c r="N1025" i="9" s="1"/>
  <c r="M1527" i="9"/>
  <c r="H1527" i="9"/>
  <c r="M929" i="9"/>
  <c r="H929" i="9"/>
  <c r="M897" i="9"/>
  <c r="H897" i="9"/>
  <c r="N897" i="9" s="1"/>
  <c r="M1002" i="9"/>
  <c r="H1002" i="9"/>
  <c r="N1002" i="9" s="1"/>
  <c r="M1458" i="9"/>
  <c r="H1458" i="9"/>
  <c r="N964" i="9"/>
  <c r="J970" i="9"/>
  <c r="H176" i="4" s="1"/>
  <c r="I176" i="4" s="1"/>
  <c r="H33" i="9"/>
  <c r="H26" i="9"/>
  <c r="H47" i="9"/>
  <c r="F12" i="4" s="1"/>
  <c r="H14" i="9"/>
  <c r="J592" i="9"/>
  <c r="J593" i="9" s="1"/>
  <c r="H121" i="4"/>
  <c r="I121" i="4" s="1"/>
  <c r="K482" i="9"/>
  <c r="L482" i="9" s="1"/>
  <c r="L483" i="9" s="1"/>
  <c r="J90" i="4" s="1"/>
  <c r="K90" i="4" s="1"/>
  <c r="K485" i="9"/>
  <c r="L485" i="9" s="1"/>
  <c r="M1287" i="9"/>
  <c r="J1287" i="9"/>
  <c r="J1288" i="9" s="1"/>
  <c r="H223" i="4" s="1"/>
  <c r="I223" i="4" s="1"/>
  <c r="J1713" i="9"/>
  <c r="H333" i="4" s="1"/>
  <c r="I333" i="4" s="1"/>
  <c r="J1722" i="9"/>
  <c r="H334" i="4" s="1"/>
  <c r="I334" i="4" s="1"/>
  <c r="G387" i="4"/>
  <c r="M387" i="4" s="1"/>
  <c r="L387" i="4"/>
  <c r="H1867" i="9"/>
  <c r="F349" i="4" s="1"/>
  <c r="N1859" i="9"/>
  <c r="N1867" i="9" s="1"/>
  <c r="N1879" i="9"/>
  <c r="N1887" i="9" s="1"/>
  <c r="H1887" i="9"/>
  <c r="F351" i="4" s="1"/>
  <c r="H1917" i="9"/>
  <c r="F354" i="4" s="1"/>
  <c r="N1909" i="9"/>
  <c r="N1917" i="9" s="1"/>
  <c r="N1753" i="9"/>
  <c r="J1491" i="9"/>
  <c r="H290" i="4" s="1"/>
  <c r="N1490" i="9"/>
  <c r="N1491" i="9" s="1"/>
  <c r="L40" i="4"/>
  <c r="G40" i="4"/>
  <c r="M40" i="4" s="1"/>
  <c r="G219" i="9"/>
  <c r="J2142" i="9"/>
  <c r="M2142" i="9"/>
  <c r="J221" i="9"/>
  <c r="N221" i="9" s="1"/>
  <c r="M221" i="9"/>
  <c r="G157" i="4"/>
  <c r="M157" i="4" s="1"/>
  <c r="L157" i="4"/>
  <c r="G657" i="9"/>
  <c r="F11" i="4"/>
  <c r="G673" i="9"/>
  <c r="G682" i="9"/>
  <c r="G641" i="9"/>
  <c r="G649" i="9"/>
  <c r="G633" i="9"/>
  <c r="G665" i="9"/>
  <c r="N1685" i="9"/>
  <c r="N1688" i="9" s="1"/>
  <c r="H1688" i="9"/>
  <c r="F330" i="4" s="1"/>
  <c r="H1305" i="9"/>
  <c r="M1305" i="9"/>
  <c r="G18" i="4"/>
  <c r="AG20" i="23"/>
  <c r="AB22" i="23" s="1"/>
  <c r="AI22" i="23" s="1"/>
  <c r="AB20" i="23"/>
  <c r="K498" i="9"/>
  <c r="L498" i="9" s="1"/>
  <c r="L499" i="9" s="1"/>
  <c r="J95" i="4" s="1"/>
  <c r="K95" i="4" s="1"/>
  <c r="G471" i="9"/>
  <c r="G468" i="9"/>
  <c r="J879" i="21"/>
  <c r="L879" i="21" s="1"/>
  <c r="J875" i="21"/>
  <c r="L875" i="21" s="1"/>
  <c r="J877" i="21"/>
  <c r="L877" i="21" s="1"/>
  <c r="J40" i="21"/>
  <c r="N40" i="21" s="1"/>
  <c r="G565" i="9" s="1"/>
  <c r="J42" i="21"/>
  <c r="N42" i="21" s="1"/>
  <c r="I565" i="9" s="1"/>
  <c r="J565" i="9" s="1"/>
  <c r="J566" i="9" s="1"/>
  <c r="H112" i="4" s="1"/>
  <c r="I112" i="4" s="1"/>
  <c r="J44" i="21"/>
  <c r="L44" i="21" s="1"/>
  <c r="K565" i="9" s="1"/>
  <c r="L565" i="9" s="1"/>
  <c r="L566" i="9" s="1"/>
  <c r="J435" i="21"/>
  <c r="L435" i="21" s="1"/>
  <c r="I586" i="9" s="1"/>
  <c r="J437" i="21"/>
  <c r="L437" i="21" s="1"/>
  <c r="K586" i="9" s="1"/>
  <c r="J433" i="21"/>
  <c r="L433" i="21" s="1"/>
  <c r="L385" i="4"/>
  <c r="G385" i="4"/>
  <c r="M385" i="4" s="1"/>
  <c r="M1996" i="9"/>
  <c r="H1996" i="9"/>
  <c r="N1996" i="9" s="1"/>
  <c r="AG164" i="23"/>
  <c r="AB166" i="23" s="1"/>
  <c r="AI166" i="23" s="1"/>
  <c r="AB164" i="23"/>
  <c r="G316" i="9"/>
  <c r="G1461" i="9"/>
  <c r="G323" i="9"/>
  <c r="M1292" i="12"/>
  <c r="C833" i="11"/>
  <c r="C834" i="11" s="1"/>
  <c r="G834" i="11" s="1"/>
  <c r="K835" i="11" s="1"/>
  <c r="G782" i="9"/>
  <c r="G1028" i="9"/>
  <c r="G41" i="4"/>
  <c r="F386" i="4"/>
  <c r="G2012" i="9"/>
  <c r="G2022" i="9"/>
  <c r="F384" i="4"/>
  <c r="N134" i="9"/>
  <c r="L47" i="22"/>
  <c r="D49" i="22"/>
  <c r="L49" i="22" s="1"/>
  <c r="K479" i="9"/>
  <c r="L479" i="9" s="1"/>
  <c r="K394" i="9"/>
  <c r="L394" i="9" s="1"/>
  <c r="L395" i="9" s="1"/>
  <c r="J70" i="4" s="1"/>
  <c r="K70" i="4" s="1"/>
  <c r="K486" i="9"/>
  <c r="L486" i="9" s="1"/>
  <c r="K472" i="9"/>
  <c r="L472" i="9" s="1"/>
  <c r="K1291" i="11"/>
  <c r="J1732" i="9"/>
  <c r="H335" i="4" s="1"/>
  <c r="I335" i="4" s="1"/>
  <c r="J1770" i="9"/>
  <c r="H339" i="4" s="1"/>
  <c r="I339" i="4" s="1"/>
  <c r="L580" i="9"/>
  <c r="L581" i="9" s="1"/>
  <c r="J117" i="4"/>
  <c r="K117" i="4" s="1"/>
  <c r="H460" i="9"/>
  <c r="F83" i="4" s="1"/>
  <c r="N459" i="9"/>
  <c r="N460" i="9" s="1"/>
  <c r="N1939" i="9"/>
  <c r="N1696" i="9"/>
  <c r="N1829" i="9"/>
  <c r="N1919" i="9"/>
  <c r="N1927" i="9" s="1"/>
  <c r="N1520" i="9"/>
  <c r="J1494" i="9"/>
  <c r="H291" i="4" s="1"/>
  <c r="N1493" i="9"/>
  <c r="N1494" i="9" s="1"/>
  <c r="G289" i="4"/>
  <c r="M289" i="4" s="1"/>
  <c r="L289" i="4"/>
  <c r="N1472" i="9"/>
  <c r="N1473" i="9" s="1"/>
  <c r="H1473" i="9"/>
  <c r="F284" i="4" s="1"/>
  <c r="N739" i="9"/>
  <c r="J164" i="9"/>
  <c r="I166" i="9"/>
  <c r="J174" i="9"/>
  <c r="I176" i="9"/>
  <c r="O649" i="9"/>
  <c r="O682" i="9"/>
  <c r="O665" i="9"/>
  <c r="B34" i="9"/>
  <c r="O657" i="9"/>
  <c r="O633" i="9"/>
  <c r="O641" i="9"/>
  <c r="O673" i="9"/>
  <c r="N1673" i="9"/>
  <c r="H1676" i="9"/>
  <c r="F328" i="4" s="1"/>
  <c r="H1402" i="9"/>
  <c r="F261" i="4" s="1"/>
  <c r="N1401" i="9"/>
  <c r="N1402" i="9" s="1"/>
  <c r="N1901" i="9"/>
  <c r="N1907" i="9" s="1"/>
  <c r="H1907" i="9"/>
  <c r="F353" i="4" s="1"/>
  <c r="L406" i="9"/>
  <c r="N403" i="9"/>
  <c r="N1774" i="9"/>
  <c r="N1109" i="9"/>
  <c r="N1110" i="9" s="1"/>
  <c r="L1110" i="9"/>
  <c r="J192" i="4" s="1"/>
  <c r="H541" i="9"/>
  <c r="M541" i="9"/>
  <c r="F98" i="4"/>
  <c r="H507" i="9"/>
  <c r="H528" i="9"/>
  <c r="M528" i="9"/>
  <c r="H462" i="9"/>
  <c r="H117" i="4"/>
  <c r="I117" i="4" s="1"/>
  <c r="J580" i="9"/>
  <c r="J581" i="9" s="1"/>
  <c r="H1625" i="9"/>
  <c r="M1625" i="9"/>
  <c r="H1619" i="9"/>
  <c r="M1619" i="9"/>
  <c r="G376" i="11"/>
  <c r="AJ26" i="23"/>
  <c r="AC40" i="23" s="1"/>
  <c r="K1150" i="11"/>
  <c r="K977" i="11"/>
  <c r="H1652" i="9"/>
  <c r="F324" i="4" s="1"/>
  <c r="H2138" i="9"/>
  <c r="F380" i="4" s="1"/>
  <c r="G380" i="4" s="1"/>
  <c r="L43" i="4"/>
  <c r="H1664" i="9"/>
  <c r="F326" i="4" s="1"/>
  <c r="G204" i="11"/>
  <c r="G498" i="9" s="1"/>
  <c r="K730" i="11"/>
  <c r="L1711" i="9"/>
  <c r="M1711" i="9"/>
  <c r="L2136" i="9"/>
  <c r="M2136" i="9"/>
  <c r="H1515" i="9"/>
  <c r="F298" i="4" s="1"/>
  <c r="N1514" i="9"/>
  <c r="N1515" i="9" s="1"/>
  <c r="H1420" i="9"/>
  <c r="F267" i="4" s="1"/>
  <c r="N1419" i="9"/>
  <c r="N1420" i="9" s="1"/>
  <c r="H1324" i="9"/>
  <c r="F235" i="4" s="1"/>
  <c r="N1323" i="9"/>
  <c r="N1324" i="9" s="1"/>
  <c r="H1390" i="9"/>
  <c r="N713" i="9"/>
  <c r="L776" i="9"/>
  <c r="M776" i="9"/>
  <c r="H1481" i="9"/>
  <c r="M1481" i="9"/>
  <c r="H1422" i="9"/>
  <c r="M1422" i="9"/>
  <c r="L586" i="21"/>
  <c r="G595" i="9"/>
  <c r="H1399" i="9"/>
  <c r="F260" i="4" s="1"/>
  <c r="N1398" i="9"/>
  <c r="N1399" i="9" s="1"/>
  <c r="H1276" i="9"/>
  <c r="F219" i="4" s="1"/>
  <c r="N1275" i="9"/>
  <c r="N1276" i="9" s="1"/>
  <c r="H1377" i="9"/>
  <c r="M1377" i="9"/>
  <c r="H1404" i="9"/>
  <c r="M1404" i="9"/>
  <c r="H1475" i="9"/>
  <c r="M1475" i="9"/>
  <c r="H427" i="9"/>
  <c r="M427" i="9"/>
  <c r="H537" i="9"/>
  <c r="M537" i="9"/>
  <c r="H438" i="9"/>
  <c r="M438" i="9"/>
  <c r="H1371" i="9"/>
  <c r="M1371" i="9"/>
  <c r="L634" i="21"/>
  <c r="H1005" i="9"/>
  <c r="N1005" i="9" s="1"/>
  <c r="M1005" i="9"/>
  <c r="H1053" i="9"/>
  <c r="N1053" i="9" s="1"/>
  <c r="M1053" i="9"/>
  <c r="H1016" i="9"/>
  <c r="N1016" i="9" s="1"/>
  <c r="M1016" i="9"/>
  <c r="H1464" i="9"/>
  <c r="M1464" i="9"/>
  <c r="H277" i="9"/>
  <c r="M277" i="9"/>
  <c r="H298" i="9"/>
  <c r="M298" i="9"/>
  <c r="L782" i="21"/>
  <c r="M1068" i="9"/>
  <c r="H1068" i="9"/>
  <c r="N1068" i="9" s="1"/>
  <c r="L831" i="21"/>
  <c r="H1338" i="9"/>
  <c r="M1338" i="9"/>
  <c r="H858" i="9"/>
  <c r="M858" i="9"/>
  <c r="H965" i="9"/>
  <c r="M965" i="9"/>
  <c r="H908" i="9"/>
  <c r="N908" i="9" s="1"/>
  <c r="M908" i="9"/>
  <c r="M977" i="9"/>
  <c r="H977" i="9"/>
  <c r="N977" i="9" s="1"/>
  <c r="H941" i="9"/>
  <c r="N941" i="9" s="1"/>
  <c r="M941" i="9"/>
  <c r="G195" i="4"/>
  <c r="M195" i="4" s="1"/>
  <c r="L195" i="4"/>
  <c r="H1502" i="9"/>
  <c r="M1502" i="9"/>
  <c r="H1407" i="9"/>
  <c r="M1407" i="9"/>
  <c r="H1413" i="9"/>
  <c r="M1413" i="9"/>
  <c r="H1601" i="9"/>
  <c r="M1601" i="9"/>
  <c r="K1159" i="9"/>
  <c r="K1243" i="9"/>
  <c r="K1166" i="9"/>
  <c r="K1222" i="9"/>
  <c r="K1208" i="9"/>
  <c r="K1236" i="9"/>
  <c r="K1173" i="9"/>
  <c r="K1180" i="9"/>
  <c r="K1145" i="9"/>
  <c r="K1194" i="9"/>
  <c r="K1152" i="9"/>
  <c r="K1229" i="9"/>
  <c r="K1201" i="9"/>
  <c r="K1138" i="9"/>
  <c r="K1187" i="9"/>
  <c r="K1215" i="9"/>
  <c r="H1595" i="9"/>
  <c r="M1595" i="9"/>
  <c r="H1296" i="9"/>
  <c r="M1296" i="9"/>
  <c r="H370" i="9"/>
  <c r="F60" i="4" s="1"/>
  <c r="N369" i="9"/>
  <c r="N370" i="9" s="1"/>
  <c r="H1470" i="9"/>
  <c r="F283" i="4" s="1"/>
  <c r="N1467" i="9"/>
  <c r="N1470" i="9" s="1"/>
  <c r="N722" i="9"/>
  <c r="N695" i="9"/>
  <c r="H1369" i="9"/>
  <c r="F250" i="4" s="1"/>
  <c r="N1368" i="9"/>
  <c r="N1369" i="9" s="1"/>
  <c r="G589" i="9"/>
  <c r="L488" i="21"/>
  <c r="G586" i="9"/>
  <c r="G193" i="4"/>
  <c r="L193" i="4"/>
  <c r="G485" i="9"/>
  <c r="K415" i="11"/>
  <c r="G482" i="9"/>
  <c r="G510" i="9"/>
  <c r="K310" i="11"/>
  <c r="G531" i="9"/>
  <c r="K590" i="11"/>
  <c r="G501" i="9"/>
  <c r="K275" i="11"/>
  <c r="H813" i="9"/>
  <c r="M813" i="9"/>
  <c r="G414" i="9"/>
  <c r="K1115" i="11"/>
  <c r="K1255" i="11"/>
  <c r="G559" i="9"/>
  <c r="H1051" i="9"/>
  <c r="M1051" i="9"/>
  <c r="H1443" i="9"/>
  <c r="M1443" i="9"/>
  <c r="H922" i="9"/>
  <c r="F172" i="4" s="1"/>
  <c r="K54" i="4"/>
  <c r="L54" i="4"/>
  <c r="K392" i="4"/>
  <c r="M392" i="4" s="1"/>
  <c r="L392" i="4"/>
  <c r="L763" i="9"/>
  <c r="M763" i="9"/>
  <c r="H1432" i="9"/>
  <c r="F271" i="4" s="1"/>
  <c r="N1431" i="9"/>
  <c r="N1432" i="9" s="1"/>
  <c r="N1667" i="9"/>
  <c r="N1670" i="9" s="1"/>
  <c r="H1670" i="9"/>
  <c r="F327" i="4" s="1"/>
  <c r="H519" i="9"/>
  <c r="M519" i="9"/>
  <c r="M504" i="9"/>
  <c r="H504" i="9"/>
  <c r="F97" i="4"/>
  <c r="H1302" i="9"/>
  <c r="M1302" i="9"/>
  <c r="H1446" i="9"/>
  <c r="M1446" i="9"/>
  <c r="L978" i="21"/>
  <c r="H1354" i="9"/>
  <c r="N1353" i="9"/>
  <c r="N1354" i="9" s="1"/>
  <c r="N952" i="9"/>
  <c r="N907" i="9"/>
  <c r="N940" i="9"/>
  <c r="H1330" i="9"/>
  <c r="F237" i="4" s="1"/>
  <c r="N1329" i="9"/>
  <c r="N1330" i="9" s="1"/>
  <c r="N1410" i="9"/>
  <c r="N1411" i="9" s="1"/>
  <c r="H1411" i="9"/>
  <c r="F264" i="4" s="1"/>
  <c r="M1026" i="9"/>
  <c r="H404" i="9"/>
  <c r="M404" i="9"/>
  <c r="H1347" i="9"/>
  <c r="M1347" i="9"/>
  <c r="H1067" i="9"/>
  <c r="N1067" i="9" s="1"/>
  <c r="M1067" i="9"/>
  <c r="G571" i="9"/>
  <c r="L145" i="21"/>
  <c r="L733" i="21"/>
  <c r="H1341" i="9"/>
  <c r="M1341" i="9"/>
  <c r="H305" i="9"/>
  <c r="M305" i="9"/>
  <c r="H312" i="9"/>
  <c r="M312" i="9"/>
  <c r="H291" i="9"/>
  <c r="M291" i="9"/>
  <c r="H284" i="9"/>
  <c r="M284" i="9"/>
  <c r="M1054" i="9"/>
  <c r="H1054" i="9"/>
  <c r="N1054" i="9" s="1"/>
  <c r="H1344" i="9"/>
  <c r="M1344" i="9"/>
  <c r="L243" i="21"/>
  <c r="G577" i="9"/>
  <c r="G574" i="9"/>
  <c r="H886" i="9"/>
  <c r="M886" i="9"/>
  <c r="H830" i="9"/>
  <c r="M830" i="9"/>
  <c r="H989" i="9"/>
  <c r="N989" i="9" s="1"/>
  <c r="M989" i="9"/>
  <c r="H953" i="9"/>
  <c r="N953" i="9" s="1"/>
  <c r="M953" i="9"/>
  <c r="H1362" i="9"/>
  <c r="M1362" i="9"/>
  <c r="M1380" i="9"/>
  <c r="H1380" i="9"/>
  <c r="H1559" i="9"/>
  <c r="M1559" i="9"/>
  <c r="H1589" i="9"/>
  <c r="M1589" i="9"/>
  <c r="H1577" i="9"/>
  <c r="M1577" i="9"/>
  <c r="H1583" i="9"/>
  <c r="M1583" i="9"/>
  <c r="H1638" i="9"/>
  <c r="M1638" i="9"/>
  <c r="H1332" i="9"/>
  <c r="M1332" i="9"/>
  <c r="H1004" i="9"/>
  <c r="M1004" i="9"/>
  <c r="H1015" i="9"/>
  <c r="M1015" i="9"/>
  <c r="J1351" i="9"/>
  <c r="H244" i="4" s="1"/>
  <c r="N1350" i="9"/>
  <c r="N1351" i="9" s="1"/>
  <c r="L922" i="9"/>
  <c r="J172" i="4" s="1"/>
  <c r="K172" i="4" s="1"/>
  <c r="N919" i="9"/>
  <c r="H1525" i="9"/>
  <c r="F301" i="4" s="1"/>
  <c r="N1524" i="9"/>
  <c r="N1525" i="9" s="1"/>
  <c r="H917" i="9"/>
  <c r="F171" i="4" s="1"/>
  <c r="N916" i="9"/>
  <c r="N917" i="9" s="1"/>
  <c r="H412" i="9"/>
  <c r="F73" i="4" s="1"/>
  <c r="N2191" i="9"/>
  <c r="N2192" i="9" s="1"/>
  <c r="H2192" i="9"/>
  <c r="N900" i="9"/>
  <c r="H1291" i="9"/>
  <c r="F224" i="4" s="1"/>
  <c r="N1290" i="9"/>
  <c r="N1291" i="9" s="1"/>
  <c r="N1428" i="9"/>
  <c r="N1429" i="9" s="1"/>
  <c r="H1429" i="9"/>
  <c r="F270" i="4" s="1"/>
  <c r="N704" i="9"/>
  <c r="N1691" i="9"/>
  <c r="H1694" i="9"/>
  <c r="F331" i="4" s="1"/>
  <c r="H1387" i="9"/>
  <c r="F256" i="4" s="1"/>
  <c r="N1386" i="9"/>
  <c r="N1387" i="9" s="1"/>
  <c r="H496" i="9"/>
  <c r="F94" i="4" s="1"/>
  <c r="N495" i="9"/>
  <c r="N496" i="9" s="1"/>
  <c r="N1656" i="9"/>
  <c r="N1658" i="9" s="1"/>
  <c r="H1658" i="9"/>
  <c r="F325" i="4" s="1"/>
  <c r="H1357" i="9"/>
  <c r="N1356" i="9"/>
  <c r="N1357" i="9" s="1"/>
  <c r="N976" i="9"/>
  <c r="H1453" i="9"/>
  <c r="F278" i="4" s="1"/>
  <c r="N1452" i="9"/>
  <c r="N1453" i="9" s="1"/>
  <c r="N988" i="9"/>
  <c r="H1497" i="9"/>
  <c r="F292" i="4" s="1"/>
  <c r="N1496" i="9"/>
  <c r="N1497" i="9" s="1"/>
  <c r="G20" i="4"/>
  <c r="G465" i="9"/>
  <c r="K100" i="11"/>
  <c r="G553" i="9"/>
  <c r="K1220" i="11"/>
  <c r="H781" i="9"/>
  <c r="M781" i="9"/>
  <c r="H769" i="9"/>
  <c r="M769" i="9"/>
  <c r="G525" i="9"/>
  <c r="H867" i="9"/>
  <c r="M867" i="9"/>
  <c r="H839" i="9"/>
  <c r="M839" i="9"/>
  <c r="H1434" i="9"/>
  <c r="M1434" i="9"/>
  <c r="H1478" i="9"/>
  <c r="M1478" i="9"/>
  <c r="H1517" i="9"/>
  <c r="M1517" i="9"/>
  <c r="H1065" i="9"/>
  <c r="M1065" i="9"/>
  <c r="D184" i="23"/>
  <c r="D303" i="23"/>
  <c r="O1997" i="9" l="1"/>
  <c r="O2010" i="9"/>
  <c r="J190" i="21"/>
  <c r="L190" i="21" s="1"/>
  <c r="I574" i="9" s="1"/>
  <c r="J574" i="9" s="1"/>
  <c r="J575" i="9" s="1"/>
  <c r="H115" i="4" s="1"/>
  <c r="I115" i="4" s="1"/>
  <c r="J192" i="21"/>
  <c r="L192" i="21" s="1"/>
  <c r="K574" i="9" s="1"/>
  <c r="L574" i="9" s="1"/>
  <c r="L575" i="9" s="1"/>
  <c r="J115" i="4" s="1"/>
  <c r="K115" i="4" s="1"/>
  <c r="AJ236" i="23"/>
  <c r="J1021" i="21"/>
  <c r="L1021" i="21" s="1"/>
  <c r="J1025" i="21"/>
  <c r="L1025" i="21" s="1"/>
  <c r="K627" i="9" s="1"/>
  <c r="J1023" i="21"/>
  <c r="L1023" i="21" s="1"/>
  <c r="I627" i="9" s="1"/>
  <c r="J627" i="9" s="1"/>
  <c r="J628" i="9" s="1"/>
  <c r="H130" i="4" s="1"/>
  <c r="I130" i="4" s="1"/>
  <c r="J608" i="9"/>
  <c r="H125" i="4" s="1"/>
  <c r="I125" i="4" s="1"/>
  <c r="J612" i="9"/>
  <c r="H126" i="4" s="1"/>
  <c r="I126" i="4" s="1"/>
  <c r="J600" i="9"/>
  <c r="H123" i="4" s="1"/>
  <c r="I123" i="4" s="1"/>
  <c r="G568" i="9"/>
  <c r="M568" i="9" s="1"/>
  <c r="L95" i="21"/>
  <c r="N1624" i="9"/>
  <c r="L1628" i="9"/>
  <c r="J320" i="4" s="1"/>
  <c r="K320" i="4" s="1"/>
  <c r="J602" i="9"/>
  <c r="I603" i="9"/>
  <c r="J603" i="9" s="1"/>
  <c r="B41" i="9"/>
  <c r="H2242" i="9"/>
  <c r="M2242" i="9"/>
  <c r="M759" i="9"/>
  <c r="H759" i="9"/>
  <c r="H901" i="9"/>
  <c r="F169" i="4" s="1"/>
  <c r="L169" i="4" s="1"/>
  <c r="M231" i="9"/>
  <c r="O2023" i="9"/>
  <c r="H1837" i="9"/>
  <c r="F346" i="4" s="1"/>
  <c r="L602" i="9"/>
  <c r="K603" i="9"/>
  <c r="J618" i="9"/>
  <c r="I619" i="9"/>
  <c r="J619" i="9" s="1"/>
  <c r="N1558" i="9"/>
  <c r="L1562" i="9"/>
  <c r="J309" i="4" s="1"/>
  <c r="K309" i="4" s="1"/>
  <c r="N1618" i="9"/>
  <c r="L1622" i="9"/>
  <c r="J319" i="4" s="1"/>
  <c r="K319" i="4" s="1"/>
  <c r="H1299" i="9"/>
  <c r="N1299" i="9" s="1"/>
  <c r="N1300" i="9" s="1"/>
  <c r="G592" i="9"/>
  <c r="L390" i="21"/>
  <c r="B48" i="9"/>
  <c r="G580" i="9"/>
  <c r="F117" i="4" s="1"/>
  <c r="L80" i="4"/>
  <c r="L618" i="9"/>
  <c r="K619" i="9"/>
  <c r="H2215" i="9"/>
  <c r="M2215" i="9"/>
  <c r="O1692" i="9"/>
  <c r="O1656" i="9"/>
  <c r="O1686" i="9"/>
  <c r="O1662" i="9"/>
  <c r="O1680" i="9"/>
  <c r="O1668" i="9"/>
  <c r="O1650" i="9"/>
  <c r="A97" i="12"/>
  <c r="O1674" i="9"/>
  <c r="O1027" i="9"/>
  <c r="O1284" i="9"/>
  <c r="N922" i="9"/>
  <c r="O2036" i="9"/>
  <c r="O501" i="9"/>
  <c r="A286" i="11"/>
  <c r="L480" i="9"/>
  <c r="J89" i="4" s="1"/>
  <c r="K89" i="4" s="1"/>
  <c r="L1580" i="9"/>
  <c r="J312" i="4" s="1"/>
  <c r="K312" i="4" s="1"/>
  <c r="N1576" i="9"/>
  <c r="L20" i="4"/>
  <c r="M462" i="9"/>
  <c r="O2050" i="9"/>
  <c r="O2064" i="9"/>
  <c r="H1927" i="9"/>
  <c r="F355" i="4" s="1"/>
  <c r="L355" i="4" s="1"/>
  <c r="N754" i="9"/>
  <c r="K212" i="4"/>
  <c r="M212" i="4" s="1"/>
  <c r="L212" i="4"/>
  <c r="L1268" i="9"/>
  <c r="N1268" i="9" s="1"/>
  <c r="K1269" i="9" s="1"/>
  <c r="F35" i="4"/>
  <c r="L35" i="4" s="1"/>
  <c r="N247" i="9"/>
  <c r="N248" i="9" s="1"/>
  <c r="L248" i="9"/>
  <c r="J41" i="4" s="1"/>
  <c r="N1947" i="9"/>
  <c r="L18" i="4"/>
  <c r="G348" i="4"/>
  <c r="M348" i="4" s="1"/>
  <c r="N1682" i="9"/>
  <c r="G639" i="9"/>
  <c r="G680" i="9"/>
  <c r="J182" i="23"/>
  <c r="J184" i="23" s="1"/>
  <c r="J232" i="9"/>
  <c r="H39" i="4" s="1"/>
  <c r="L393" i="4"/>
  <c r="N1837" i="9"/>
  <c r="G631" i="9"/>
  <c r="H631" i="9" s="1"/>
  <c r="N631" i="9" s="1"/>
  <c r="G1969" i="9"/>
  <c r="L359" i="4"/>
  <c r="H1937" i="9"/>
  <c r="F356" i="4" s="1"/>
  <c r="L683" i="21"/>
  <c r="L929" i="21"/>
  <c r="L382" i="4"/>
  <c r="M1999" i="9"/>
  <c r="F77" i="4"/>
  <c r="G77" i="4" s="1"/>
  <c r="M77" i="4" s="1"/>
  <c r="G671" i="9"/>
  <c r="G663" i="9"/>
  <c r="H663" i="9" s="1"/>
  <c r="N663" i="9" s="1"/>
  <c r="G1976" i="9"/>
  <c r="V189" i="23"/>
  <c r="N1694" i="9"/>
  <c r="L46" i="21"/>
  <c r="H1947" i="9"/>
  <c r="F357" i="4" s="1"/>
  <c r="L357" i="4" s="1"/>
  <c r="M18" i="4"/>
  <c r="L352" i="4"/>
  <c r="J473" i="9"/>
  <c r="H87" i="4" s="1"/>
  <c r="I87" i="4" s="1"/>
  <c r="N1089" i="9"/>
  <c r="N1097" i="9" s="1"/>
  <c r="H1097" i="9"/>
  <c r="F187" i="4" s="1"/>
  <c r="N1075" i="9"/>
  <c r="N1083" i="9" s="1"/>
  <c r="H1083" i="9"/>
  <c r="F186" i="4" s="1"/>
  <c r="I396" i="4"/>
  <c r="M396" i="4" s="1"/>
  <c r="L396" i="4"/>
  <c r="N2230" i="9"/>
  <c r="P55" i="9"/>
  <c r="M1262" i="9"/>
  <c r="L1262" i="9"/>
  <c r="G395" i="4"/>
  <c r="M395" i="4" s="1"/>
  <c r="L395" i="4"/>
  <c r="J214" i="9"/>
  <c r="I216" i="9"/>
  <c r="J224" i="9"/>
  <c r="I226" i="9"/>
  <c r="N1052" i="9"/>
  <c r="L1055" i="9"/>
  <c r="L81" i="4"/>
  <c r="G81" i="4"/>
  <c r="M81" i="4" s="1"/>
  <c r="N901" i="9"/>
  <c r="N1676" i="9"/>
  <c r="L473" i="9"/>
  <c r="J87" i="4" s="1"/>
  <c r="K87" i="4" s="1"/>
  <c r="H142" i="9"/>
  <c r="G169" i="9" s="1"/>
  <c r="M352" i="4"/>
  <c r="J487" i="9"/>
  <c r="H91" i="4" s="1"/>
  <c r="I91" i="4" s="1"/>
  <c r="O2029" i="9"/>
  <c r="N352" i="9"/>
  <c r="J389" i="4"/>
  <c r="K389" i="4" s="1"/>
  <c r="K2118" i="9"/>
  <c r="L2118" i="9" s="1"/>
  <c r="L2120" i="9" s="1"/>
  <c r="J376" i="4" s="1"/>
  <c r="K376" i="4" s="1"/>
  <c r="K2114" i="9"/>
  <c r="L2114" i="9" s="1"/>
  <c r="L2116" i="9" s="1"/>
  <c r="J375" i="4" s="1"/>
  <c r="K375" i="4" s="1"/>
  <c r="G2015" i="9"/>
  <c r="G2070" i="9"/>
  <c r="G2056" i="9"/>
  <c r="F388" i="4"/>
  <c r="G2028" i="9"/>
  <c r="G2042" i="9"/>
  <c r="G2002" i="9"/>
  <c r="G323" i="4"/>
  <c r="M323" i="4" s="1"/>
  <c r="L323" i="4"/>
  <c r="M1533" i="9"/>
  <c r="H1533" i="9"/>
  <c r="L1255" i="9"/>
  <c r="M1255" i="9"/>
  <c r="H132" i="9"/>
  <c r="G174" i="9" s="1"/>
  <c r="N196" i="9"/>
  <c r="N202" i="9" s="1"/>
  <c r="H202" i="9"/>
  <c r="N142" i="9"/>
  <c r="L439" i="21"/>
  <c r="L232" i="4"/>
  <c r="K232" i="4"/>
  <c r="M232" i="4" s="1"/>
  <c r="K1730" i="9"/>
  <c r="K1749" i="9"/>
  <c r="K1825" i="9"/>
  <c r="K1787" i="9"/>
  <c r="K1806" i="9"/>
  <c r="J55" i="4"/>
  <c r="K1768" i="9"/>
  <c r="N1437" i="9"/>
  <c r="N1438" i="9" s="1"/>
  <c r="H1438" i="9"/>
  <c r="F273" i="4" s="1"/>
  <c r="M1272" i="9"/>
  <c r="H1272" i="9"/>
  <c r="H876" i="9"/>
  <c r="N876" i="9" s="1"/>
  <c r="M876" i="9"/>
  <c r="H1293" i="9"/>
  <c r="M1293" i="9"/>
  <c r="H1395" i="9"/>
  <c r="M1395" i="9"/>
  <c r="H1512" i="9"/>
  <c r="F297" i="4" s="1"/>
  <c r="N1511" i="9"/>
  <c r="N1512" i="9" s="1"/>
  <c r="H1500" i="9"/>
  <c r="F293" i="4" s="1"/>
  <c r="N1499" i="9"/>
  <c r="N1500" i="9" s="1"/>
  <c r="H1426" i="9"/>
  <c r="F269" i="4" s="1"/>
  <c r="N1425" i="9"/>
  <c r="N1426" i="9" s="1"/>
  <c r="H848" i="9"/>
  <c r="N848" i="9" s="1"/>
  <c r="M848" i="9"/>
  <c r="M821" i="9"/>
  <c r="H821" i="9"/>
  <c r="N821" i="9" s="1"/>
  <c r="L220" i="4"/>
  <c r="K220" i="4"/>
  <c r="M220" i="4" s="1"/>
  <c r="AJ140" i="23"/>
  <c r="G2115" i="9"/>
  <c r="F390" i="4"/>
  <c r="G2119" i="9"/>
  <c r="G59" i="4"/>
  <c r="M59" i="4" s="1"/>
  <c r="L59" i="4"/>
  <c r="I252" i="4"/>
  <c r="M252" i="4" s="1"/>
  <c r="L252" i="4"/>
  <c r="I225" i="4"/>
  <c r="K17" i="4"/>
  <c r="M17" i="4" s="1"/>
  <c r="L17" i="4"/>
  <c r="G56" i="4"/>
  <c r="M56" i="4" s="1"/>
  <c r="L56" i="4"/>
  <c r="L71" i="4"/>
  <c r="G71" i="4"/>
  <c r="M71" i="4" s="1"/>
  <c r="G57" i="4"/>
  <c r="M57" i="4" s="1"/>
  <c r="L57" i="4"/>
  <c r="L881" i="21"/>
  <c r="M498" i="9"/>
  <c r="H498" i="9"/>
  <c r="G324" i="4"/>
  <c r="M324" i="4" s="1"/>
  <c r="L324" i="4"/>
  <c r="H583" i="9"/>
  <c r="M583" i="9"/>
  <c r="N462" i="9"/>
  <c r="N463" i="9" s="1"/>
  <c r="H463" i="9"/>
  <c r="F84" i="4" s="1"/>
  <c r="H508" i="9"/>
  <c r="G98" i="4"/>
  <c r="H545" i="9"/>
  <c r="F108" i="4" s="1"/>
  <c r="N541" i="9"/>
  <c r="N545" i="9" s="1"/>
  <c r="K1037" i="9"/>
  <c r="L1037" i="9" s="1"/>
  <c r="J72" i="4"/>
  <c r="K72" i="4" s="1"/>
  <c r="G261" i="4"/>
  <c r="M261" i="4" s="1"/>
  <c r="L261" i="4"/>
  <c r="J176" i="9"/>
  <c r="N176" i="9" s="1"/>
  <c r="M176" i="9"/>
  <c r="J166" i="9"/>
  <c r="N166" i="9" s="1"/>
  <c r="M166" i="9"/>
  <c r="L284" i="4"/>
  <c r="G284" i="4"/>
  <c r="M284" i="4" s="1"/>
  <c r="G355" i="4"/>
  <c r="M355" i="4" s="1"/>
  <c r="G357" i="4"/>
  <c r="M357" i="4" s="1"/>
  <c r="H2022" i="9"/>
  <c r="N2022" i="9" s="1"/>
  <c r="M2022" i="9"/>
  <c r="G386" i="4"/>
  <c r="M386" i="4" s="1"/>
  <c r="L386" i="4"/>
  <c r="M782" i="9"/>
  <c r="H782" i="9"/>
  <c r="N782" i="9" s="1"/>
  <c r="H323" i="9"/>
  <c r="M323" i="9"/>
  <c r="H316" i="9"/>
  <c r="M316" i="9"/>
  <c r="AG171" i="23"/>
  <c r="AJ171" i="23" s="1"/>
  <c r="AC185" i="23" s="1"/>
  <c r="AG172" i="23"/>
  <c r="AJ172" i="23" s="1"/>
  <c r="AC187" i="23" s="1"/>
  <c r="AG170" i="23"/>
  <c r="AJ170" i="23"/>
  <c r="AC183" i="23" s="1"/>
  <c r="H119" i="4"/>
  <c r="I119" i="4" s="1"/>
  <c r="J586" i="9"/>
  <c r="J587" i="9" s="1"/>
  <c r="H471" i="9"/>
  <c r="M471" i="9"/>
  <c r="AG26" i="23"/>
  <c r="AG28" i="23"/>
  <c r="AJ28" i="23" s="1"/>
  <c r="AC44" i="23" s="1"/>
  <c r="AG27" i="23"/>
  <c r="AJ27" i="23" s="1"/>
  <c r="AC42" i="23" s="1"/>
  <c r="H1306" i="9"/>
  <c r="F229" i="4" s="1"/>
  <c r="N1305" i="9"/>
  <c r="N1306" i="9" s="1"/>
  <c r="H633" i="9"/>
  <c r="H641" i="9"/>
  <c r="H673" i="9"/>
  <c r="H657" i="9"/>
  <c r="N2142" i="9"/>
  <c r="N2144" i="9" s="1"/>
  <c r="J2144" i="9"/>
  <c r="H381" i="4" s="1"/>
  <c r="I381" i="4" s="1"/>
  <c r="G230" i="9"/>
  <c r="H229" i="9"/>
  <c r="M229" i="9"/>
  <c r="G351" i="4"/>
  <c r="M351" i="4" s="1"/>
  <c r="L351" i="4"/>
  <c r="N1458" i="9"/>
  <c r="N1459" i="9" s="1"/>
  <c r="H1459" i="9"/>
  <c r="F280" i="4" s="1"/>
  <c r="H934" i="9"/>
  <c r="N929" i="9"/>
  <c r="N934" i="9" s="1"/>
  <c r="H1528" i="9"/>
  <c r="F302" i="4" s="1"/>
  <c r="N1527" i="9"/>
  <c r="N1528" i="9" s="1"/>
  <c r="L75" i="4"/>
  <c r="G75" i="4"/>
  <c r="M75" i="4" s="1"/>
  <c r="H522" i="9"/>
  <c r="M522" i="9"/>
  <c r="H1610" i="9"/>
  <c r="F317" i="4" s="1"/>
  <c r="N1607" i="9"/>
  <c r="N1610" i="9" s="1"/>
  <c r="H1616" i="9"/>
  <c r="F318" i="4" s="1"/>
  <c r="N1613" i="9"/>
  <c r="N1616" i="9" s="1"/>
  <c r="H580" i="9"/>
  <c r="G223" i="4"/>
  <c r="M223" i="4" s="1"/>
  <c r="L223" i="4"/>
  <c r="H551" i="9"/>
  <c r="F109" i="4" s="1"/>
  <c r="N547" i="9"/>
  <c r="N551" i="9" s="1"/>
  <c r="J146" i="9"/>
  <c r="N146" i="9" s="1"/>
  <c r="M146" i="9"/>
  <c r="K249" i="4"/>
  <c r="M249" i="4" s="1"/>
  <c r="L249" i="4"/>
  <c r="G58" i="4"/>
  <c r="M58" i="4" s="1"/>
  <c r="L58" i="4"/>
  <c r="G266" i="4"/>
  <c r="M266" i="4" s="1"/>
  <c r="L266" i="4"/>
  <c r="L247" i="4"/>
  <c r="G247" i="4"/>
  <c r="M247" i="4" s="1"/>
  <c r="K15" i="4"/>
  <c r="M15" i="4" s="1"/>
  <c r="L15" i="4"/>
  <c r="G1797" i="9"/>
  <c r="G1816" i="9"/>
  <c r="G1712" i="9"/>
  <c r="F6" i="4"/>
  <c r="G1721" i="9"/>
  <c r="G1759" i="9"/>
  <c r="G1769" i="9"/>
  <c r="G1702" i="9"/>
  <c r="G1553" i="9"/>
  <c r="G1571" i="9"/>
  <c r="G1740" i="9"/>
  <c r="G1826" i="9"/>
  <c r="G1778" i="9"/>
  <c r="G1547" i="9"/>
  <c r="G1565" i="9"/>
  <c r="G1990" i="9"/>
  <c r="G1750" i="9"/>
  <c r="G1788" i="9"/>
  <c r="G1731" i="9"/>
  <c r="G1807" i="9"/>
  <c r="G8" i="4"/>
  <c r="G1997" i="9"/>
  <c r="G2010" i="9"/>
  <c r="G2050" i="9"/>
  <c r="F13" i="4"/>
  <c r="G2023" i="9"/>
  <c r="G2036" i="9"/>
  <c r="G2064" i="9"/>
  <c r="H173" i="4"/>
  <c r="I173" i="4" s="1"/>
  <c r="I1038" i="9"/>
  <c r="J1038" i="9" s="1"/>
  <c r="J1041" i="9" s="1"/>
  <c r="H183" i="4" s="1"/>
  <c r="I183" i="4" s="1"/>
  <c r="I161" i="9"/>
  <c r="J159" i="9"/>
  <c r="I181" i="9"/>
  <c r="J179" i="9"/>
  <c r="I171" i="9"/>
  <c r="J169" i="9"/>
  <c r="K140" i="4"/>
  <c r="M140" i="4" s="1"/>
  <c r="L140" i="4"/>
  <c r="H639" i="9"/>
  <c r="N639" i="9" s="1"/>
  <c r="M639" i="9"/>
  <c r="H647" i="9"/>
  <c r="N647" i="9" s="1"/>
  <c r="M647" i="9"/>
  <c r="M1969" i="9"/>
  <c r="H1969" i="9"/>
  <c r="M680" i="9"/>
  <c r="H680" i="9"/>
  <c r="N680" i="9" s="1"/>
  <c r="H2029" i="9"/>
  <c r="H2043" i="9"/>
  <c r="H2071" i="9"/>
  <c r="H2016" i="9"/>
  <c r="L358" i="4"/>
  <c r="G358" i="4"/>
  <c r="M358" i="4" s="1"/>
  <c r="N1455" i="9"/>
  <c r="N1456" i="9" s="1"/>
  <c r="H1456" i="9"/>
  <c r="F279" i="4" s="1"/>
  <c r="J507" i="9"/>
  <c r="J508" i="9" s="1"/>
  <c r="H98" i="4"/>
  <c r="I98" i="4" s="1"/>
  <c r="J408" i="9"/>
  <c r="M408" i="9"/>
  <c r="G472" i="9"/>
  <c r="G394" i="9"/>
  <c r="G479" i="9"/>
  <c r="G486" i="9"/>
  <c r="L487" i="9"/>
  <c r="J91" i="4" s="1"/>
  <c r="K91" i="4" s="1"/>
  <c r="J222" i="9"/>
  <c r="H37" i="4" s="1"/>
  <c r="I37" i="4" s="1"/>
  <c r="N132" i="9"/>
  <c r="K485" i="11"/>
  <c r="L326" i="4"/>
  <c r="G326" i="4"/>
  <c r="M326" i="4" s="1"/>
  <c r="I478" i="9"/>
  <c r="J478" i="9" s="1"/>
  <c r="J480" i="9" s="1"/>
  <c r="H89" i="4" s="1"/>
  <c r="I89" i="4" s="1"/>
  <c r="I475" i="9"/>
  <c r="J475" i="9" s="1"/>
  <c r="J476" i="9" s="1"/>
  <c r="H88" i="4" s="1"/>
  <c r="I88" i="4" s="1"/>
  <c r="H1622" i="9"/>
  <c r="F319" i="4" s="1"/>
  <c r="N1619" i="9"/>
  <c r="N1622" i="9" s="1"/>
  <c r="H1628" i="9"/>
  <c r="F320" i="4" s="1"/>
  <c r="N1625" i="9"/>
  <c r="N1628" i="9" s="1"/>
  <c r="H529" i="9"/>
  <c r="F105" i="4" s="1"/>
  <c r="N528" i="9"/>
  <c r="N529" i="9" s="1"/>
  <c r="L192" i="4"/>
  <c r="K192" i="4"/>
  <c r="M192" i="4" s="1"/>
  <c r="L353" i="4"/>
  <c r="G353" i="4"/>
  <c r="M353" i="4" s="1"/>
  <c r="G328" i="4"/>
  <c r="M328" i="4" s="1"/>
  <c r="L328" i="4"/>
  <c r="I291" i="4"/>
  <c r="M291" i="4" s="1"/>
  <c r="L291" i="4"/>
  <c r="G346" i="4"/>
  <c r="M346" i="4" s="1"/>
  <c r="L346" i="4"/>
  <c r="G83" i="4"/>
  <c r="M83" i="4" s="1"/>
  <c r="L83" i="4"/>
  <c r="K11" i="9"/>
  <c r="K16" i="9"/>
  <c r="K6" i="9"/>
  <c r="K49" i="9"/>
  <c r="K42" i="9"/>
  <c r="K21" i="9"/>
  <c r="K35" i="9"/>
  <c r="K28" i="9"/>
  <c r="G179" i="9"/>
  <c r="G159" i="9"/>
  <c r="G149" i="9"/>
  <c r="M149" i="9" s="1"/>
  <c r="G384" i="4"/>
  <c r="M384" i="4" s="1"/>
  <c r="L384" i="4"/>
  <c r="H2012" i="9"/>
  <c r="N2012" i="9" s="1"/>
  <c r="M2012" i="9"/>
  <c r="H1028" i="9"/>
  <c r="N1028" i="9" s="1"/>
  <c r="M1028" i="9"/>
  <c r="H1461" i="9"/>
  <c r="M1461" i="9"/>
  <c r="J119" i="4"/>
  <c r="K119" i="4" s="1"/>
  <c r="L586" i="9"/>
  <c r="L587" i="9" s="1"/>
  <c r="K1040" i="9"/>
  <c r="J112" i="4"/>
  <c r="K112" i="4" s="1"/>
  <c r="H468" i="9"/>
  <c r="M468" i="9"/>
  <c r="G330" i="4"/>
  <c r="M330" i="4" s="1"/>
  <c r="L330" i="4"/>
  <c r="H665" i="9"/>
  <c r="H649" i="9"/>
  <c r="H682" i="9"/>
  <c r="G11" i="4"/>
  <c r="G220" i="9"/>
  <c r="H219" i="9"/>
  <c r="M219" i="9"/>
  <c r="G35" i="4"/>
  <c r="M35" i="4" s="1"/>
  <c r="I290" i="4"/>
  <c r="M290" i="4" s="1"/>
  <c r="L290" i="4"/>
  <c r="L354" i="4"/>
  <c r="G354" i="4"/>
  <c r="M354" i="4" s="1"/>
  <c r="L349" i="4"/>
  <c r="G349" i="4"/>
  <c r="M349" i="4" s="1"/>
  <c r="F7" i="4"/>
  <c r="G703" i="9"/>
  <c r="G694" i="9"/>
  <c r="G721" i="9"/>
  <c r="G712" i="9"/>
  <c r="G12" i="4"/>
  <c r="G693" i="9"/>
  <c r="G733" i="9"/>
  <c r="G803" i="9"/>
  <c r="G711" i="9"/>
  <c r="G720" i="9"/>
  <c r="G702" i="9"/>
  <c r="F9" i="4"/>
  <c r="G728" i="9"/>
  <c r="G2101" i="9"/>
  <c r="G2085" i="9"/>
  <c r="G2051" i="9"/>
  <c r="G2011" i="9"/>
  <c r="G1970" i="9"/>
  <c r="G1995" i="9"/>
  <c r="G2000" i="9"/>
  <c r="G2076" i="9"/>
  <c r="F10" i="4"/>
  <c r="G2055" i="9"/>
  <c r="G1998" i="9"/>
  <c r="G2048" i="9"/>
  <c r="H2048" i="9" s="1"/>
  <c r="G2069" i="9"/>
  <c r="G2026" i="9"/>
  <c r="G2001" i="9"/>
  <c r="G2077" i="9"/>
  <c r="G2021" i="9"/>
  <c r="G1977" i="9"/>
  <c r="G2014" i="9"/>
  <c r="G2068" i="9"/>
  <c r="G2041" i="9"/>
  <c r="G2062" i="9"/>
  <c r="G2054" i="9"/>
  <c r="G2013" i="9"/>
  <c r="G2008" i="9"/>
  <c r="G2027" i="9"/>
  <c r="G2065" i="9"/>
  <c r="G2040" i="9"/>
  <c r="G2037" i="9"/>
  <c r="G2108" i="9"/>
  <c r="G2024" i="9"/>
  <c r="G2092" i="9"/>
  <c r="H2092" i="9" s="1"/>
  <c r="G2034" i="9"/>
  <c r="G2084" i="9"/>
  <c r="G2100" i="9"/>
  <c r="G2093" i="9"/>
  <c r="G478" i="9"/>
  <c r="G475" i="9"/>
  <c r="K42" i="4"/>
  <c r="M42" i="4" s="1"/>
  <c r="L42" i="4"/>
  <c r="M186" i="9"/>
  <c r="J186" i="9"/>
  <c r="N186" i="9" s="1"/>
  <c r="M156" i="9"/>
  <c r="J156" i="9"/>
  <c r="N156" i="9" s="1"/>
  <c r="G347" i="4"/>
  <c r="M347" i="4" s="1"/>
  <c r="L347" i="4"/>
  <c r="G274" i="4"/>
  <c r="M274" i="4" s="1"/>
  <c r="L274" i="4"/>
  <c r="G329" i="4"/>
  <c r="M329" i="4" s="1"/>
  <c r="L329" i="4"/>
  <c r="I230" i="4"/>
  <c r="M230" i="4" s="1"/>
  <c r="L230" i="4"/>
  <c r="G144" i="9"/>
  <c r="G381" i="4"/>
  <c r="I151" i="9"/>
  <c r="J149" i="9"/>
  <c r="J189" i="9"/>
  <c r="I191" i="9"/>
  <c r="K231" i="4"/>
  <c r="L231" i="4"/>
  <c r="I277" i="4"/>
  <c r="M277" i="4" s="1"/>
  <c r="L277" i="4"/>
  <c r="I296" i="4"/>
  <c r="M296" i="4" s="1"/>
  <c r="L296" i="4"/>
  <c r="K2016" i="9"/>
  <c r="L2016" i="9" s="1"/>
  <c r="J14" i="4"/>
  <c r="K14" i="4" s="1"/>
  <c r="K2071" i="9"/>
  <c r="L2071" i="9" s="1"/>
  <c r="K2003" i="9"/>
  <c r="L2003" i="9" s="1"/>
  <c r="K2057" i="9"/>
  <c r="L2057" i="9" s="1"/>
  <c r="K2029" i="9"/>
  <c r="L2029" i="9" s="1"/>
  <c r="K2043" i="9"/>
  <c r="L2043" i="9" s="1"/>
  <c r="H801" i="9"/>
  <c r="F158" i="4" s="1"/>
  <c r="N800" i="9"/>
  <c r="N796" i="9"/>
  <c r="L801" i="9"/>
  <c r="J158" i="4" s="1"/>
  <c r="K158" i="4" s="1"/>
  <c r="H671" i="9"/>
  <c r="N671" i="9" s="1"/>
  <c r="M671" i="9"/>
  <c r="M663" i="9"/>
  <c r="M1976" i="9"/>
  <c r="H1976" i="9"/>
  <c r="M655" i="9"/>
  <c r="H655" i="9"/>
  <c r="N655" i="9" s="1"/>
  <c r="H2057" i="9"/>
  <c r="G14" i="4"/>
  <c r="H2003" i="9"/>
  <c r="N2003" i="9" s="1"/>
  <c r="G362" i="4"/>
  <c r="G350" i="4"/>
  <c r="M350" i="4" s="1"/>
  <c r="L350" i="4"/>
  <c r="G832" i="9"/>
  <c r="F255" i="4"/>
  <c r="G910" i="9"/>
  <c r="G878" i="9"/>
  <c r="G860" i="9"/>
  <c r="G823" i="9"/>
  <c r="G850" i="9"/>
  <c r="G888" i="9"/>
  <c r="G222" i="4"/>
  <c r="M222" i="4" s="1"/>
  <c r="L222" i="4"/>
  <c r="M1392" i="9"/>
  <c r="H1392" i="9"/>
  <c r="M1521" i="9"/>
  <c r="H1521" i="9"/>
  <c r="K205" i="11"/>
  <c r="N1287" i="9"/>
  <c r="N1288" i="9" s="1"/>
  <c r="K380" i="11"/>
  <c r="H1069" i="9"/>
  <c r="F185" i="4" s="1"/>
  <c r="N1065" i="9"/>
  <c r="N1069" i="9" s="1"/>
  <c r="H1479" i="9"/>
  <c r="F286" i="4" s="1"/>
  <c r="N1478" i="9"/>
  <c r="N1479" i="9" s="1"/>
  <c r="N867" i="9"/>
  <c r="N870" i="9" s="1"/>
  <c r="H870" i="9"/>
  <c r="F166" i="4" s="1"/>
  <c r="N781" i="9"/>
  <c r="H785" i="9"/>
  <c r="F155" i="4" s="1"/>
  <c r="M553" i="9"/>
  <c r="H553" i="9"/>
  <c r="H465" i="9"/>
  <c r="M465" i="9"/>
  <c r="G278" i="4"/>
  <c r="M278" i="4" s="1"/>
  <c r="L278" i="4"/>
  <c r="G256" i="4"/>
  <c r="M256" i="4" s="1"/>
  <c r="L256" i="4"/>
  <c r="G224" i="4"/>
  <c r="M224" i="4" s="1"/>
  <c r="L224" i="4"/>
  <c r="I39" i="4"/>
  <c r="K88" i="4"/>
  <c r="G73" i="4"/>
  <c r="G171" i="4"/>
  <c r="M171" i="4" s="1"/>
  <c r="L171" i="4"/>
  <c r="G301" i="4"/>
  <c r="M301" i="4" s="1"/>
  <c r="L301" i="4"/>
  <c r="I244" i="4"/>
  <c r="L244" i="4"/>
  <c r="N1015" i="9"/>
  <c r="N1018" i="9" s="1"/>
  <c r="H1018" i="9"/>
  <c r="F180" i="4" s="1"/>
  <c r="N1004" i="9"/>
  <c r="N1007" i="9" s="1"/>
  <c r="H1007" i="9"/>
  <c r="F179" i="4" s="1"/>
  <c r="H1333" i="9"/>
  <c r="F238" i="4" s="1"/>
  <c r="N1332" i="9"/>
  <c r="N1333" i="9" s="1"/>
  <c r="H1641" i="9"/>
  <c r="F322" i="4" s="1"/>
  <c r="N1638" i="9"/>
  <c r="N1641" i="9" s="1"/>
  <c r="H1586" i="9"/>
  <c r="F313" i="4" s="1"/>
  <c r="N1583" i="9"/>
  <c r="N1586" i="9" s="1"/>
  <c r="H1580" i="9"/>
  <c r="F312" i="4" s="1"/>
  <c r="N1577" i="9"/>
  <c r="H1592" i="9"/>
  <c r="F314" i="4" s="1"/>
  <c r="N1589" i="9"/>
  <c r="N1592" i="9" s="1"/>
  <c r="H1562" i="9"/>
  <c r="F309" i="4" s="1"/>
  <c r="N1559" i="9"/>
  <c r="H1363" i="9"/>
  <c r="F248" i="4" s="1"/>
  <c r="N1362" i="9"/>
  <c r="N1363" i="9" s="1"/>
  <c r="N830" i="9"/>
  <c r="N886" i="9"/>
  <c r="N1344" i="9"/>
  <c r="N1345" i="9" s="1"/>
  <c r="H1345" i="9"/>
  <c r="F242" i="4" s="1"/>
  <c r="N284" i="9"/>
  <c r="N286" i="9" s="1"/>
  <c r="H286" i="9"/>
  <c r="F47" i="4" s="1"/>
  <c r="N291" i="9"/>
  <c r="N293" i="9" s="1"/>
  <c r="H293" i="9"/>
  <c r="F48" i="4" s="1"/>
  <c r="N312" i="9"/>
  <c r="N314" i="9" s="1"/>
  <c r="H314" i="9"/>
  <c r="F51" i="4" s="1"/>
  <c r="N305" i="9"/>
  <c r="N307" i="9" s="1"/>
  <c r="H307" i="9"/>
  <c r="F50" i="4" s="1"/>
  <c r="N1341" i="9"/>
  <c r="N1342" i="9" s="1"/>
  <c r="H1342" i="9"/>
  <c r="F241" i="4" s="1"/>
  <c r="H565" i="9"/>
  <c r="M565" i="9"/>
  <c r="M606" i="9"/>
  <c r="H606" i="9"/>
  <c r="H571" i="9"/>
  <c r="M571" i="9"/>
  <c r="H1348" i="9"/>
  <c r="F243" i="4" s="1"/>
  <c r="N1347" i="9"/>
  <c r="N1348" i="9" s="1"/>
  <c r="N404" i="9"/>
  <c r="N406" i="9" s="1"/>
  <c r="H406" i="9"/>
  <c r="N1026" i="9"/>
  <c r="G237" i="4"/>
  <c r="M237" i="4" s="1"/>
  <c r="L237" i="4"/>
  <c r="N1446" i="9"/>
  <c r="N1447" i="9" s="1"/>
  <c r="H1447" i="9"/>
  <c r="F276" i="4" s="1"/>
  <c r="H1303" i="9"/>
  <c r="F228" i="4" s="1"/>
  <c r="N1302" i="9"/>
  <c r="N1303" i="9" s="1"/>
  <c r="H505" i="9"/>
  <c r="N504" i="9"/>
  <c r="N505" i="9" s="1"/>
  <c r="G327" i="4"/>
  <c r="M327" i="4" s="1"/>
  <c r="L327" i="4"/>
  <c r="H1444" i="9"/>
  <c r="F275" i="4" s="1"/>
  <c r="N1443" i="9"/>
  <c r="N1444" i="9" s="1"/>
  <c r="H1055" i="9"/>
  <c r="N1051" i="9"/>
  <c r="H414" i="9"/>
  <c r="M414" i="9"/>
  <c r="N813" i="9"/>
  <c r="N816" i="9" s="1"/>
  <c r="H816" i="9"/>
  <c r="F160" i="4" s="1"/>
  <c r="M501" i="9"/>
  <c r="H501" i="9"/>
  <c r="H531" i="9"/>
  <c r="M531" i="9"/>
  <c r="H510" i="9"/>
  <c r="F99" i="4"/>
  <c r="M510" i="9"/>
  <c r="H1300" i="9"/>
  <c r="F227" i="4" s="1"/>
  <c r="L1215" i="9"/>
  <c r="M1215" i="9"/>
  <c r="L1138" i="9"/>
  <c r="M1138" i="9"/>
  <c r="M1229" i="9"/>
  <c r="L1229" i="9"/>
  <c r="L1194" i="9"/>
  <c r="M1194" i="9"/>
  <c r="L1180" i="9"/>
  <c r="M1180" i="9"/>
  <c r="L1236" i="9"/>
  <c r="M1236" i="9"/>
  <c r="M1222" i="9"/>
  <c r="L1222" i="9"/>
  <c r="M1243" i="9"/>
  <c r="L1243" i="9"/>
  <c r="N965" i="9"/>
  <c r="N858" i="9"/>
  <c r="H1339" i="9"/>
  <c r="F240" i="4" s="1"/>
  <c r="N1338" i="9"/>
  <c r="N1339" i="9" s="1"/>
  <c r="N298" i="9"/>
  <c r="N300" i="9" s="1"/>
  <c r="H300" i="9"/>
  <c r="F49" i="4" s="1"/>
  <c r="N277" i="9"/>
  <c r="N279" i="9" s="1"/>
  <c r="H279" i="9"/>
  <c r="F46" i="4" s="1"/>
  <c r="H1465" i="9"/>
  <c r="F282" i="4" s="1"/>
  <c r="N1464" i="9"/>
  <c r="N1465" i="9" s="1"/>
  <c r="H1372" i="9"/>
  <c r="F251" i="4" s="1"/>
  <c r="N1371" i="9"/>
  <c r="N1372" i="9" s="1"/>
  <c r="H440" i="9"/>
  <c r="F78" i="4" s="1"/>
  <c r="N438" i="9"/>
  <c r="N440" i="9" s="1"/>
  <c r="N537" i="9"/>
  <c r="N539" i="9" s="1"/>
  <c r="H539" i="9"/>
  <c r="F107" i="4" s="1"/>
  <c r="N427" i="9"/>
  <c r="N429" i="9" s="1"/>
  <c r="H429" i="9"/>
  <c r="F76" i="4" s="1"/>
  <c r="H1476" i="9"/>
  <c r="F285" i="4" s="1"/>
  <c r="N1475" i="9"/>
  <c r="N1476" i="9" s="1"/>
  <c r="H1405" i="9"/>
  <c r="F262" i="4" s="1"/>
  <c r="N1404" i="9"/>
  <c r="N1405" i="9" s="1"/>
  <c r="H1378" i="9"/>
  <c r="F253" i="4" s="1"/>
  <c r="N1377" i="9"/>
  <c r="N1378" i="9" s="1"/>
  <c r="G219" i="4"/>
  <c r="M219" i="4" s="1"/>
  <c r="L219" i="4"/>
  <c r="G260" i="4"/>
  <c r="M260" i="4" s="1"/>
  <c r="L260" i="4"/>
  <c r="F121" i="4"/>
  <c r="H592" i="9"/>
  <c r="M592" i="9"/>
  <c r="N1422" i="9"/>
  <c r="N1423" i="9" s="1"/>
  <c r="H1423" i="9"/>
  <c r="F268" i="4" s="1"/>
  <c r="N1481" i="9"/>
  <c r="N1482" i="9" s="1"/>
  <c r="H1482" i="9"/>
  <c r="F287" i="4" s="1"/>
  <c r="N776" i="9"/>
  <c r="L785" i="9"/>
  <c r="J155" i="4" s="1"/>
  <c r="K155" i="4" s="1"/>
  <c r="G859" i="9"/>
  <c r="G831" i="9"/>
  <c r="G877" i="9"/>
  <c r="G942" i="9"/>
  <c r="F257" i="4"/>
  <c r="G822" i="9"/>
  <c r="G849" i="9"/>
  <c r="G978" i="9"/>
  <c r="G887" i="9"/>
  <c r="G954" i="9"/>
  <c r="G909" i="9"/>
  <c r="G966" i="9"/>
  <c r="G990" i="9"/>
  <c r="L235" i="4"/>
  <c r="G235" i="4"/>
  <c r="M235" i="4" s="1"/>
  <c r="L267" i="4"/>
  <c r="G267" i="4"/>
  <c r="M267" i="4" s="1"/>
  <c r="G298" i="4"/>
  <c r="M298" i="4" s="1"/>
  <c r="L298" i="4"/>
  <c r="L2138" i="9"/>
  <c r="J380" i="4" s="1"/>
  <c r="N2136" i="9"/>
  <c r="N2138" i="9" s="1"/>
  <c r="N1711" i="9"/>
  <c r="H1518" i="9"/>
  <c r="F299" i="4" s="1"/>
  <c r="N1517" i="9"/>
  <c r="N1518" i="9" s="1"/>
  <c r="N1434" i="9"/>
  <c r="N1435" i="9" s="1"/>
  <c r="H1435" i="9"/>
  <c r="F272" i="4" s="1"/>
  <c r="N839" i="9"/>
  <c r="N842" i="9" s="1"/>
  <c r="H842" i="9"/>
  <c r="F163" i="4" s="1"/>
  <c r="M525" i="9"/>
  <c r="H525" i="9"/>
  <c r="N769" i="9"/>
  <c r="M20" i="4"/>
  <c r="L292" i="4"/>
  <c r="G292" i="4"/>
  <c r="M292" i="4" s="1"/>
  <c r="G94" i="4"/>
  <c r="M94" i="4" s="1"/>
  <c r="L94" i="4"/>
  <c r="G325" i="4"/>
  <c r="M325" i="4" s="1"/>
  <c r="L325" i="4"/>
  <c r="G331" i="4"/>
  <c r="M331" i="4" s="1"/>
  <c r="L331" i="4"/>
  <c r="G270" i="4"/>
  <c r="M270" i="4" s="1"/>
  <c r="L270" i="4"/>
  <c r="F389" i="4"/>
  <c r="G2114" i="9"/>
  <c r="G2118" i="9"/>
  <c r="H1381" i="9"/>
  <c r="F254" i="4" s="1"/>
  <c r="N1380" i="9"/>
  <c r="N1381" i="9" s="1"/>
  <c r="H602" i="9"/>
  <c r="H574" i="9"/>
  <c r="M574" i="9"/>
  <c r="M577" i="9"/>
  <c r="H577" i="9"/>
  <c r="L264" i="4"/>
  <c r="G264" i="4"/>
  <c r="M264" i="4" s="1"/>
  <c r="G97" i="4"/>
  <c r="M97" i="4" s="1"/>
  <c r="L97" i="4"/>
  <c r="H520" i="9"/>
  <c r="F102" i="4" s="1"/>
  <c r="N519" i="9"/>
  <c r="N520" i="9" s="1"/>
  <c r="L271" i="4"/>
  <c r="G271" i="4"/>
  <c r="M271" i="4" s="1"/>
  <c r="N763" i="9"/>
  <c r="L774" i="9"/>
  <c r="J154" i="4" s="1"/>
  <c r="K154" i="4" s="1"/>
  <c r="M54" i="4"/>
  <c r="L172" i="4"/>
  <c r="G172" i="4"/>
  <c r="M172" i="4" s="1"/>
  <c r="H559" i="9"/>
  <c r="M559" i="9"/>
  <c r="H482" i="9"/>
  <c r="M482" i="9"/>
  <c r="H485" i="9"/>
  <c r="M485" i="9"/>
  <c r="M193" i="4"/>
  <c r="G216" i="4"/>
  <c r="F119" i="4"/>
  <c r="M586" i="9"/>
  <c r="H586" i="9"/>
  <c r="M589" i="9"/>
  <c r="H589" i="9"/>
  <c r="G250" i="4"/>
  <c r="M250" i="4" s="1"/>
  <c r="L250" i="4"/>
  <c r="G283" i="4"/>
  <c r="M283" i="4" s="1"/>
  <c r="L283" i="4"/>
  <c r="G60" i="4"/>
  <c r="M60" i="4" s="1"/>
  <c r="L60" i="4"/>
  <c r="H1297" i="9"/>
  <c r="F226" i="4" s="1"/>
  <c r="N1296" i="9"/>
  <c r="N1297" i="9" s="1"/>
  <c r="H1598" i="9"/>
  <c r="F315" i="4" s="1"/>
  <c r="N1595" i="9"/>
  <c r="N1598" i="9" s="1"/>
  <c r="M1187" i="9"/>
  <c r="L1187" i="9"/>
  <c r="L1201" i="9"/>
  <c r="M1201" i="9"/>
  <c r="L1152" i="9"/>
  <c r="M1152" i="9"/>
  <c r="M1145" i="9"/>
  <c r="L1145" i="9"/>
  <c r="M1173" i="9"/>
  <c r="L1173" i="9"/>
  <c r="L1208" i="9"/>
  <c r="M1208" i="9"/>
  <c r="M1166" i="9"/>
  <c r="L1166" i="9"/>
  <c r="L1159" i="9"/>
  <c r="M1159" i="9"/>
  <c r="H1604" i="9"/>
  <c r="F316" i="4" s="1"/>
  <c r="N1601" i="9"/>
  <c r="N1604" i="9" s="1"/>
  <c r="H1414" i="9"/>
  <c r="F265" i="4" s="1"/>
  <c r="N1413" i="9"/>
  <c r="N1414" i="9" s="1"/>
  <c r="H1408" i="9"/>
  <c r="F263" i="4" s="1"/>
  <c r="N1407" i="9"/>
  <c r="N1408" i="9" s="1"/>
  <c r="H1503" i="9"/>
  <c r="F294" i="4" s="1"/>
  <c r="N1502" i="9"/>
  <c r="N1503" i="9" s="1"/>
  <c r="H610" i="9"/>
  <c r="H568" i="9"/>
  <c r="H598" i="9"/>
  <c r="H595" i="9"/>
  <c r="M595" i="9"/>
  <c r="H618" i="9"/>
  <c r="M618" i="9"/>
  <c r="M2003" i="9" l="1"/>
  <c r="G627" i="9"/>
  <c r="H627" i="9" s="1"/>
  <c r="L1027" i="21"/>
  <c r="L194" i="21"/>
  <c r="J604" i="9"/>
  <c r="H124" i="4" s="1"/>
  <c r="I124" i="4" s="1"/>
  <c r="H2221" i="9"/>
  <c r="F394" i="4" s="1"/>
  <c r="N2215" i="9"/>
  <c r="N2221" i="9" s="1"/>
  <c r="N2242" i="9"/>
  <c r="N2248" i="9" s="1"/>
  <c r="H2248" i="9"/>
  <c r="F397" i="4" s="1"/>
  <c r="O1287" i="9"/>
  <c r="A116" i="12"/>
  <c r="A135" i="12" s="1"/>
  <c r="L77" i="4"/>
  <c r="G154" i="9"/>
  <c r="M154" i="9" s="1"/>
  <c r="M631" i="9"/>
  <c r="B55" i="9"/>
  <c r="G169" i="4"/>
  <c r="M169" i="4" s="1"/>
  <c r="M14" i="4"/>
  <c r="G184" i="9"/>
  <c r="M580" i="9"/>
  <c r="O2003" i="9"/>
  <c r="J620" i="9"/>
  <c r="H128" i="4" s="1"/>
  <c r="I128" i="4" s="1"/>
  <c r="N759" i="9"/>
  <c r="N761" i="9" s="1"/>
  <c r="H761" i="9"/>
  <c r="N1562" i="9"/>
  <c r="N1580" i="9"/>
  <c r="O510" i="9"/>
  <c r="A321" i="11"/>
  <c r="H1030" i="9"/>
  <c r="F181" i="4" s="1"/>
  <c r="F23" i="4"/>
  <c r="G23" i="4" s="1"/>
  <c r="M23" i="4" s="1"/>
  <c r="G189" i="9"/>
  <c r="L14" i="4"/>
  <c r="M1269" i="9"/>
  <c r="L1269" i="9"/>
  <c r="G164" i="9"/>
  <c r="F22" i="4"/>
  <c r="K41" i="4"/>
  <c r="M41" i="4" s="1"/>
  <c r="L41" i="4"/>
  <c r="G356" i="4"/>
  <c r="M356" i="4" s="1"/>
  <c r="L356" i="4"/>
  <c r="N785" i="9"/>
  <c r="N1030" i="9"/>
  <c r="J147" i="9"/>
  <c r="H24" i="4" s="1"/>
  <c r="I24" i="4" s="1"/>
  <c r="AJ45" i="23"/>
  <c r="G186" i="4"/>
  <c r="M186" i="4" s="1"/>
  <c r="L186" i="4"/>
  <c r="L187" i="4"/>
  <c r="G187" i="4"/>
  <c r="M187" i="4" s="1"/>
  <c r="O2043" i="9"/>
  <c r="O2057" i="9"/>
  <c r="P64" i="9"/>
  <c r="O2016" i="9"/>
  <c r="O2071" i="9"/>
  <c r="N1262" i="9"/>
  <c r="N1263" i="9" s="1"/>
  <c r="L1263" i="9"/>
  <c r="J214" i="4" s="1"/>
  <c r="J184" i="4"/>
  <c r="K184" i="4" s="1"/>
  <c r="K1039" i="9"/>
  <c r="L1039" i="9" s="1"/>
  <c r="M226" i="9"/>
  <c r="J226" i="9"/>
  <c r="N226" i="9" s="1"/>
  <c r="J216" i="9"/>
  <c r="N216" i="9" s="1"/>
  <c r="M216" i="9"/>
  <c r="N1055" i="9"/>
  <c r="J177" i="9"/>
  <c r="H30" i="4" s="1"/>
  <c r="I30" i="4" s="1"/>
  <c r="N2057" i="9"/>
  <c r="L381" i="4"/>
  <c r="G181" i="4"/>
  <c r="M181" i="4" s="1"/>
  <c r="L181" i="4"/>
  <c r="H2002" i="9"/>
  <c r="N2002" i="9" s="1"/>
  <c r="M2002" i="9"/>
  <c r="H2028" i="9"/>
  <c r="N2028" i="9" s="1"/>
  <c r="M2028" i="9"/>
  <c r="H2056" i="9"/>
  <c r="N2056" i="9" s="1"/>
  <c r="M2056" i="9"/>
  <c r="H2015" i="9"/>
  <c r="N2015" i="9" s="1"/>
  <c r="M2015" i="9"/>
  <c r="H2042" i="9"/>
  <c r="N2042" i="9" s="1"/>
  <c r="M2042" i="9"/>
  <c r="G388" i="4"/>
  <c r="M388" i="4" s="1"/>
  <c r="L388" i="4"/>
  <c r="H2070" i="9"/>
  <c r="N2070" i="9" s="1"/>
  <c r="M2070" i="9"/>
  <c r="N1533" i="9"/>
  <c r="N1539" i="9" s="1"/>
  <c r="H1539" i="9"/>
  <c r="L1256" i="9"/>
  <c r="J213" i="4" s="1"/>
  <c r="N1255" i="9"/>
  <c r="N1256" i="9" s="1"/>
  <c r="F34" i="4"/>
  <c r="G214" i="9"/>
  <c r="G224" i="9"/>
  <c r="J167" i="9"/>
  <c r="M2057" i="9"/>
  <c r="N801" i="9"/>
  <c r="M381" i="4"/>
  <c r="L1768" i="9"/>
  <c r="N1768" i="9" s="1"/>
  <c r="M1768" i="9"/>
  <c r="M1806" i="9"/>
  <c r="L1806" i="9"/>
  <c r="N1806" i="9" s="1"/>
  <c r="M1825" i="9"/>
  <c r="L1825" i="9"/>
  <c r="N1825" i="9" s="1"/>
  <c r="L1730" i="9"/>
  <c r="N1730" i="9" s="1"/>
  <c r="M1730" i="9"/>
  <c r="L55" i="4"/>
  <c r="K55" i="4"/>
  <c r="M55" i="4" s="1"/>
  <c r="M1787" i="9"/>
  <c r="L1787" i="9"/>
  <c r="N1787" i="9" s="1"/>
  <c r="L1749" i="9"/>
  <c r="N1749" i="9" s="1"/>
  <c r="M1749" i="9"/>
  <c r="G269" i="4"/>
  <c r="M269" i="4" s="1"/>
  <c r="L269" i="4"/>
  <c r="G293" i="4"/>
  <c r="M293" i="4" s="1"/>
  <c r="L293" i="4"/>
  <c r="G297" i="4"/>
  <c r="M297" i="4" s="1"/>
  <c r="L297" i="4"/>
  <c r="H1396" i="9"/>
  <c r="F259" i="4" s="1"/>
  <c r="N1395" i="9"/>
  <c r="N1396" i="9" s="1"/>
  <c r="H1294" i="9"/>
  <c r="F225" i="4" s="1"/>
  <c r="N1293" i="9"/>
  <c r="N1294" i="9" s="1"/>
  <c r="N1272" i="9"/>
  <c r="N1273" i="9" s="1"/>
  <c r="H1273" i="9"/>
  <c r="F218" i="4" s="1"/>
  <c r="G273" i="4"/>
  <c r="M273" i="4" s="1"/>
  <c r="L273" i="4"/>
  <c r="AJ188" i="23"/>
  <c r="M2119" i="9"/>
  <c r="H2119" i="9"/>
  <c r="N2119" i="9" s="1"/>
  <c r="H2115" i="9"/>
  <c r="N2115" i="9" s="1"/>
  <c r="M2115" i="9"/>
  <c r="G390" i="4"/>
  <c r="M390" i="4" s="1"/>
  <c r="L390" i="4"/>
  <c r="M850" i="9"/>
  <c r="H850" i="9"/>
  <c r="N850" i="9" s="1"/>
  <c r="M860" i="9"/>
  <c r="H860" i="9"/>
  <c r="N860" i="9" s="1"/>
  <c r="H910" i="9"/>
  <c r="N910" i="9" s="1"/>
  <c r="M910" i="9"/>
  <c r="H832" i="9"/>
  <c r="N832" i="9" s="1"/>
  <c r="M832" i="9"/>
  <c r="G158" i="4"/>
  <c r="M158" i="4" s="1"/>
  <c r="L158" i="4"/>
  <c r="M191" i="9"/>
  <c r="J191" i="9"/>
  <c r="N191" i="9" s="1"/>
  <c r="H184" i="9"/>
  <c r="G185" i="9"/>
  <c r="M184" i="9"/>
  <c r="G155" i="9"/>
  <c r="G145" i="9"/>
  <c r="H144" i="9"/>
  <c r="M144" i="9"/>
  <c r="H478" i="9"/>
  <c r="M478" i="9"/>
  <c r="H2100" i="9"/>
  <c r="H2034" i="9"/>
  <c r="H2024" i="9"/>
  <c r="H2037" i="9"/>
  <c r="H2065" i="9"/>
  <c r="H2008" i="9"/>
  <c r="H2054" i="9"/>
  <c r="H2041" i="9"/>
  <c r="H2014" i="9"/>
  <c r="H2021" i="9"/>
  <c r="H2001" i="9"/>
  <c r="H2069" i="9"/>
  <c r="H1998" i="9"/>
  <c r="G10" i="4"/>
  <c r="H2000" i="9"/>
  <c r="H1970" i="9"/>
  <c r="H2051" i="9"/>
  <c r="H2101" i="9"/>
  <c r="G9" i="4"/>
  <c r="H720" i="9"/>
  <c r="H803" i="9"/>
  <c r="H693" i="9"/>
  <c r="H721" i="9"/>
  <c r="H703" i="9"/>
  <c r="H220" i="9"/>
  <c r="N220" i="9" s="1"/>
  <c r="M220" i="9"/>
  <c r="H469" i="9"/>
  <c r="F86" i="4" s="1"/>
  <c r="N468" i="9"/>
  <c r="N469" i="9" s="1"/>
  <c r="M1040" i="9"/>
  <c r="L1040" i="9"/>
  <c r="N1040" i="9" s="1"/>
  <c r="H1462" i="9"/>
  <c r="F281" i="4" s="1"/>
  <c r="N1461" i="9"/>
  <c r="N1462" i="9" s="1"/>
  <c r="G150" i="9"/>
  <c r="H149" i="9"/>
  <c r="G160" i="9"/>
  <c r="H159" i="9"/>
  <c r="M159" i="9"/>
  <c r="H179" i="9"/>
  <c r="G180" i="9"/>
  <c r="M179" i="9"/>
  <c r="M35" i="9"/>
  <c r="L35" i="9"/>
  <c r="L42" i="9"/>
  <c r="M42" i="9"/>
  <c r="L6" i="9"/>
  <c r="M6" i="9"/>
  <c r="L11" i="9"/>
  <c r="M11" i="9"/>
  <c r="G105" i="4"/>
  <c r="M105" i="4" s="1"/>
  <c r="L105" i="4"/>
  <c r="G320" i="4"/>
  <c r="M320" i="4" s="1"/>
  <c r="L320" i="4"/>
  <c r="G319" i="4"/>
  <c r="M319" i="4" s="1"/>
  <c r="L319" i="4"/>
  <c r="H479" i="9"/>
  <c r="N479" i="9" s="1"/>
  <c r="M479" i="9"/>
  <c r="H472" i="9"/>
  <c r="N472" i="9" s="1"/>
  <c r="M472" i="9"/>
  <c r="J412" i="9"/>
  <c r="H73" i="4" s="1"/>
  <c r="N408" i="9"/>
  <c r="N412" i="9" s="1"/>
  <c r="J171" i="9"/>
  <c r="N171" i="9" s="1"/>
  <c r="M171" i="9"/>
  <c r="M181" i="9"/>
  <c r="J181" i="9"/>
  <c r="N181" i="9" s="1"/>
  <c r="J161" i="9"/>
  <c r="M161" i="9"/>
  <c r="H2036" i="9"/>
  <c r="G13" i="4"/>
  <c r="H2010" i="9"/>
  <c r="H1807" i="9"/>
  <c r="H1788" i="9"/>
  <c r="H1789" i="9" s="1"/>
  <c r="F341" i="4" s="1"/>
  <c r="G341" i="4" s="1"/>
  <c r="H1990" i="9"/>
  <c r="H1547" i="9"/>
  <c r="H1826" i="9"/>
  <c r="H1571" i="9"/>
  <c r="H1702" i="9"/>
  <c r="H1759" i="9"/>
  <c r="G6" i="4"/>
  <c r="H1816" i="9"/>
  <c r="H581" i="9"/>
  <c r="N580" i="9"/>
  <c r="N581" i="9" s="1"/>
  <c r="G318" i="4"/>
  <c r="M318" i="4" s="1"/>
  <c r="L318" i="4"/>
  <c r="G317" i="4"/>
  <c r="M317" i="4" s="1"/>
  <c r="L317" i="4"/>
  <c r="H523" i="9"/>
  <c r="F103" i="4" s="1"/>
  <c r="N522" i="9"/>
  <c r="N523" i="9" s="1"/>
  <c r="L302" i="4"/>
  <c r="G302" i="4"/>
  <c r="M302" i="4" s="1"/>
  <c r="F173" i="4"/>
  <c r="G1038" i="9"/>
  <c r="N229" i="9"/>
  <c r="N471" i="9"/>
  <c r="N316" i="9"/>
  <c r="N321" i="9" s="1"/>
  <c r="H321" i="9"/>
  <c r="H328" i="9"/>
  <c r="N323" i="9"/>
  <c r="N328" i="9" s="1"/>
  <c r="L108" i="4"/>
  <c r="G108" i="4"/>
  <c r="M108" i="4" s="1"/>
  <c r="N583" i="9"/>
  <c r="N584" i="9" s="1"/>
  <c r="H584" i="9"/>
  <c r="F118" i="4" s="1"/>
  <c r="N2016" i="9"/>
  <c r="M2071" i="9"/>
  <c r="N2043" i="9"/>
  <c r="M2029" i="9"/>
  <c r="J187" i="9"/>
  <c r="L98" i="4"/>
  <c r="I730" i="9"/>
  <c r="J730" i="9" s="1"/>
  <c r="J731" i="9" s="1"/>
  <c r="H145" i="4" s="1"/>
  <c r="N1521" i="9"/>
  <c r="N1522" i="9" s="1"/>
  <c r="H1522" i="9"/>
  <c r="H1393" i="9"/>
  <c r="F258" i="4" s="1"/>
  <c r="N1392" i="9"/>
  <c r="N1393" i="9" s="1"/>
  <c r="M888" i="9"/>
  <c r="H888" i="9"/>
  <c r="N888" i="9" s="1"/>
  <c r="M823" i="9"/>
  <c r="H823" i="9"/>
  <c r="N823" i="9" s="1"/>
  <c r="H878" i="9"/>
  <c r="N878" i="9" s="1"/>
  <c r="M878" i="9"/>
  <c r="G255" i="4"/>
  <c r="M255" i="4" s="1"/>
  <c r="L255" i="4"/>
  <c r="N1976" i="9"/>
  <c r="M231" i="4"/>
  <c r="K303" i="4"/>
  <c r="M151" i="9"/>
  <c r="J151" i="9"/>
  <c r="N151" i="9" s="1"/>
  <c r="G165" i="9"/>
  <c r="H164" i="9"/>
  <c r="M164" i="9"/>
  <c r="G22" i="4"/>
  <c r="M22" i="4" s="1"/>
  <c r="L22" i="4"/>
  <c r="H174" i="9"/>
  <c r="G175" i="9"/>
  <c r="M174" i="9"/>
  <c r="H475" i="9"/>
  <c r="M475" i="9"/>
  <c r="H2093" i="9"/>
  <c r="H2084" i="9"/>
  <c r="H2108" i="9"/>
  <c r="H2040" i="9"/>
  <c r="H2027" i="9"/>
  <c r="H2013" i="9"/>
  <c r="H2062" i="9"/>
  <c r="H2068" i="9"/>
  <c r="H1977" i="9"/>
  <c r="H2077" i="9"/>
  <c r="H2026" i="9"/>
  <c r="H2055" i="9"/>
  <c r="H2076" i="9"/>
  <c r="H1995" i="9"/>
  <c r="H2011" i="9"/>
  <c r="H2085" i="9"/>
  <c r="H728" i="9"/>
  <c r="H702" i="9"/>
  <c r="H711" i="9"/>
  <c r="H733" i="9"/>
  <c r="H712" i="9"/>
  <c r="H694" i="9"/>
  <c r="G7" i="4"/>
  <c r="N219" i="9"/>
  <c r="L23" i="4"/>
  <c r="M189" i="9"/>
  <c r="H189" i="9"/>
  <c r="G190" i="9"/>
  <c r="H169" i="9"/>
  <c r="M169" i="9"/>
  <c r="G170" i="9"/>
  <c r="L28" i="9"/>
  <c r="M28" i="9"/>
  <c r="L21" i="9"/>
  <c r="M21" i="9"/>
  <c r="L49" i="9"/>
  <c r="M49" i="9"/>
  <c r="L16" i="9"/>
  <c r="M16" i="9"/>
  <c r="H486" i="9"/>
  <c r="N486" i="9" s="1"/>
  <c r="M486" i="9"/>
  <c r="M394" i="9"/>
  <c r="H394" i="9"/>
  <c r="G279" i="4"/>
  <c r="M279" i="4" s="1"/>
  <c r="L279" i="4"/>
  <c r="N1969" i="9"/>
  <c r="H2064" i="9"/>
  <c r="H2023" i="9"/>
  <c r="H2050" i="9"/>
  <c r="H1997" i="9"/>
  <c r="H1731" i="9"/>
  <c r="H1750" i="9"/>
  <c r="H1565" i="9"/>
  <c r="H1778" i="9"/>
  <c r="H1740" i="9"/>
  <c r="H1553" i="9"/>
  <c r="H1769" i="9"/>
  <c r="H1721" i="9"/>
  <c r="H1712" i="9"/>
  <c r="H1797" i="9"/>
  <c r="G109" i="4"/>
  <c r="M109" i="4" s="1"/>
  <c r="L109" i="4"/>
  <c r="G117" i="4"/>
  <c r="M117" i="4" s="1"/>
  <c r="L117" i="4"/>
  <c r="G280" i="4"/>
  <c r="M280" i="4" s="1"/>
  <c r="L280" i="4"/>
  <c r="M230" i="9"/>
  <c r="H230" i="9"/>
  <c r="N230" i="9" s="1"/>
  <c r="L229" i="4"/>
  <c r="G229" i="4"/>
  <c r="M229" i="4" s="1"/>
  <c r="G84" i="4"/>
  <c r="M84" i="4" s="1"/>
  <c r="L84" i="4"/>
  <c r="N498" i="9"/>
  <c r="N499" i="9" s="1"/>
  <c r="H499" i="9"/>
  <c r="F95" i="4" s="1"/>
  <c r="J157" i="9"/>
  <c r="H26" i="4" s="1"/>
  <c r="I26" i="4" s="1"/>
  <c r="M2016" i="9"/>
  <c r="N2071" i="9"/>
  <c r="M2043" i="9"/>
  <c r="N2029" i="9"/>
  <c r="M98" i="4"/>
  <c r="N507" i="9"/>
  <c r="N508" i="9" s="1"/>
  <c r="H620" i="9"/>
  <c r="F128" i="4" s="1"/>
  <c r="N618" i="9"/>
  <c r="M627" i="9"/>
  <c r="L627" i="9"/>
  <c r="H596" i="9"/>
  <c r="F122" i="4" s="1"/>
  <c r="N595" i="9"/>
  <c r="N596" i="9" s="1"/>
  <c r="L599" i="9"/>
  <c r="M599" i="9"/>
  <c r="M611" i="9"/>
  <c r="L611" i="9"/>
  <c r="L615" i="9"/>
  <c r="M615" i="9"/>
  <c r="G294" i="4"/>
  <c r="M294" i="4" s="1"/>
  <c r="L294" i="4"/>
  <c r="G263" i="4"/>
  <c r="M263" i="4" s="1"/>
  <c r="L263" i="4"/>
  <c r="G265" i="4"/>
  <c r="M265" i="4" s="1"/>
  <c r="L265" i="4"/>
  <c r="G316" i="4"/>
  <c r="M316" i="4" s="1"/>
  <c r="L316" i="4"/>
  <c r="N1159" i="9"/>
  <c r="N1162" i="9" s="1"/>
  <c r="L1162" i="9"/>
  <c r="J199" i="4" s="1"/>
  <c r="L1211" i="9"/>
  <c r="J206" i="4" s="1"/>
  <c r="N1208" i="9"/>
  <c r="N1211" i="9" s="1"/>
  <c r="N1152" i="9"/>
  <c r="N1155" i="9" s="1"/>
  <c r="L1155" i="9"/>
  <c r="J198" i="4" s="1"/>
  <c r="N1201" i="9"/>
  <c r="N1204" i="9" s="1"/>
  <c r="L1204" i="9"/>
  <c r="J205" i="4" s="1"/>
  <c r="G315" i="4"/>
  <c r="M315" i="4" s="1"/>
  <c r="L315" i="4"/>
  <c r="G226" i="4"/>
  <c r="M226" i="4" s="1"/>
  <c r="L226" i="4"/>
  <c r="H578" i="9"/>
  <c r="F116" i="4" s="1"/>
  <c r="N577" i="9"/>
  <c r="N578" i="9" s="1"/>
  <c r="L603" i="9"/>
  <c r="M603" i="9"/>
  <c r="H2118" i="9"/>
  <c r="M2118" i="9"/>
  <c r="G389" i="4"/>
  <c r="M389" i="4" s="1"/>
  <c r="L389" i="4"/>
  <c r="G299" i="4"/>
  <c r="M299" i="4" s="1"/>
  <c r="L299" i="4"/>
  <c r="H990" i="9"/>
  <c r="M990" i="9"/>
  <c r="H909" i="9"/>
  <c r="M909" i="9"/>
  <c r="H887" i="9"/>
  <c r="M887" i="9"/>
  <c r="H849" i="9"/>
  <c r="M849" i="9"/>
  <c r="G257" i="4"/>
  <c r="M257" i="4" s="1"/>
  <c r="L257" i="4"/>
  <c r="H877" i="9"/>
  <c r="M877" i="9"/>
  <c r="H859" i="9"/>
  <c r="M859" i="9"/>
  <c r="N592" i="9"/>
  <c r="N593" i="9" s="1"/>
  <c r="H593" i="9"/>
  <c r="G76" i="4"/>
  <c r="M76" i="4" s="1"/>
  <c r="L76" i="4"/>
  <c r="G107" i="4"/>
  <c r="M107" i="4" s="1"/>
  <c r="L107" i="4"/>
  <c r="G46" i="4"/>
  <c r="M46" i="4" s="1"/>
  <c r="L46" i="4"/>
  <c r="G49" i="4"/>
  <c r="M49" i="4" s="1"/>
  <c r="L49" i="4"/>
  <c r="N1243" i="9"/>
  <c r="N1246" i="9" s="1"/>
  <c r="L1246" i="9"/>
  <c r="J211" i="4" s="1"/>
  <c r="L1225" i="9"/>
  <c r="J208" i="4" s="1"/>
  <c r="N1222" i="9"/>
  <c r="N1225" i="9" s="1"/>
  <c r="N1229" i="9"/>
  <c r="N1232" i="9" s="1"/>
  <c r="L1232" i="9"/>
  <c r="J209" i="4" s="1"/>
  <c r="H511" i="9"/>
  <c r="N510" i="9"/>
  <c r="N511" i="9" s="1"/>
  <c r="H532" i="9"/>
  <c r="F106" i="4" s="1"/>
  <c r="N531" i="9"/>
  <c r="N532" i="9" s="1"/>
  <c r="N414" i="9"/>
  <c r="N418" i="9" s="1"/>
  <c r="H418" i="9"/>
  <c r="F74" i="4" s="1"/>
  <c r="G1039" i="9"/>
  <c r="F184" i="4"/>
  <c r="G275" i="4"/>
  <c r="M275" i="4" s="1"/>
  <c r="L275" i="4"/>
  <c r="G228" i="4"/>
  <c r="M228" i="4" s="1"/>
  <c r="L228" i="4"/>
  <c r="L623" i="9"/>
  <c r="M623" i="9"/>
  <c r="G243" i="4"/>
  <c r="M243" i="4" s="1"/>
  <c r="L243" i="4"/>
  <c r="H572" i="9"/>
  <c r="F114" i="4" s="1"/>
  <c r="N571" i="9"/>
  <c r="N572" i="9" s="1"/>
  <c r="L607" i="9"/>
  <c r="M607" i="9"/>
  <c r="N565" i="9"/>
  <c r="N566" i="9" s="1"/>
  <c r="H566" i="9"/>
  <c r="F112" i="4" s="1"/>
  <c r="G248" i="4"/>
  <c r="M248" i="4" s="1"/>
  <c r="L248" i="4"/>
  <c r="G309" i="4"/>
  <c r="L309" i="4"/>
  <c r="G314" i="4"/>
  <c r="M314" i="4" s="1"/>
  <c r="L314" i="4"/>
  <c r="G312" i="4"/>
  <c r="M312" i="4" s="1"/>
  <c r="L312" i="4"/>
  <c r="G313" i="4"/>
  <c r="M313" i="4" s="1"/>
  <c r="L313" i="4"/>
  <c r="G322" i="4"/>
  <c r="M322" i="4" s="1"/>
  <c r="L322" i="4"/>
  <c r="L238" i="4"/>
  <c r="G238" i="4"/>
  <c r="M238" i="4" s="1"/>
  <c r="M244" i="4"/>
  <c r="I303" i="4"/>
  <c r="H466" i="9"/>
  <c r="F85" i="4" s="1"/>
  <c r="N465" i="9"/>
  <c r="N466" i="9" s="1"/>
  <c r="G286" i="4"/>
  <c r="M286" i="4" s="1"/>
  <c r="L286" i="4"/>
  <c r="G185" i="4"/>
  <c r="M185" i="4" s="1"/>
  <c r="L185" i="4"/>
  <c r="I145" i="4"/>
  <c r="M619" i="9"/>
  <c r="L619" i="9"/>
  <c r="N626" i="9"/>
  <c r="H628" i="9"/>
  <c r="F130" i="4" s="1"/>
  <c r="H600" i="9"/>
  <c r="F123" i="4" s="1"/>
  <c r="N598" i="9"/>
  <c r="N568" i="9"/>
  <c r="N569" i="9" s="1"/>
  <c r="H569" i="9"/>
  <c r="F113" i="4" s="1"/>
  <c r="H612" i="9"/>
  <c r="F126" i="4" s="1"/>
  <c r="N610" i="9"/>
  <c r="H616" i="9"/>
  <c r="F127" i="4" s="1"/>
  <c r="N614" i="9"/>
  <c r="N1166" i="9"/>
  <c r="N1169" i="9" s="1"/>
  <c r="L1169" i="9"/>
  <c r="J200" i="4" s="1"/>
  <c r="N1173" i="9"/>
  <c r="N1176" i="9" s="1"/>
  <c r="L1176" i="9"/>
  <c r="J201" i="4" s="1"/>
  <c r="N1145" i="9"/>
  <c r="N1148" i="9" s="1"/>
  <c r="L1148" i="9"/>
  <c r="J197" i="4" s="1"/>
  <c r="N1187" i="9"/>
  <c r="N1190" i="9" s="1"/>
  <c r="L1190" i="9"/>
  <c r="J203" i="4" s="1"/>
  <c r="N589" i="9"/>
  <c r="N590" i="9" s="1"/>
  <c r="H590" i="9"/>
  <c r="F120" i="4" s="1"/>
  <c r="N586" i="9"/>
  <c r="N587" i="9" s="1"/>
  <c r="H587" i="9"/>
  <c r="G119" i="4"/>
  <c r="M119" i="4" s="1"/>
  <c r="L119" i="4"/>
  <c r="N485" i="9"/>
  <c r="H487" i="9"/>
  <c r="F91" i="4" s="1"/>
  <c r="H483" i="9"/>
  <c r="F90" i="4" s="1"/>
  <c r="N482" i="9"/>
  <c r="N483" i="9" s="1"/>
  <c r="H563" i="9"/>
  <c r="F111" i="4" s="1"/>
  <c r="N559" i="9"/>
  <c r="N563" i="9" s="1"/>
  <c r="G102" i="4"/>
  <c r="M102" i="4" s="1"/>
  <c r="L102" i="4"/>
  <c r="H575" i="9"/>
  <c r="F115" i="4" s="1"/>
  <c r="N574" i="9"/>
  <c r="N575" i="9" s="1"/>
  <c r="N602" i="9"/>
  <c r="H604" i="9"/>
  <c r="F124" i="4" s="1"/>
  <c r="G254" i="4"/>
  <c r="M254" i="4" s="1"/>
  <c r="L254" i="4"/>
  <c r="H2114" i="9"/>
  <c r="M2114" i="9"/>
  <c r="H526" i="9"/>
  <c r="F104" i="4" s="1"/>
  <c r="N525" i="9"/>
  <c r="N526" i="9" s="1"/>
  <c r="G163" i="4"/>
  <c r="M163" i="4" s="1"/>
  <c r="L163" i="4"/>
  <c r="G272" i="4"/>
  <c r="M272" i="4" s="1"/>
  <c r="L272" i="4"/>
  <c r="K380" i="4"/>
  <c r="M380" i="4" s="1"/>
  <c r="L380" i="4"/>
  <c r="H966" i="9"/>
  <c r="M966" i="9"/>
  <c r="H954" i="9"/>
  <c r="M954" i="9"/>
  <c r="H978" i="9"/>
  <c r="M978" i="9"/>
  <c r="H822" i="9"/>
  <c r="M822" i="9"/>
  <c r="H942" i="9"/>
  <c r="M942" i="9"/>
  <c r="H831" i="9"/>
  <c r="M831" i="9"/>
  <c r="G287" i="4"/>
  <c r="M287" i="4" s="1"/>
  <c r="L287" i="4"/>
  <c r="G268" i="4"/>
  <c r="M268" i="4" s="1"/>
  <c r="L268" i="4"/>
  <c r="G121" i="4"/>
  <c r="M121" i="4" s="1"/>
  <c r="L121" i="4"/>
  <c r="G253" i="4"/>
  <c r="M253" i="4" s="1"/>
  <c r="L253" i="4"/>
  <c r="G262" i="4"/>
  <c r="M262" i="4" s="1"/>
  <c r="L262" i="4"/>
  <c r="G285" i="4"/>
  <c r="M285" i="4" s="1"/>
  <c r="L285" i="4"/>
  <c r="L78" i="4"/>
  <c r="G78" i="4"/>
  <c r="M78" i="4" s="1"/>
  <c r="G251" i="4"/>
  <c r="M251" i="4" s="1"/>
  <c r="L251" i="4"/>
  <c r="L282" i="4"/>
  <c r="G282" i="4"/>
  <c r="M282" i="4" s="1"/>
  <c r="G240" i="4"/>
  <c r="M240" i="4" s="1"/>
  <c r="L240" i="4"/>
  <c r="N1236" i="9"/>
  <c r="N1239" i="9" s="1"/>
  <c r="L1239" i="9"/>
  <c r="J210" i="4" s="1"/>
  <c r="N1180" i="9"/>
  <c r="N1183" i="9" s="1"/>
  <c r="L1183" i="9"/>
  <c r="J202" i="4" s="1"/>
  <c r="N1194" i="9"/>
  <c r="N1197" i="9" s="1"/>
  <c r="L1197" i="9"/>
  <c r="J204" i="4" s="1"/>
  <c r="N1138" i="9"/>
  <c r="N1141" i="9" s="1"/>
  <c r="L1141" i="9"/>
  <c r="J196" i="4" s="1"/>
  <c r="N1215" i="9"/>
  <c r="N1218" i="9" s="1"/>
  <c r="L1218" i="9"/>
  <c r="J207" i="4" s="1"/>
  <c r="G227" i="4"/>
  <c r="M227" i="4" s="1"/>
  <c r="L227" i="4"/>
  <c r="G99" i="4"/>
  <c r="M99" i="4" s="1"/>
  <c r="L99" i="4"/>
  <c r="H502" i="9"/>
  <c r="F96" i="4" s="1"/>
  <c r="N501" i="9"/>
  <c r="N502" i="9" s="1"/>
  <c r="G160" i="4"/>
  <c r="M160" i="4" s="1"/>
  <c r="L160" i="4"/>
  <c r="G276" i="4"/>
  <c r="M276" i="4" s="1"/>
  <c r="L276" i="4"/>
  <c r="N622" i="9"/>
  <c r="H624" i="9"/>
  <c r="F129" i="4" s="1"/>
  <c r="G1037" i="9"/>
  <c r="F72" i="4"/>
  <c r="H608" i="9"/>
  <c r="F125" i="4" s="1"/>
  <c r="N606" i="9"/>
  <c r="G241" i="4"/>
  <c r="M241" i="4" s="1"/>
  <c r="L241" i="4"/>
  <c r="G50" i="4"/>
  <c r="M50" i="4" s="1"/>
  <c r="L50" i="4"/>
  <c r="L51" i="4"/>
  <c r="G51" i="4"/>
  <c r="M51" i="4" s="1"/>
  <c r="L48" i="4"/>
  <c r="G48" i="4"/>
  <c r="M48" i="4" s="1"/>
  <c r="L47" i="4"/>
  <c r="G47" i="4"/>
  <c r="M47" i="4" s="1"/>
  <c r="G242" i="4"/>
  <c r="M242" i="4" s="1"/>
  <c r="L242" i="4"/>
  <c r="G179" i="4"/>
  <c r="M179" i="4" s="1"/>
  <c r="L179" i="4"/>
  <c r="G180" i="4"/>
  <c r="M180" i="4" s="1"/>
  <c r="L180" i="4"/>
  <c r="H557" i="9"/>
  <c r="F110" i="4" s="1"/>
  <c r="N553" i="9"/>
  <c r="N557" i="9" s="1"/>
  <c r="L155" i="4"/>
  <c r="G155" i="4"/>
  <c r="M155" i="4" s="1"/>
  <c r="G166" i="4"/>
  <c r="M166" i="4" s="1"/>
  <c r="L166" i="4"/>
  <c r="L397" i="4" l="1"/>
  <c r="G397" i="4"/>
  <c r="M397" i="4" s="1"/>
  <c r="L394" i="4"/>
  <c r="G394" i="4"/>
  <c r="M394" i="4" s="1"/>
  <c r="H154" i="9"/>
  <c r="F153" i="4"/>
  <c r="G771" i="9"/>
  <c r="O1290" i="9"/>
  <c r="A154" i="12"/>
  <c r="N222" i="9"/>
  <c r="G129" i="4"/>
  <c r="G130" i="4"/>
  <c r="O468" i="9"/>
  <c r="O471" i="9"/>
  <c r="A356" i="11"/>
  <c r="H28" i="4"/>
  <c r="I28" i="4" s="1"/>
  <c r="J756" i="9"/>
  <c r="N1269" i="9"/>
  <c r="N1270" i="9" s="1"/>
  <c r="L1270" i="9"/>
  <c r="J215" i="4" s="1"/>
  <c r="N487" i="9"/>
  <c r="J172" i="9"/>
  <c r="I2086" i="9" s="1"/>
  <c r="J2086" i="9" s="1"/>
  <c r="J192" i="9"/>
  <c r="I2095" i="9" s="1"/>
  <c r="J2095" i="9" s="1"/>
  <c r="I741" i="9"/>
  <c r="J741" i="9" s="1"/>
  <c r="J742" i="9" s="1"/>
  <c r="H147" i="4" s="1"/>
  <c r="I147" i="4" s="1"/>
  <c r="B64" i="9"/>
  <c r="P73" i="9"/>
  <c r="L214" i="4"/>
  <c r="K214" i="4"/>
  <c r="M214" i="4" s="1"/>
  <c r="L1041" i="9"/>
  <c r="J183" i="4" s="1"/>
  <c r="K183" i="4" s="1"/>
  <c r="J217" i="9"/>
  <c r="H36" i="4" s="1"/>
  <c r="I36" i="4" s="1"/>
  <c r="J182" i="9"/>
  <c r="H31" i="4" s="1"/>
  <c r="I31" i="4" s="1"/>
  <c r="I735" i="9"/>
  <c r="J735" i="9" s="1"/>
  <c r="J736" i="9" s="1"/>
  <c r="H146" i="4" s="1"/>
  <c r="I146" i="4" s="1"/>
  <c r="I747" i="9"/>
  <c r="J747" i="9" s="1"/>
  <c r="J748" i="9" s="1"/>
  <c r="H148" i="4" s="1"/>
  <c r="I148" i="4" s="1"/>
  <c r="J227" i="9"/>
  <c r="H38" i="4" s="1"/>
  <c r="I38" i="4" s="1"/>
  <c r="F305" i="4"/>
  <c r="G1541" i="9"/>
  <c r="L213" i="4"/>
  <c r="K213" i="4"/>
  <c r="M213" i="4" s="1"/>
  <c r="M224" i="9"/>
  <c r="G225" i="9"/>
  <c r="H224" i="9"/>
  <c r="N224" i="9" s="1"/>
  <c r="L34" i="4"/>
  <c r="G34" i="4"/>
  <c r="M34" i="4" s="1"/>
  <c r="H214" i="9"/>
  <c r="N214" i="9" s="1"/>
  <c r="M214" i="9"/>
  <c r="G215" i="9"/>
  <c r="H222" i="9"/>
  <c r="F37" i="4" s="1"/>
  <c r="L37" i="4" s="1"/>
  <c r="G225" i="4"/>
  <c r="M225" i="4" s="1"/>
  <c r="L225" i="4"/>
  <c r="G259" i="4"/>
  <c r="M259" i="4" s="1"/>
  <c r="L259" i="4"/>
  <c r="G218" i="4"/>
  <c r="M218" i="4" s="1"/>
  <c r="L218" i="4"/>
  <c r="I1971" i="9"/>
  <c r="J1971" i="9" s="1"/>
  <c r="J1974" i="9" s="1"/>
  <c r="H360" i="4" s="1"/>
  <c r="I360" i="4" s="1"/>
  <c r="H29" i="4"/>
  <c r="I29" i="4" s="1"/>
  <c r="H33" i="4"/>
  <c r="I33" i="4" s="1"/>
  <c r="I2066" i="9"/>
  <c r="J2066" i="9" s="1"/>
  <c r="I2038" i="9"/>
  <c r="J2038" i="9" s="1"/>
  <c r="I2087" i="9"/>
  <c r="J2087" i="9" s="1"/>
  <c r="I2079" i="9"/>
  <c r="J2079" i="9" s="1"/>
  <c r="I2052" i="9"/>
  <c r="J2052" i="9" s="1"/>
  <c r="H1798" i="9"/>
  <c r="F342" i="4" s="1"/>
  <c r="H1713" i="9"/>
  <c r="F333" i="4" s="1"/>
  <c r="H1722" i="9"/>
  <c r="F334" i="4" s="1"/>
  <c r="H1770" i="9"/>
  <c r="F339" i="4" s="1"/>
  <c r="H1556" i="9"/>
  <c r="F308" i="4" s="1"/>
  <c r="H1779" i="9"/>
  <c r="F340" i="4" s="1"/>
  <c r="H1568" i="9"/>
  <c r="F310" i="4" s="1"/>
  <c r="H1751" i="9"/>
  <c r="F337" i="4" s="1"/>
  <c r="H1732" i="9"/>
  <c r="F335" i="4" s="1"/>
  <c r="L19" i="9"/>
  <c r="J8" i="4" s="1"/>
  <c r="N16" i="9"/>
  <c r="N19" i="9" s="1"/>
  <c r="L54" i="9"/>
  <c r="N49" i="9"/>
  <c r="N54" i="9" s="1"/>
  <c r="L26" i="9"/>
  <c r="N21" i="9"/>
  <c r="N26" i="9" s="1"/>
  <c r="L33" i="9"/>
  <c r="N28" i="9"/>
  <c r="N33" i="9" s="1"/>
  <c r="H190" i="9"/>
  <c r="N190" i="9" s="1"/>
  <c r="M190" i="9"/>
  <c r="H2006" i="9"/>
  <c r="F364" i="4" s="1"/>
  <c r="H476" i="9"/>
  <c r="F88" i="4" s="1"/>
  <c r="N475" i="9"/>
  <c r="N476" i="9" s="1"/>
  <c r="N174" i="9"/>
  <c r="N164" i="9"/>
  <c r="F300" i="4"/>
  <c r="K1983" i="9"/>
  <c r="I716" i="9"/>
  <c r="I707" i="9"/>
  <c r="I698" i="9"/>
  <c r="J698" i="9" s="1"/>
  <c r="J699" i="9" s="1"/>
  <c r="H141" i="4" s="1"/>
  <c r="I141" i="4" s="1"/>
  <c r="I725" i="9"/>
  <c r="J725" i="9" s="1"/>
  <c r="J726" i="9" s="1"/>
  <c r="H144" i="4" s="1"/>
  <c r="I144" i="4" s="1"/>
  <c r="H32" i="4"/>
  <c r="I32" i="4" s="1"/>
  <c r="G1036" i="9"/>
  <c r="F53" i="4"/>
  <c r="G173" i="4"/>
  <c r="M173" i="4" s="1"/>
  <c r="L173" i="4"/>
  <c r="L103" i="4"/>
  <c r="G103" i="4"/>
  <c r="M103" i="4" s="1"/>
  <c r="H1817" i="9"/>
  <c r="F344" i="4" s="1"/>
  <c r="H1760" i="9"/>
  <c r="F338" i="4" s="1"/>
  <c r="H1550" i="9"/>
  <c r="F307" i="4" s="1"/>
  <c r="H1993" i="9"/>
  <c r="F363" i="4" s="1"/>
  <c r="H1808" i="9"/>
  <c r="F343" i="4" s="1"/>
  <c r="N161" i="9"/>
  <c r="J162" i="9"/>
  <c r="I73" i="4"/>
  <c r="L73" i="4"/>
  <c r="L14" i="9"/>
  <c r="N11" i="9"/>
  <c r="N14" i="9" s="1"/>
  <c r="L9" i="9"/>
  <c r="N6" i="9"/>
  <c r="N9" i="9" s="1"/>
  <c r="L47" i="9"/>
  <c r="J12" i="4" s="1"/>
  <c r="N42" i="9"/>
  <c r="N47" i="9" s="1"/>
  <c r="M180" i="9"/>
  <c r="H180" i="9"/>
  <c r="N180" i="9" s="1"/>
  <c r="M160" i="9"/>
  <c r="H160" i="9"/>
  <c r="N160" i="9" s="1"/>
  <c r="M150" i="9"/>
  <c r="H150" i="9"/>
  <c r="N150" i="9" s="1"/>
  <c r="G281" i="4"/>
  <c r="M281" i="4" s="1"/>
  <c r="L281" i="4"/>
  <c r="G86" i="4"/>
  <c r="M86" i="4" s="1"/>
  <c r="L86" i="4"/>
  <c r="H808" i="9"/>
  <c r="F159" i="4" s="1"/>
  <c r="H2019" i="9"/>
  <c r="F365" i="4" s="1"/>
  <c r="N478" i="9"/>
  <c r="N480" i="9" s="1"/>
  <c r="H480" i="9"/>
  <c r="F89" i="4" s="1"/>
  <c r="N144" i="9"/>
  <c r="M155" i="9"/>
  <c r="H155" i="9"/>
  <c r="N155" i="9" s="1"/>
  <c r="H185" i="9"/>
  <c r="N185" i="9" s="1"/>
  <c r="M185" i="9"/>
  <c r="J152" i="9"/>
  <c r="H25" i="4" s="1"/>
  <c r="I25" i="4" s="1"/>
  <c r="H232" i="9"/>
  <c r="F39" i="4" s="1"/>
  <c r="N473" i="9"/>
  <c r="H2032" i="9"/>
  <c r="F366" i="4" s="1"/>
  <c r="G95" i="4"/>
  <c r="M95" i="4" s="1"/>
  <c r="L95" i="4"/>
  <c r="H1741" i="9"/>
  <c r="F336" i="4" s="1"/>
  <c r="N394" i="9"/>
  <c r="N395" i="9" s="1"/>
  <c r="H395" i="9"/>
  <c r="F70" i="4" s="1"/>
  <c r="H170" i="9"/>
  <c r="N170" i="9" s="1"/>
  <c r="M170" i="9"/>
  <c r="N169" i="9"/>
  <c r="N189" i="9"/>
  <c r="H192" i="9"/>
  <c r="H175" i="9"/>
  <c r="N175" i="9" s="1"/>
  <c r="M175" i="9"/>
  <c r="M165" i="9"/>
  <c r="H165" i="9"/>
  <c r="N165" i="9" s="1"/>
  <c r="L258" i="4"/>
  <c r="G258" i="4"/>
  <c r="M258" i="4" s="1"/>
  <c r="G118" i="4"/>
  <c r="M118" i="4" s="1"/>
  <c r="L118" i="4"/>
  <c r="G638" i="9"/>
  <c r="G654" i="9"/>
  <c r="G679" i="9"/>
  <c r="G662" i="9"/>
  <c r="F52" i="4"/>
  <c r="G646" i="9"/>
  <c r="G630" i="9"/>
  <c r="G670" i="9"/>
  <c r="H1038" i="9"/>
  <c r="N1038" i="9" s="1"/>
  <c r="M1038" i="9"/>
  <c r="H1703" i="9"/>
  <c r="F332" i="4" s="1"/>
  <c r="H1574" i="9"/>
  <c r="F311" i="4" s="1"/>
  <c r="H1827" i="9"/>
  <c r="F345" i="4" s="1"/>
  <c r="L40" i="9"/>
  <c r="N35" i="9"/>
  <c r="N40" i="9" s="1"/>
  <c r="H182" i="9"/>
  <c r="F31" i="4" s="1"/>
  <c r="N179" i="9"/>
  <c r="H162" i="9"/>
  <c r="N159" i="9"/>
  <c r="H152" i="9"/>
  <c r="F25" i="4" s="1"/>
  <c r="N149" i="9"/>
  <c r="M145" i="9"/>
  <c r="H145" i="9"/>
  <c r="N145" i="9" s="1"/>
  <c r="N154" i="9"/>
  <c r="H187" i="9"/>
  <c r="N184" i="9"/>
  <c r="H473" i="9"/>
  <c r="F87" i="4" s="1"/>
  <c r="N232" i="9"/>
  <c r="G110" i="4"/>
  <c r="M110" i="4" s="1"/>
  <c r="L110" i="4"/>
  <c r="L72" i="4"/>
  <c r="G72" i="4"/>
  <c r="K207" i="4"/>
  <c r="M207" i="4" s="1"/>
  <c r="L207" i="4"/>
  <c r="K196" i="4"/>
  <c r="L196" i="4"/>
  <c r="L204" i="4"/>
  <c r="K204" i="4"/>
  <c r="M204" i="4" s="1"/>
  <c r="K202" i="4"/>
  <c r="M202" i="4" s="1"/>
  <c r="L202" i="4"/>
  <c r="K210" i="4"/>
  <c r="M210" i="4" s="1"/>
  <c r="L210" i="4"/>
  <c r="G124" i="4"/>
  <c r="G91" i="4"/>
  <c r="M91" i="4" s="1"/>
  <c r="L91" i="4"/>
  <c r="G120" i="4"/>
  <c r="M120" i="4" s="1"/>
  <c r="L120" i="4"/>
  <c r="K203" i="4"/>
  <c r="M203" i="4" s="1"/>
  <c r="L203" i="4"/>
  <c r="K197" i="4"/>
  <c r="M197" i="4" s="1"/>
  <c r="L197" i="4"/>
  <c r="K201" i="4"/>
  <c r="M201" i="4" s="1"/>
  <c r="L201" i="4"/>
  <c r="K200" i="4"/>
  <c r="M200" i="4" s="1"/>
  <c r="L200" i="4"/>
  <c r="G113" i="4"/>
  <c r="M113" i="4" s="1"/>
  <c r="L113" i="4"/>
  <c r="N619" i="9"/>
  <c r="N620" i="9" s="1"/>
  <c r="L620" i="9"/>
  <c r="J128" i="4" s="1"/>
  <c r="K128" i="4" s="1"/>
  <c r="G85" i="4"/>
  <c r="M85" i="4" s="1"/>
  <c r="L85" i="4"/>
  <c r="M309" i="4"/>
  <c r="N607" i="9"/>
  <c r="N608" i="9" s="1"/>
  <c r="L608" i="9"/>
  <c r="J125" i="4" s="1"/>
  <c r="K125" i="4" s="1"/>
  <c r="G114" i="4"/>
  <c r="M114" i="4" s="1"/>
  <c r="L114" i="4"/>
  <c r="N623" i="9"/>
  <c r="N624" i="9" s="1"/>
  <c r="L624" i="9"/>
  <c r="J129" i="4" s="1"/>
  <c r="K129" i="4" s="1"/>
  <c r="H1039" i="9"/>
  <c r="N1039" i="9" s="1"/>
  <c r="M1039" i="9"/>
  <c r="G106" i="4"/>
  <c r="M106" i="4" s="1"/>
  <c r="L106" i="4"/>
  <c r="K208" i="4"/>
  <c r="M208" i="4" s="1"/>
  <c r="L208" i="4"/>
  <c r="N859" i="9"/>
  <c r="N862" i="9" s="1"/>
  <c r="H862" i="9"/>
  <c r="F165" i="4" s="1"/>
  <c r="H880" i="9"/>
  <c r="F167" i="4" s="1"/>
  <c r="N877" i="9"/>
  <c r="N880" i="9" s="1"/>
  <c r="H852" i="9"/>
  <c r="F164" i="4" s="1"/>
  <c r="N849" i="9"/>
  <c r="N852" i="9" s="1"/>
  <c r="N887" i="9"/>
  <c r="N890" i="9" s="1"/>
  <c r="H890" i="9"/>
  <c r="F168" i="4" s="1"/>
  <c r="N909" i="9"/>
  <c r="N912" i="9" s="1"/>
  <c r="H912" i="9"/>
  <c r="F170" i="4" s="1"/>
  <c r="N990" i="9"/>
  <c r="N996" i="9" s="1"/>
  <c r="H996" i="9"/>
  <c r="F178" i="4" s="1"/>
  <c r="N2118" i="9"/>
  <c r="N2120" i="9" s="1"/>
  <c r="H2120" i="9"/>
  <c r="F376" i="4" s="1"/>
  <c r="N603" i="9"/>
  <c r="N604" i="9" s="1"/>
  <c r="L604" i="9"/>
  <c r="J124" i="4" s="1"/>
  <c r="K124" i="4" s="1"/>
  <c r="G116" i="4"/>
  <c r="M116" i="4" s="1"/>
  <c r="L116" i="4"/>
  <c r="K206" i="4"/>
  <c r="M206" i="4" s="1"/>
  <c r="L206" i="4"/>
  <c r="N615" i="9"/>
  <c r="N616" i="9" s="1"/>
  <c r="L616" i="9"/>
  <c r="J127" i="4" s="1"/>
  <c r="K127" i="4" s="1"/>
  <c r="N599" i="9"/>
  <c r="N600" i="9" s="1"/>
  <c r="L600" i="9"/>
  <c r="J123" i="4" s="1"/>
  <c r="K123" i="4" s="1"/>
  <c r="L122" i="4"/>
  <c r="G122" i="4"/>
  <c r="M122" i="4" s="1"/>
  <c r="G128" i="4"/>
  <c r="M128" i="4" s="1"/>
  <c r="G125" i="4"/>
  <c r="M1037" i="9"/>
  <c r="H1037" i="9"/>
  <c r="G96" i="4"/>
  <c r="M96" i="4" s="1"/>
  <c r="L96" i="4"/>
  <c r="N831" i="9"/>
  <c r="N834" i="9" s="1"/>
  <c r="H834" i="9"/>
  <c r="F162" i="4" s="1"/>
  <c r="N942" i="9"/>
  <c r="N946" i="9" s="1"/>
  <c r="H946" i="9"/>
  <c r="F174" i="4" s="1"/>
  <c r="N822" i="9"/>
  <c r="N825" i="9" s="1"/>
  <c r="H825" i="9"/>
  <c r="F161" i="4" s="1"/>
  <c r="N978" i="9"/>
  <c r="N982" i="9" s="1"/>
  <c r="H982" i="9"/>
  <c r="F177" i="4" s="1"/>
  <c r="N954" i="9"/>
  <c r="N958" i="9" s="1"/>
  <c r="H958" i="9"/>
  <c r="F175" i="4" s="1"/>
  <c r="N966" i="9"/>
  <c r="N970" i="9" s="1"/>
  <c r="H970" i="9"/>
  <c r="F176" i="4" s="1"/>
  <c r="G104" i="4"/>
  <c r="M104" i="4" s="1"/>
  <c r="L104" i="4"/>
  <c r="H2116" i="9"/>
  <c r="F375" i="4" s="1"/>
  <c r="N2114" i="9"/>
  <c r="N2116" i="9" s="1"/>
  <c r="G115" i="4"/>
  <c r="M115" i="4" s="1"/>
  <c r="L115" i="4"/>
  <c r="G111" i="4"/>
  <c r="M111" i="4" s="1"/>
  <c r="L111" i="4"/>
  <c r="G90" i="4"/>
  <c r="M90" i="4" s="1"/>
  <c r="L90" i="4"/>
  <c r="G127" i="4"/>
  <c r="G126" i="4"/>
  <c r="G123" i="4"/>
  <c r="G112" i="4"/>
  <c r="M112" i="4" s="1"/>
  <c r="L112" i="4"/>
  <c r="G184" i="4"/>
  <c r="M184" i="4" s="1"/>
  <c r="L184" i="4"/>
  <c r="G74" i="4"/>
  <c r="M74" i="4" s="1"/>
  <c r="L74" i="4"/>
  <c r="K209" i="4"/>
  <c r="M209" i="4" s="1"/>
  <c r="L209" i="4"/>
  <c r="L211" i="4"/>
  <c r="K211" i="4"/>
  <c r="M211" i="4" s="1"/>
  <c r="L205" i="4"/>
  <c r="K205" i="4"/>
  <c r="M205" i="4" s="1"/>
  <c r="K198" i="4"/>
  <c r="M198" i="4" s="1"/>
  <c r="L198" i="4"/>
  <c r="K199" i="4"/>
  <c r="M199" i="4" s="1"/>
  <c r="L199" i="4"/>
  <c r="L612" i="9"/>
  <c r="J126" i="4" s="1"/>
  <c r="K126" i="4" s="1"/>
  <c r="N611" i="9"/>
  <c r="N612" i="9" s="1"/>
  <c r="N627" i="9"/>
  <c r="N628" i="9" s="1"/>
  <c r="L628" i="9"/>
  <c r="J130" i="4" s="1"/>
  <c r="K130" i="4" s="1"/>
  <c r="N172" i="9" l="1"/>
  <c r="O848" i="9"/>
  <c r="O876" i="9"/>
  <c r="O821" i="9"/>
  <c r="A173" i="12"/>
  <c r="O1293" i="9"/>
  <c r="G153" i="4"/>
  <c r="M153" i="4" s="1"/>
  <c r="L153" i="4"/>
  <c r="I770" i="9"/>
  <c r="J770" i="9" s="1"/>
  <c r="J774" i="9" s="1"/>
  <c r="H154" i="4" s="1"/>
  <c r="I154" i="4" s="1"/>
  <c r="H152" i="4"/>
  <c r="I152" i="4" s="1"/>
  <c r="H771" i="9"/>
  <c r="N771" i="9" s="1"/>
  <c r="M771" i="9"/>
  <c r="L130" i="4"/>
  <c r="M127" i="4"/>
  <c r="M125" i="4"/>
  <c r="I2103" i="9"/>
  <c r="J2103" i="9" s="1"/>
  <c r="L129" i="4"/>
  <c r="H157" i="9"/>
  <c r="F26" i="4" s="1"/>
  <c r="A391" i="11"/>
  <c r="O478" i="9"/>
  <c r="O475" i="9"/>
  <c r="L215" i="4"/>
  <c r="K215" i="4"/>
  <c r="M215" i="4" s="1"/>
  <c r="I2102" i="9"/>
  <c r="J2102" i="9" s="1"/>
  <c r="I2109" i="9"/>
  <c r="J2109" i="9" s="1"/>
  <c r="J2112" i="9" s="1"/>
  <c r="H374" i="4" s="1"/>
  <c r="I374" i="4" s="1"/>
  <c r="I2094" i="9"/>
  <c r="J2094" i="9" s="1"/>
  <c r="J2098" i="9" s="1"/>
  <c r="H372" i="4" s="1"/>
  <c r="I372" i="4" s="1"/>
  <c r="I1978" i="9"/>
  <c r="J1978" i="9" s="1"/>
  <c r="J1981" i="9" s="1"/>
  <c r="H361" i="4" s="1"/>
  <c r="I361" i="4" s="1"/>
  <c r="I2078" i="9"/>
  <c r="J2078" i="9" s="1"/>
  <c r="J2082" i="9" s="1"/>
  <c r="H370" i="4" s="1"/>
  <c r="I370" i="4" s="1"/>
  <c r="L128" i="4"/>
  <c r="B73" i="9"/>
  <c r="P82" i="9"/>
  <c r="G37" i="4"/>
  <c r="M37" i="4" s="1"/>
  <c r="J2090" i="9"/>
  <c r="H371" i="4" s="1"/>
  <c r="I371" i="4" s="1"/>
  <c r="L123" i="4"/>
  <c r="L127" i="4"/>
  <c r="L125" i="4"/>
  <c r="G305" i="4"/>
  <c r="M305" i="4" s="1"/>
  <c r="L305" i="4"/>
  <c r="G1542" i="9"/>
  <c r="H1541" i="9"/>
  <c r="N1541" i="9" s="1"/>
  <c r="M1541" i="9"/>
  <c r="H215" i="9"/>
  <c r="M215" i="9"/>
  <c r="M225" i="9"/>
  <c r="H225" i="9"/>
  <c r="N187" i="9"/>
  <c r="N152" i="9"/>
  <c r="N162" i="9"/>
  <c r="N182" i="9"/>
  <c r="N192" i="9"/>
  <c r="N157" i="9"/>
  <c r="M123" i="4"/>
  <c r="L87" i="4"/>
  <c r="G87" i="4"/>
  <c r="M87" i="4" s="1"/>
  <c r="F32" i="4"/>
  <c r="G707" i="9"/>
  <c r="H707" i="9" s="1"/>
  <c r="G698" i="9"/>
  <c r="G725" i="9"/>
  <c r="G716" i="9"/>
  <c r="H716" i="9" s="1"/>
  <c r="G26" i="4"/>
  <c r="M26" i="4" s="1"/>
  <c r="L26" i="4"/>
  <c r="G25" i="4"/>
  <c r="M25" i="4" s="1"/>
  <c r="L25" i="4"/>
  <c r="G2067" i="9"/>
  <c r="F27" i="4"/>
  <c r="G2053" i="9"/>
  <c r="G2039" i="9"/>
  <c r="G31" i="4"/>
  <c r="M31" i="4" s="1"/>
  <c r="L31" i="4"/>
  <c r="K649" i="9"/>
  <c r="K657" i="9"/>
  <c r="K633" i="9"/>
  <c r="K673" i="9"/>
  <c r="J11" i="4"/>
  <c r="K641" i="9"/>
  <c r="K665" i="9"/>
  <c r="K682" i="9"/>
  <c r="G311" i="4"/>
  <c r="H630" i="9"/>
  <c r="M630" i="9"/>
  <c r="G52" i="4"/>
  <c r="M52" i="4" s="1"/>
  <c r="L52" i="4"/>
  <c r="M679" i="9"/>
  <c r="H679" i="9"/>
  <c r="H638" i="9"/>
  <c r="M638" i="9"/>
  <c r="G2087" i="9"/>
  <c r="G2052" i="9"/>
  <c r="G2066" i="9"/>
  <c r="G2038" i="9"/>
  <c r="G2079" i="9"/>
  <c r="F33" i="4"/>
  <c r="G2103" i="9"/>
  <c r="G2095" i="9"/>
  <c r="G70" i="4"/>
  <c r="M70" i="4" s="1"/>
  <c r="L70" i="4"/>
  <c r="G336" i="4"/>
  <c r="G39" i="4"/>
  <c r="M39" i="4" s="1"/>
  <c r="L39" i="4"/>
  <c r="G365" i="4"/>
  <c r="G159" i="4"/>
  <c r="K12" i="4"/>
  <c r="M12" i="4" s="1"/>
  <c r="L12" i="4"/>
  <c r="K1807" i="9"/>
  <c r="K1731" i="9"/>
  <c r="K1990" i="9"/>
  <c r="K1702" i="9"/>
  <c r="J6" i="4"/>
  <c r="K1826" i="9"/>
  <c r="K1721" i="9"/>
  <c r="K1769" i="9"/>
  <c r="K1759" i="9"/>
  <c r="K1571" i="9"/>
  <c r="K1816" i="9"/>
  <c r="K1553" i="9"/>
  <c r="K1740" i="9"/>
  <c r="K1788" i="9"/>
  <c r="K1547" i="9"/>
  <c r="K1797" i="9"/>
  <c r="K1565" i="9"/>
  <c r="K1712" i="9"/>
  <c r="K1750" i="9"/>
  <c r="K1778" i="9"/>
  <c r="K721" i="9"/>
  <c r="J7" i="4"/>
  <c r="K694" i="9"/>
  <c r="K712" i="9"/>
  <c r="K703" i="9"/>
  <c r="I131" i="4"/>
  <c r="M73" i="4"/>
  <c r="G307" i="4"/>
  <c r="M1036" i="9"/>
  <c r="H1036" i="9"/>
  <c r="N1036" i="9" s="1"/>
  <c r="M707" i="9"/>
  <c r="J707" i="9"/>
  <c r="J708" i="9" s="1"/>
  <c r="H142" i="4" s="1"/>
  <c r="I142" i="4" s="1"/>
  <c r="L1983" i="9"/>
  <c r="M1983" i="9"/>
  <c r="G335" i="4"/>
  <c r="G337" i="4"/>
  <c r="G340" i="4"/>
  <c r="G333" i="4"/>
  <c r="G342" i="4"/>
  <c r="H172" i="9"/>
  <c r="N147" i="9"/>
  <c r="N167" i="9"/>
  <c r="N177" i="9"/>
  <c r="G345" i="4"/>
  <c r="G332" i="4"/>
  <c r="M670" i="9"/>
  <c r="H670" i="9"/>
  <c r="M646" i="9"/>
  <c r="H646" i="9"/>
  <c r="M662" i="9"/>
  <c r="H662" i="9"/>
  <c r="H654" i="9"/>
  <c r="M654" i="9"/>
  <c r="G366" i="4"/>
  <c r="L89" i="4"/>
  <c r="G89" i="4"/>
  <c r="M89" i="4" s="1"/>
  <c r="I2039" i="9"/>
  <c r="J2039" i="9" s="1"/>
  <c r="J2046" i="9" s="1"/>
  <c r="H367" i="4" s="1"/>
  <c r="H27" i="4"/>
  <c r="I27" i="4" s="1"/>
  <c r="I61" i="4" s="1"/>
  <c r="I2067" i="9"/>
  <c r="J2067" i="9" s="1"/>
  <c r="J2074" i="9" s="1"/>
  <c r="H369" i="4" s="1"/>
  <c r="I2053" i="9"/>
  <c r="J2053" i="9" s="1"/>
  <c r="J2060" i="9" s="1"/>
  <c r="H368" i="4" s="1"/>
  <c r="G343" i="4"/>
  <c r="G363" i="4"/>
  <c r="G338" i="4"/>
  <c r="G344" i="4"/>
  <c r="G53" i="4"/>
  <c r="M53" i="4" s="1"/>
  <c r="L53" i="4"/>
  <c r="J716" i="9"/>
  <c r="J717" i="9" s="1"/>
  <c r="H143" i="4" s="1"/>
  <c r="I143" i="4" s="1"/>
  <c r="L300" i="4"/>
  <c r="G300" i="4"/>
  <c r="G88" i="4"/>
  <c r="M88" i="4" s="1"/>
  <c r="L88" i="4"/>
  <c r="G364" i="4"/>
  <c r="K2048" i="9"/>
  <c r="K2069" i="9"/>
  <c r="K2076" i="9"/>
  <c r="K2093" i="9"/>
  <c r="K2027" i="9"/>
  <c r="K2041" i="9"/>
  <c r="K2040" i="9"/>
  <c r="K2001" i="9"/>
  <c r="K2065" i="9"/>
  <c r="K2100" i="9"/>
  <c r="K2026" i="9"/>
  <c r="K2014" i="9"/>
  <c r="K2054" i="9"/>
  <c r="K2051" i="9"/>
  <c r="K2055" i="9"/>
  <c r="J10" i="4"/>
  <c r="K1998" i="9"/>
  <c r="K2092" i="9"/>
  <c r="K2008" i="9"/>
  <c r="K2013" i="9"/>
  <c r="K2021" i="9"/>
  <c r="K2108" i="9"/>
  <c r="K2068" i="9"/>
  <c r="K2077" i="9"/>
  <c r="K2085" i="9"/>
  <c r="K2101" i="9"/>
  <c r="K2034" i="9"/>
  <c r="K2062" i="9"/>
  <c r="K1970" i="9"/>
  <c r="K2024" i="9"/>
  <c r="K1977" i="9"/>
  <c r="K2000" i="9"/>
  <c r="K1995" i="9"/>
  <c r="K2011" i="9"/>
  <c r="K2084" i="9"/>
  <c r="K2037" i="9"/>
  <c r="K720" i="9"/>
  <c r="K728" i="9"/>
  <c r="K693" i="9"/>
  <c r="J9" i="4"/>
  <c r="K803" i="9"/>
  <c r="K702" i="9"/>
  <c r="K733" i="9"/>
  <c r="K711" i="9"/>
  <c r="K2023" i="9"/>
  <c r="J13" i="4"/>
  <c r="K1997" i="9"/>
  <c r="K2064" i="9"/>
  <c r="K2010" i="9"/>
  <c r="K2050" i="9"/>
  <c r="K2036" i="9"/>
  <c r="K8" i="4"/>
  <c r="M8" i="4" s="1"/>
  <c r="L8" i="4"/>
  <c r="G310" i="4"/>
  <c r="G308" i="4"/>
  <c r="G339" i="4"/>
  <c r="G334" i="4"/>
  <c r="H147" i="9"/>
  <c r="F24" i="4" s="1"/>
  <c r="H167" i="9"/>
  <c r="H177" i="9"/>
  <c r="F30" i="4" s="1"/>
  <c r="J2106" i="9"/>
  <c r="H373" i="4" s="1"/>
  <c r="I373" i="4" s="1"/>
  <c r="L176" i="4"/>
  <c r="G176" i="4"/>
  <c r="M176" i="4" s="1"/>
  <c r="G175" i="4"/>
  <c r="M175" i="4" s="1"/>
  <c r="L175" i="4"/>
  <c r="G177" i="4"/>
  <c r="M177" i="4" s="1"/>
  <c r="L177" i="4"/>
  <c r="L161" i="4"/>
  <c r="G161" i="4"/>
  <c r="G174" i="4"/>
  <c r="M174" i="4" s="1"/>
  <c r="L174" i="4"/>
  <c r="G162" i="4"/>
  <c r="M162" i="4" s="1"/>
  <c r="L162" i="4"/>
  <c r="N1037" i="9"/>
  <c r="L376" i="4"/>
  <c r="G376" i="4"/>
  <c r="M376" i="4" s="1"/>
  <c r="G178" i="4"/>
  <c r="M178" i="4" s="1"/>
  <c r="L178" i="4"/>
  <c r="G170" i="4"/>
  <c r="M170" i="4" s="1"/>
  <c r="L170" i="4"/>
  <c r="G168" i="4"/>
  <c r="M168" i="4" s="1"/>
  <c r="L168" i="4"/>
  <c r="G165" i="4"/>
  <c r="M165" i="4" s="1"/>
  <c r="L165" i="4"/>
  <c r="M129" i="4"/>
  <c r="M72" i="4"/>
  <c r="L126" i="4"/>
  <c r="M126" i="4"/>
  <c r="L124" i="4"/>
  <c r="L375" i="4"/>
  <c r="G375" i="4"/>
  <c r="G164" i="4"/>
  <c r="M164" i="4" s="1"/>
  <c r="L164" i="4"/>
  <c r="L167" i="4"/>
  <c r="G167" i="4"/>
  <c r="M167" i="4" s="1"/>
  <c r="M196" i="4"/>
  <c r="K216" i="4"/>
  <c r="N216" i="4" s="1"/>
  <c r="M124" i="4"/>
  <c r="G131" i="4" l="1"/>
  <c r="I188" i="4"/>
  <c r="O1296" i="9"/>
  <c r="O1015" i="9"/>
  <c r="O1004" i="9"/>
  <c r="A192" i="12"/>
  <c r="H1041" i="9"/>
  <c r="F183" i="4" s="1"/>
  <c r="O482" i="9"/>
  <c r="O485" i="9"/>
  <c r="A426" i="11"/>
  <c r="M216" i="4"/>
  <c r="B82" i="9"/>
  <c r="P91" i="9"/>
  <c r="P99" i="9" s="1"/>
  <c r="N1041" i="9"/>
  <c r="M716" i="9"/>
  <c r="H1542" i="9"/>
  <c r="M1542" i="9"/>
  <c r="N215" i="9"/>
  <c r="N217" i="9" s="1"/>
  <c r="H217" i="9"/>
  <c r="F36" i="4" s="1"/>
  <c r="N225" i="9"/>
  <c r="N227" i="9" s="1"/>
  <c r="H227" i="9"/>
  <c r="F38" i="4" s="1"/>
  <c r="F28" i="4"/>
  <c r="G747" i="9"/>
  <c r="G735" i="9"/>
  <c r="G730" i="9"/>
  <c r="G741" i="9"/>
  <c r="G24" i="4"/>
  <c r="L24" i="4"/>
  <c r="L2036" i="9"/>
  <c r="N2036" i="9" s="1"/>
  <c r="M2036" i="9"/>
  <c r="L2010" i="9"/>
  <c r="N2010" i="9" s="1"/>
  <c r="M2010" i="9"/>
  <c r="L1997" i="9"/>
  <c r="N1997" i="9" s="1"/>
  <c r="M1997" i="9"/>
  <c r="L2023" i="9"/>
  <c r="N2023" i="9" s="1"/>
  <c r="M2023" i="9"/>
  <c r="L733" i="9"/>
  <c r="M733" i="9"/>
  <c r="L803" i="9"/>
  <c r="M803" i="9"/>
  <c r="L693" i="9"/>
  <c r="M693" i="9"/>
  <c r="L720" i="9"/>
  <c r="M720" i="9"/>
  <c r="L2084" i="9"/>
  <c r="M2084" i="9"/>
  <c r="L1995" i="9"/>
  <c r="M1995" i="9"/>
  <c r="L1977" i="9"/>
  <c r="M1977" i="9"/>
  <c r="L1970" i="9"/>
  <c r="M1970" i="9"/>
  <c r="L2034" i="9"/>
  <c r="M2034" i="9"/>
  <c r="L2085" i="9"/>
  <c r="N2085" i="9" s="1"/>
  <c r="M2085" i="9"/>
  <c r="L2068" i="9"/>
  <c r="N2068" i="9" s="1"/>
  <c r="M2068" i="9"/>
  <c r="L2021" i="9"/>
  <c r="M2021" i="9"/>
  <c r="L2008" i="9"/>
  <c r="M2008" i="9"/>
  <c r="L1998" i="9"/>
  <c r="N1998" i="9" s="1"/>
  <c r="M1998" i="9"/>
  <c r="L2055" i="9"/>
  <c r="N2055" i="9" s="1"/>
  <c r="M2055" i="9"/>
  <c r="L2054" i="9"/>
  <c r="N2054" i="9" s="1"/>
  <c r="M2054" i="9"/>
  <c r="L2026" i="9"/>
  <c r="N2026" i="9" s="1"/>
  <c r="M2026" i="9"/>
  <c r="L2065" i="9"/>
  <c r="N2065" i="9" s="1"/>
  <c r="M2065" i="9"/>
  <c r="L2040" i="9"/>
  <c r="N2040" i="9" s="1"/>
  <c r="M2040" i="9"/>
  <c r="L2027" i="9"/>
  <c r="N2027" i="9" s="1"/>
  <c r="M2027" i="9"/>
  <c r="L2076" i="9"/>
  <c r="M2076" i="9"/>
  <c r="M2048" i="9"/>
  <c r="L2048" i="9"/>
  <c r="N662" i="9"/>
  <c r="H668" i="9"/>
  <c r="F137" i="4" s="1"/>
  <c r="H652" i="9"/>
  <c r="F135" i="4" s="1"/>
  <c r="N646" i="9"/>
  <c r="N670" i="9"/>
  <c r="H676" i="9"/>
  <c r="F138" i="4" s="1"/>
  <c r="G2078" i="9"/>
  <c r="G1978" i="9"/>
  <c r="G1971" i="9"/>
  <c r="G2102" i="9"/>
  <c r="G2109" i="9"/>
  <c r="F29" i="4"/>
  <c r="G2086" i="9"/>
  <c r="G2094" i="9"/>
  <c r="L703" i="9"/>
  <c r="N703" i="9" s="1"/>
  <c r="M703" i="9"/>
  <c r="L694" i="9"/>
  <c r="N694" i="9" s="1"/>
  <c r="M694" i="9"/>
  <c r="L721" i="9"/>
  <c r="N721" i="9" s="1"/>
  <c r="M721" i="9"/>
  <c r="L1750" i="9"/>
  <c r="M1750" i="9"/>
  <c r="L1565" i="9"/>
  <c r="M1565" i="9"/>
  <c r="L1547" i="9"/>
  <c r="M1547" i="9"/>
  <c r="L1740" i="9"/>
  <c r="M1740" i="9"/>
  <c r="L1816" i="9"/>
  <c r="M1816" i="9"/>
  <c r="L1759" i="9"/>
  <c r="M1759" i="9"/>
  <c r="L1721" i="9"/>
  <c r="M1721" i="9"/>
  <c r="K6" i="4"/>
  <c r="L6" i="4"/>
  <c r="L1990" i="9"/>
  <c r="M1990" i="9"/>
  <c r="L1807" i="9"/>
  <c r="M1807" i="9"/>
  <c r="H2103" i="9"/>
  <c r="N2103" i="9" s="1"/>
  <c r="M2103" i="9"/>
  <c r="M2079" i="9"/>
  <c r="H2079" i="9"/>
  <c r="N2079" i="9" s="1"/>
  <c r="H2066" i="9"/>
  <c r="N2066" i="9" s="1"/>
  <c r="M2066" i="9"/>
  <c r="H2087" i="9"/>
  <c r="N2087" i="9" s="1"/>
  <c r="M2087" i="9"/>
  <c r="H644" i="9"/>
  <c r="F134" i="4" s="1"/>
  <c r="N638" i="9"/>
  <c r="N630" i="9"/>
  <c r="H636" i="9"/>
  <c r="F133" i="4" s="1"/>
  <c r="L665" i="9"/>
  <c r="M665" i="9"/>
  <c r="K11" i="4"/>
  <c r="M11" i="4" s="1"/>
  <c r="L11" i="4"/>
  <c r="L633" i="9"/>
  <c r="M633" i="9"/>
  <c r="L649" i="9"/>
  <c r="M649" i="9"/>
  <c r="H2053" i="9"/>
  <c r="N2053" i="9" s="1"/>
  <c r="M2053" i="9"/>
  <c r="H2067" i="9"/>
  <c r="N2067" i="9" s="1"/>
  <c r="M2067" i="9"/>
  <c r="H725" i="9"/>
  <c r="M725" i="9"/>
  <c r="N707" i="9"/>
  <c r="H708" i="9"/>
  <c r="F142" i="4" s="1"/>
  <c r="I149" i="4"/>
  <c r="L30" i="4"/>
  <c r="G30" i="4"/>
  <c r="M30" i="4" s="1"/>
  <c r="L2050" i="9"/>
  <c r="N2050" i="9" s="1"/>
  <c r="M2050" i="9"/>
  <c r="L2064" i="9"/>
  <c r="N2064" i="9" s="1"/>
  <c r="M2064" i="9"/>
  <c r="K13" i="4"/>
  <c r="M13" i="4" s="1"/>
  <c r="L13" i="4"/>
  <c r="L711" i="9"/>
  <c r="M711" i="9"/>
  <c r="L702" i="9"/>
  <c r="M702" i="9"/>
  <c r="K9" i="4"/>
  <c r="M9" i="4" s="1"/>
  <c r="L9" i="4"/>
  <c r="L728" i="9"/>
  <c r="M728" i="9"/>
  <c r="L2037" i="9"/>
  <c r="N2037" i="9" s="1"/>
  <c r="M2037" i="9"/>
  <c r="L2011" i="9"/>
  <c r="N2011" i="9" s="1"/>
  <c r="M2011" i="9"/>
  <c r="L2000" i="9"/>
  <c r="N2000" i="9" s="1"/>
  <c r="M2000" i="9"/>
  <c r="L2024" i="9"/>
  <c r="N2024" i="9" s="1"/>
  <c r="M2024" i="9"/>
  <c r="L2062" i="9"/>
  <c r="M2062" i="9"/>
  <c r="L2101" i="9"/>
  <c r="N2101" i="9" s="1"/>
  <c r="M2101" i="9"/>
  <c r="L2077" i="9"/>
  <c r="N2077" i="9" s="1"/>
  <c r="M2077" i="9"/>
  <c r="L2108" i="9"/>
  <c r="M2108" i="9"/>
  <c r="L2013" i="9"/>
  <c r="N2013" i="9" s="1"/>
  <c r="M2013" i="9"/>
  <c r="M2092" i="9"/>
  <c r="L2092" i="9"/>
  <c r="K10" i="4"/>
  <c r="M10" i="4" s="1"/>
  <c r="L10" i="4"/>
  <c r="L2051" i="9"/>
  <c r="N2051" i="9" s="1"/>
  <c r="M2051" i="9"/>
  <c r="L2014" i="9"/>
  <c r="N2014" i="9" s="1"/>
  <c r="M2014" i="9"/>
  <c r="L2100" i="9"/>
  <c r="M2100" i="9"/>
  <c r="L2001" i="9"/>
  <c r="N2001" i="9" s="1"/>
  <c r="M2001" i="9"/>
  <c r="L2041" i="9"/>
  <c r="N2041" i="9" s="1"/>
  <c r="M2041" i="9"/>
  <c r="L2093" i="9"/>
  <c r="N2093" i="9" s="1"/>
  <c r="M2093" i="9"/>
  <c r="L2069" i="9"/>
  <c r="N2069" i="9" s="1"/>
  <c r="M2069" i="9"/>
  <c r="M300" i="4"/>
  <c r="M303" i="4" s="1"/>
  <c r="G303" i="4"/>
  <c r="N303" i="4" s="1"/>
  <c r="N654" i="9"/>
  <c r="H660" i="9"/>
  <c r="F136" i="4" s="1"/>
  <c r="L1987" i="9"/>
  <c r="J362" i="4" s="1"/>
  <c r="N1983" i="9"/>
  <c r="N1987" i="9" s="1"/>
  <c r="L712" i="9"/>
  <c r="N712" i="9" s="1"/>
  <c r="M712" i="9"/>
  <c r="K7" i="4"/>
  <c r="M7" i="4" s="1"/>
  <c r="L7" i="4"/>
  <c r="L1778" i="9"/>
  <c r="M1778" i="9"/>
  <c r="L1712" i="9"/>
  <c r="M1712" i="9"/>
  <c r="L1797" i="9"/>
  <c r="M1797" i="9"/>
  <c r="L1788" i="9"/>
  <c r="M1788" i="9"/>
  <c r="L1553" i="9"/>
  <c r="M1553" i="9"/>
  <c r="L1571" i="9"/>
  <c r="M1571" i="9"/>
  <c r="L1769" i="9"/>
  <c r="M1769" i="9"/>
  <c r="L1826" i="9"/>
  <c r="M1826" i="9"/>
  <c r="L1702" i="9"/>
  <c r="M1702" i="9"/>
  <c r="L1731" i="9"/>
  <c r="M1731" i="9"/>
  <c r="H2095" i="9"/>
  <c r="N2095" i="9" s="1"/>
  <c r="M2095" i="9"/>
  <c r="L33" i="4"/>
  <c r="G33" i="4"/>
  <c r="M33" i="4" s="1"/>
  <c r="M2038" i="9"/>
  <c r="H2038" i="9"/>
  <c r="N2038" i="9" s="1"/>
  <c r="M2052" i="9"/>
  <c r="H2052" i="9"/>
  <c r="N2052" i="9" s="1"/>
  <c r="N679" i="9"/>
  <c r="H685" i="9"/>
  <c r="F139" i="4" s="1"/>
  <c r="L682" i="9"/>
  <c r="M682" i="9"/>
  <c r="L641" i="9"/>
  <c r="M641" i="9"/>
  <c r="L673" i="9"/>
  <c r="M673" i="9"/>
  <c r="L657" i="9"/>
  <c r="M657" i="9"/>
  <c r="H2039" i="9"/>
  <c r="N2039" i="9" s="1"/>
  <c r="M2039" i="9"/>
  <c r="G27" i="4"/>
  <c r="M27" i="4" s="1"/>
  <c r="L27" i="4"/>
  <c r="N716" i="9"/>
  <c r="H717" i="9"/>
  <c r="F143" i="4" s="1"/>
  <c r="H698" i="9"/>
  <c r="M698" i="9"/>
  <c r="G32" i="4"/>
  <c r="M32" i="4" s="1"/>
  <c r="L32" i="4"/>
  <c r="M375" i="4"/>
  <c r="M130" i="4"/>
  <c r="M131" i="4" s="1"/>
  <c r="K131" i="4"/>
  <c r="N131" i="4" s="1"/>
  <c r="I368" i="4"/>
  <c r="I367" i="4"/>
  <c r="I369" i="4"/>
  <c r="G183" i="4"/>
  <c r="L183" i="4"/>
  <c r="M161" i="4"/>
  <c r="O867" i="9" l="1"/>
  <c r="O769" i="9"/>
  <c r="O1299" i="9"/>
  <c r="O839" i="9"/>
  <c r="A211" i="12"/>
  <c r="O781" i="9"/>
  <c r="O813" i="9"/>
  <c r="A461" i="11"/>
  <c r="O519" i="9"/>
  <c r="N756" i="9"/>
  <c r="H756" i="9"/>
  <c r="M183" i="4"/>
  <c r="B99" i="9"/>
  <c r="B91" i="9"/>
  <c r="P107" i="9"/>
  <c r="B107" i="9" s="1"/>
  <c r="N1542" i="9"/>
  <c r="N1544" i="9" s="1"/>
  <c r="H1544" i="9"/>
  <c r="L38" i="4"/>
  <c r="G38" i="4"/>
  <c r="M38" i="4" s="1"/>
  <c r="G36" i="4"/>
  <c r="M36" i="4" s="1"/>
  <c r="L36" i="4"/>
  <c r="N698" i="9"/>
  <c r="H699" i="9"/>
  <c r="F141" i="4" s="1"/>
  <c r="G143" i="4"/>
  <c r="L1732" i="9"/>
  <c r="J335" i="4" s="1"/>
  <c r="N1731" i="9"/>
  <c r="N1732" i="9" s="1"/>
  <c r="L1703" i="9"/>
  <c r="J332" i="4" s="1"/>
  <c r="N1702" i="9"/>
  <c r="N1703" i="9" s="1"/>
  <c r="L1827" i="9"/>
  <c r="J345" i="4" s="1"/>
  <c r="N1826" i="9"/>
  <c r="N1827" i="9" s="1"/>
  <c r="L1770" i="9"/>
  <c r="J339" i="4" s="1"/>
  <c r="N1769" i="9"/>
  <c r="N1770" i="9" s="1"/>
  <c r="L1574" i="9"/>
  <c r="J311" i="4" s="1"/>
  <c r="N1571" i="9"/>
  <c r="N1574" i="9" s="1"/>
  <c r="L1556" i="9"/>
  <c r="J308" i="4" s="1"/>
  <c r="N1553" i="9"/>
  <c r="N1556" i="9" s="1"/>
  <c r="N1788" i="9"/>
  <c r="N1789" i="9" s="1"/>
  <c r="L1789" i="9"/>
  <c r="J341" i="4" s="1"/>
  <c r="L1798" i="9"/>
  <c r="J342" i="4" s="1"/>
  <c r="N1797" i="9"/>
  <c r="N1798" i="9" s="1"/>
  <c r="L1713" i="9"/>
  <c r="J333" i="4" s="1"/>
  <c r="N1712" i="9"/>
  <c r="N1713" i="9" s="1"/>
  <c r="L1779" i="9"/>
  <c r="J340" i="4" s="1"/>
  <c r="N1778" i="9"/>
  <c r="N1779" i="9" s="1"/>
  <c r="K362" i="4"/>
  <c r="M362" i="4" s="1"/>
  <c r="L362" i="4"/>
  <c r="N2100" i="9"/>
  <c r="L2106" i="9"/>
  <c r="J373" i="4" s="1"/>
  <c r="K373" i="4" s="1"/>
  <c r="L2112" i="9"/>
  <c r="J374" i="4" s="1"/>
  <c r="K374" i="4" s="1"/>
  <c r="N2108" i="9"/>
  <c r="L2074" i="9"/>
  <c r="J369" i="4" s="1"/>
  <c r="K369" i="4" s="1"/>
  <c r="N2062" i="9"/>
  <c r="L731" i="9"/>
  <c r="J145" i="4" s="1"/>
  <c r="K145" i="4" s="1"/>
  <c r="N728" i="9"/>
  <c r="L708" i="9"/>
  <c r="J142" i="4" s="1"/>
  <c r="K142" i="4" s="1"/>
  <c r="N702" i="9"/>
  <c r="N708" i="9" s="1"/>
  <c r="L717" i="9"/>
  <c r="J143" i="4" s="1"/>
  <c r="K143" i="4" s="1"/>
  <c r="N711" i="9"/>
  <c r="N717" i="9" s="1"/>
  <c r="L142" i="4"/>
  <c r="G142" i="4"/>
  <c r="G133" i="4"/>
  <c r="H2094" i="9"/>
  <c r="M2094" i="9"/>
  <c r="G29" i="4"/>
  <c r="M29" i="4" s="1"/>
  <c r="L29" i="4"/>
  <c r="H2102" i="9"/>
  <c r="M2102" i="9"/>
  <c r="H1978" i="9"/>
  <c r="M1978" i="9"/>
  <c r="G138" i="4"/>
  <c r="G137" i="4"/>
  <c r="N2048" i="9"/>
  <c r="L2060" i="9"/>
  <c r="J368" i="4" s="1"/>
  <c r="K368" i="4" s="1"/>
  <c r="H741" i="9"/>
  <c r="M741" i="9"/>
  <c r="H735" i="9"/>
  <c r="M735" i="9"/>
  <c r="G28" i="4"/>
  <c r="M28" i="4" s="1"/>
  <c r="L28" i="4"/>
  <c r="L660" i="9"/>
  <c r="J136" i="4" s="1"/>
  <c r="K136" i="4" s="1"/>
  <c r="N657" i="9"/>
  <c r="N660" i="9" s="1"/>
  <c r="L676" i="9"/>
  <c r="J138" i="4" s="1"/>
  <c r="K138" i="4" s="1"/>
  <c r="N673" i="9"/>
  <c r="N676" i="9" s="1"/>
  <c r="L644" i="9"/>
  <c r="J134" i="4" s="1"/>
  <c r="K134" i="4" s="1"/>
  <c r="N641" i="9"/>
  <c r="N644" i="9" s="1"/>
  <c r="L685" i="9"/>
  <c r="J139" i="4" s="1"/>
  <c r="K139" i="4" s="1"/>
  <c r="N682" i="9"/>
  <c r="N685" i="9" s="1"/>
  <c r="G139" i="4"/>
  <c r="G136" i="4"/>
  <c r="L136" i="4"/>
  <c r="N2092" i="9"/>
  <c r="L2098" i="9"/>
  <c r="J372" i="4" s="1"/>
  <c r="K372" i="4" s="1"/>
  <c r="N725" i="9"/>
  <c r="H726" i="9"/>
  <c r="F144" i="4" s="1"/>
  <c r="L652" i="9"/>
  <c r="J135" i="4" s="1"/>
  <c r="K135" i="4" s="1"/>
  <c r="N649" i="9"/>
  <c r="N652" i="9" s="1"/>
  <c r="L636" i="9"/>
  <c r="J133" i="4" s="1"/>
  <c r="K133" i="4" s="1"/>
  <c r="N633" i="9"/>
  <c r="N636" i="9" s="1"/>
  <c r="L668" i="9"/>
  <c r="J137" i="4" s="1"/>
  <c r="K137" i="4" s="1"/>
  <c r="N665" i="9"/>
  <c r="N668" i="9" s="1"/>
  <c r="G134" i="4"/>
  <c r="L1808" i="9"/>
  <c r="J343" i="4" s="1"/>
  <c r="N1807" i="9"/>
  <c r="N1808" i="9" s="1"/>
  <c r="L1993" i="9"/>
  <c r="J363" i="4" s="1"/>
  <c r="N1990" i="9"/>
  <c r="N1993" i="9" s="1"/>
  <c r="K61" i="4"/>
  <c r="M6" i="4"/>
  <c r="L1722" i="9"/>
  <c r="J334" i="4" s="1"/>
  <c r="N1721" i="9"/>
  <c r="N1722" i="9" s="1"/>
  <c r="L1760" i="9"/>
  <c r="J338" i="4" s="1"/>
  <c r="N1759" i="9"/>
  <c r="N1760" i="9" s="1"/>
  <c r="L1817" i="9"/>
  <c r="J344" i="4" s="1"/>
  <c r="N1816" i="9"/>
  <c r="N1817" i="9" s="1"/>
  <c r="L1741" i="9"/>
  <c r="J336" i="4" s="1"/>
  <c r="N1740" i="9"/>
  <c r="N1741" i="9" s="1"/>
  <c r="L1550" i="9"/>
  <c r="J307" i="4" s="1"/>
  <c r="N1547" i="9"/>
  <c r="N1550" i="9" s="1"/>
  <c r="L1568" i="9"/>
  <c r="J310" i="4" s="1"/>
  <c r="N1565" i="9"/>
  <c r="N1568" i="9" s="1"/>
  <c r="L1751" i="9"/>
  <c r="J337" i="4" s="1"/>
  <c r="N1750" i="9"/>
  <c r="N1751" i="9" s="1"/>
  <c r="H2086" i="9"/>
  <c r="M2086" i="9"/>
  <c r="M2109" i="9"/>
  <c r="H2109" i="9"/>
  <c r="H1971" i="9"/>
  <c r="M1971" i="9"/>
  <c r="M2078" i="9"/>
  <c r="H2078" i="9"/>
  <c r="G135" i="4"/>
  <c r="L135" i="4"/>
  <c r="N2076" i="9"/>
  <c r="L2082" i="9"/>
  <c r="J370" i="4" s="1"/>
  <c r="K370" i="4" s="1"/>
  <c r="L2019" i="9"/>
  <c r="J365" i="4" s="1"/>
  <c r="N2008" i="9"/>
  <c r="N2019" i="9" s="1"/>
  <c r="N2021" i="9"/>
  <c r="N2032" i="9" s="1"/>
  <c r="L2032" i="9"/>
  <c r="J366" i="4" s="1"/>
  <c r="L2046" i="9"/>
  <c r="J367" i="4" s="1"/>
  <c r="K367" i="4" s="1"/>
  <c r="N2034" i="9"/>
  <c r="L1974" i="9"/>
  <c r="J360" i="4" s="1"/>
  <c r="K360" i="4" s="1"/>
  <c r="N1970" i="9"/>
  <c r="L1981" i="9"/>
  <c r="J361" i="4" s="1"/>
  <c r="K361" i="4" s="1"/>
  <c r="N1977" i="9"/>
  <c r="L2006" i="9"/>
  <c r="J364" i="4" s="1"/>
  <c r="N1995" i="9"/>
  <c r="N2006" i="9" s="1"/>
  <c r="L2090" i="9"/>
  <c r="J371" i="4" s="1"/>
  <c r="K371" i="4" s="1"/>
  <c r="N2084" i="9"/>
  <c r="L726" i="9"/>
  <c r="J144" i="4" s="1"/>
  <c r="K144" i="4" s="1"/>
  <c r="N720" i="9"/>
  <c r="N726" i="9" s="1"/>
  <c r="L699" i="9"/>
  <c r="J141" i="4" s="1"/>
  <c r="K141" i="4" s="1"/>
  <c r="N693" i="9"/>
  <c r="L808" i="9"/>
  <c r="J159" i="4" s="1"/>
  <c r="N803" i="9"/>
  <c r="N808" i="9" s="1"/>
  <c r="L736" i="9"/>
  <c r="J146" i="4" s="1"/>
  <c r="K146" i="4" s="1"/>
  <c r="N733" i="9"/>
  <c r="M24" i="4"/>
  <c r="H730" i="9"/>
  <c r="M730" i="9"/>
  <c r="H747" i="9"/>
  <c r="M747" i="9"/>
  <c r="I399" i="4"/>
  <c r="I400" i="4" s="1"/>
  <c r="A230" i="12" l="1"/>
  <c r="O1302" i="9"/>
  <c r="G770" i="9"/>
  <c r="F152" i="4"/>
  <c r="M139" i="4"/>
  <c r="P115" i="9"/>
  <c r="B115" i="9" s="1"/>
  <c r="O522" i="9"/>
  <c r="A496" i="11"/>
  <c r="M134" i="4"/>
  <c r="P123" i="9"/>
  <c r="G61" i="4"/>
  <c r="N61" i="4" s="1"/>
  <c r="G2049" i="9"/>
  <c r="G2035" i="9"/>
  <c r="G2063" i="9"/>
  <c r="F306" i="4"/>
  <c r="N699" i="9"/>
  <c r="M135" i="4"/>
  <c r="L134" i="4"/>
  <c r="M136" i="4"/>
  <c r="H748" i="9"/>
  <c r="F148" i="4" s="1"/>
  <c r="N747" i="9"/>
  <c r="N748" i="9" s="1"/>
  <c r="N730" i="9"/>
  <c r="N731" i="9" s="1"/>
  <c r="H731" i="9"/>
  <c r="F145" i="4" s="1"/>
  <c r="K159" i="4"/>
  <c r="K188" i="4" s="1"/>
  <c r="L159" i="4"/>
  <c r="K364" i="4"/>
  <c r="M364" i="4" s="1"/>
  <c r="L364" i="4"/>
  <c r="K365" i="4"/>
  <c r="M365" i="4" s="1"/>
  <c r="L365" i="4"/>
  <c r="N1971" i="9"/>
  <c r="N1974" i="9" s="1"/>
  <c r="H1974" i="9"/>
  <c r="F360" i="4" s="1"/>
  <c r="N2086" i="9"/>
  <c r="N2090" i="9" s="1"/>
  <c r="H2090" i="9"/>
  <c r="F371" i="4" s="1"/>
  <c r="K337" i="4"/>
  <c r="M337" i="4" s="1"/>
  <c r="L337" i="4"/>
  <c r="K310" i="4"/>
  <c r="M310" i="4" s="1"/>
  <c r="L310" i="4"/>
  <c r="K307" i="4"/>
  <c r="L307" i="4"/>
  <c r="K336" i="4"/>
  <c r="M336" i="4" s="1"/>
  <c r="L336" i="4"/>
  <c r="K344" i="4"/>
  <c r="M344" i="4" s="1"/>
  <c r="L344" i="4"/>
  <c r="K338" i="4"/>
  <c r="M338" i="4" s="1"/>
  <c r="L338" i="4"/>
  <c r="K334" i="4"/>
  <c r="M334" i="4" s="1"/>
  <c r="L334" i="4"/>
  <c r="K363" i="4"/>
  <c r="M363" i="4" s="1"/>
  <c r="L363" i="4"/>
  <c r="K343" i="4"/>
  <c r="M343" i="4" s="1"/>
  <c r="L343" i="4"/>
  <c r="M133" i="4"/>
  <c r="K340" i="4"/>
  <c r="M340" i="4" s="1"/>
  <c r="L340" i="4"/>
  <c r="K333" i="4"/>
  <c r="M333" i="4" s="1"/>
  <c r="L333" i="4"/>
  <c r="K342" i="4"/>
  <c r="M342" i="4" s="1"/>
  <c r="L342" i="4"/>
  <c r="K308" i="4"/>
  <c r="M308" i="4" s="1"/>
  <c r="L308" i="4"/>
  <c r="K311" i="4"/>
  <c r="M311" i="4" s="1"/>
  <c r="L311" i="4"/>
  <c r="K339" i="4"/>
  <c r="M339" i="4" s="1"/>
  <c r="L339" i="4"/>
  <c r="K345" i="4"/>
  <c r="M345" i="4" s="1"/>
  <c r="L345" i="4"/>
  <c r="K332" i="4"/>
  <c r="M332" i="4" s="1"/>
  <c r="L332" i="4"/>
  <c r="K335" i="4"/>
  <c r="M335" i="4" s="1"/>
  <c r="L335" i="4"/>
  <c r="K149" i="4"/>
  <c r="L139" i="4"/>
  <c r="M137" i="4"/>
  <c r="L138" i="4"/>
  <c r="L143" i="4"/>
  <c r="K366" i="4"/>
  <c r="M366" i="4" s="1"/>
  <c r="L366" i="4"/>
  <c r="N2078" i="9"/>
  <c r="N2082" i="9" s="1"/>
  <c r="H2082" i="9"/>
  <c r="F370" i="4" s="1"/>
  <c r="N2109" i="9"/>
  <c r="N2112" i="9" s="1"/>
  <c r="H2112" i="9"/>
  <c r="F374" i="4" s="1"/>
  <c r="L144" i="4"/>
  <c r="G144" i="4"/>
  <c r="M144" i="4" s="1"/>
  <c r="H736" i="9"/>
  <c r="F146" i="4" s="1"/>
  <c r="N735" i="9"/>
  <c r="N736" i="9" s="1"/>
  <c r="H742" i="9"/>
  <c r="F147" i="4" s="1"/>
  <c r="N741" i="9"/>
  <c r="N742" i="9" s="1"/>
  <c r="N1978" i="9"/>
  <c r="N1981" i="9" s="1"/>
  <c r="H1981" i="9"/>
  <c r="F361" i="4" s="1"/>
  <c r="N2102" i="9"/>
  <c r="N2106" i="9" s="1"/>
  <c r="H2106" i="9"/>
  <c r="F373" i="4" s="1"/>
  <c r="N2094" i="9"/>
  <c r="N2098" i="9" s="1"/>
  <c r="H2098" i="9"/>
  <c r="F372" i="4" s="1"/>
  <c r="L341" i="4"/>
  <c r="K341" i="4"/>
  <c r="M341" i="4" s="1"/>
  <c r="L141" i="4"/>
  <c r="G141" i="4"/>
  <c r="M141" i="4" s="1"/>
  <c r="M61" i="4"/>
  <c r="L137" i="4"/>
  <c r="M138" i="4"/>
  <c r="L133" i="4"/>
  <c r="M142" i="4"/>
  <c r="M143" i="4"/>
  <c r="A249" i="12" l="1"/>
  <c r="O1305" i="9"/>
  <c r="M770" i="9"/>
  <c r="H770" i="9"/>
  <c r="L152" i="4"/>
  <c r="G152" i="4"/>
  <c r="A531" i="11"/>
  <c r="O525" i="9"/>
  <c r="O174" i="9"/>
  <c r="O154" i="9"/>
  <c r="B123" i="9"/>
  <c r="P133" i="9"/>
  <c r="O184" i="9"/>
  <c r="O144" i="9"/>
  <c r="O164" i="9"/>
  <c r="M2063" i="9"/>
  <c r="H2063" i="9"/>
  <c r="M2049" i="9"/>
  <c r="H2049" i="9"/>
  <c r="L306" i="4"/>
  <c r="G306" i="4"/>
  <c r="M306" i="4" s="1"/>
  <c r="M2035" i="9"/>
  <c r="H2035" i="9"/>
  <c r="L372" i="4"/>
  <c r="G372" i="4"/>
  <c r="M372" i="4" s="1"/>
  <c r="G373" i="4"/>
  <c r="M373" i="4" s="1"/>
  <c r="L373" i="4"/>
  <c r="G361" i="4"/>
  <c r="M361" i="4" s="1"/>
  <c r="L361" i="4"/>
  <c r="K399" i="4"/>
  <c r="M307" i="4"/>
  <c r="M159" i="4"/>
  <c r="G148" i="4"/>
  <c r="M148" i="4" s="1"/>
  <c r="L148" i="4"/>
  <c r="G147" i="4"/>
  <c r="M147" i="4" s="1"/>
  <c r="L147" i="4"/>
  <c r="G146" i="4"/>
  <c r="M146" i="4" s="1"/>
  <c r="L146" i="4"/>
  <c r="L374" i="4"/>
  <c r="G374" i="4"/>
  <c r="M374" i="4" s="1"/>
  <c r="L370" i="4"/>
  <c r="G370" i="4"/>
  <c r="M370" i="4" s="1"/>
  <c r="G371" i="4"/>
  <c r="M371" i="4" s="1"/>
  <c r="L371" i="4"/>
  <c r="G360" i="4"/>
  <c r="L360" i="4"/>
  <c r="G145" i="4"/>
  <c r="M145" i="4" s="1"/>
  <c r="L145" i="4"/>
  <c r="M149" i="4" l="1"/>
  <c r="A268" i="12"/>
  <c r="O1308" i="9"/>
  <c r="M152" i="4"/>
  <c r="N770" i="9"/>
  <c r="N774" i="9" s="1"/>
  <c r="H774" i="9"/>
  <c r="F154" i="4" s="1"/>
  <c r="O528" i="9"/>
  <c r="A566" i="11"/>
  <c r="O169" i="9"/>
  <c r="O149" i="9"/>
  <c r="O179" i="9"/>
  <c r="P143" i="9"/>
  <c r="B133" i="9"/>
  <c r="O159" i="9"/>
  <c r="O189" i="9"/>
  <c r="H2046" i="9"/>
  <c r="F367" i="4" s="1"/>
  <c r="N2035" i="9"/>
  <c r="N2046" i="9" s="1"/>
  <c r="N2049" i="9"/>
  <c r="N2060" i="9" s="1"/>
  <c r="H2060" i="9"/>
  <c r="F368" i="4" s="1"/>
  <c r="H2074" i="9"/>
  <c r="F369" i="4" s="1"/>
  <c r="N2063" i="9"/>
  <c r="N2074" i="9" s="1"/>
  <c r="M360" i="4"/>
  <c r="K400" i="4"/>
  <c r="G149" i="4"/>
  <c r="L154" i="4" l="1"/>
  <c r="G154" i="4"/>
  <c r="A287" i="12"/>
  <c r="O1311" i="9"/>
  <c r="A1056" i="11"/>
  <c r="A601" i="11"/>
  <c r="A636" i="11" s="1"/>
  <c r="A671" i="11" s="1"/>
  <c r="A706" i="11" s="1"/>
  <c r="A741" i="11" s="1"/>
  <c r="A776" i="11" s="1"/>
  <c r="A811" i="11" s="1"/>
  <c r="A846" i="11" s="1"/>
  <c r="A881" i="11" s="1"/>
  <c r="A916" i="11" s="1"/>
  <c r="A951" i="11" s="1"/>
  <c r="A986" i="11" s="1"/>
  <c r="A1021" i="11" s="1"/>
  <c r="O531" i="9"/>
  <c r="B143" i="9"/>
  <c r="P148" i="9"/>
  <c r="L369" i="4"/>
  <c r="G369" i="4"/>
  <c r="M369" i="4" s="1"/>
  <c r="G367" i="4"/>
  <c r="L367" i="4"/>
  <c r="L368" i="4"/>
  <c r="G368" i="4"/>
  <c r="M368" i="4" s="1"/>
  <c r="N149" i="4"/>
  <c r="M154" i="4" l="1"/>
  <c r="M188" i="4" s="1"/>
  <c r="G188" i="4"/>
  <c r="N188" i="4" s="1"/>
  <c r="A306" i="12"/>
  <c r="O1314" i="9"/>
  <c r="O408" i="9"/>
  <c r="A1091" i="11"/>
  <c r="P153" i="9"/>
  <c r="B148" i="9"/>
  <c r="M367" i="4"/>
  <c r="M399" i="4" s="1"/>
  <c r="M400" i="4" s="1"/>
  <c r="G399" i="4"/>
  <c r="O409" i="9" l="1"/>
  <c r="A325" i="12"/>
  <c r="O1317" i="9"/>
  <c r="O550" i="9"/>
  <c r="O544" i="9"/>
  <c r="O414" i="9"/>
  <c r="A1126" i="11"/>
  <c r="P158" i="9"/>
  <c r="B153" i="9"/>
  <c r="N399" i="4"/>
  <c r="N400" i="4" s="1"/>
  <c r="G400" i="4"/>
  <c r="O415" i="9" l="1"/>
  <c r="O556" i="9"/>
  <c r="O562" i="9"/>
  <c r="O1320" i="9"/>
  <c r="A344" i="12"/>
  <c r="A1161" i="11"/>
  <c r="O541" i="9"/>
  <c r="O2053" i="9"/>
  <c r="O2067" i="9"/>
  <c r="B158" i="9"/>
  <c r="O2039" i="9"/>
  <c r="P163" i="9"/>
  <c r="O1323" i="9" l="1"/>
  <c r="A363" i="12"/>
  <c r="O547" i="9"/>
  <c r="A1196" i="11"/>
  <c r="O741" i="9"/>
  <c r="O730" i="9"/>
  <c r="P168" i="9"/>
  <c r="O747" i="9"/>
  <c r="B163" i="9"/>
  <c r="O735" i="9"/>
  <c r="O1326" i="9" l="1"/>
  <c r="A382" i="12"/>
  <c r="A1231" i="11"/>
  <c r="O553" i="9"/>
  <c r="O1971" i="9"/>
  <c r="O2094" i="9"/>
  <c r="O2086" i="9"/>
  <c r="O2078" i="9"/>
  <c r="O1978" i="9"/>
  <c r="O2102" i="9"/>
  <c r="O2109" i="9"/>
  <c r="B168" i="9"/>
  <c r="P173" i="9"/>
  <c r="A401" i="12" l="1"/>
  <c r="O1329" i="9"/>
  <c r="O995" i="9"/>
  <c r="O931" i="9"/>
  <c r="O899" i="9"/>
  <c r="A1266" i="11"/>
  <c r="O559" i="9"/>
  <c r="P178" i="9"/>
  <c r="B173" i="9"/>
  <c r="O1332" i="9" l="1"/>
  <c r="A420" i="12"/>
  <c r="O472" i="9"/>
  <c r="O486" i="9"/>
  <c r="O394" i="9"/>
  <c r="O479" i="9"/>
  <c r="B178" i="9"/>
  <c r="P183" i="9"/>
  <c r="O1335" i="9" l="1"/>
  <c r="A439" i="12"/>
  <c r="O725" i="9"/>
  <c r="O707" i="9"/>
  <c r="P188" i="9"/>
  <c r="O716" i="9"/>
  <c r="B183" i="9"/>
  <c r="O698" i="9"/>
  <c r="O1338" i="9" l="1"/>
  <c r="O858" i="9"/>
  <c r="A458" i="12"/>
  <c r="O830" i="9"/>
  <c r="O886" i="9"/>
  <c r="B188" i="9"/>
  <c r="O2079" i="9"/>
  <c r="O2103" i="9"/>
  <c r="O2087" i="9"/>
  <c r="O2066" i="9"/>
  <c r="O2095" i="9"/>
  <c r="O2038" i="9"/>
  <c r="O2052" i="9"/>
  <c r="P193" i="9"/>
  <c r="O1081" i="9" l="1"/>
  <c r="O1095" i="9"/>
  <c r="O1016" i="9"/>
  <c r="O1067" i="9"/>
  <c r="O1005" i="9"/>
  <c r="O1053" i="9"/>
  <c r="A477" i="12"/>
  <c r="O1341" i="9"/>
  <c r="O224" i="9"/>
  <c r="P203" i="9"/>
  <c r="B193" i="9"/>
  <c r="O214" i="9"/>
  <c r="O1082" i="9" l="1"/>
  <c r="O1096" i="9"/>
  <c r="O1068" i="9"/>
  <c r="A496" i="12"/>
  <c r="O1054" i="9"/>
  <c r="O1344" i="9"/>
  <c r="O229" i="9"/>
  <c r="B203" i="9"/>
  <c r="O219" i="9"/>
  <c r="P213" i="9"/>
  <c r="A515" i="12" l="1"/>
  <c r="O1347" i="9"/>
  <c r="B213" i="9"/>
  <c r="P218" i="9"/>
  <c r="O1350" i="9" l="1"/>
  <c r="A534" i="12"/>
  <c r="B218" i="9"/>
  <c r="P223" i="9"/>
  <c r="O1353" i="9" l="1"/>
  <c r="A553" i="12"/>
  <c r="B223" i="9"/>
  <c r="P228" i="9"/>
  <c r="O1356" i="9" l="1"/>
  <c r="A572" i="12"/>
  <c r="B228" i="9"/>
  <c r="P233" i="9"/>
  <c r="O1359" i="9" l="1"/>
  <c r="A591" i="12"/>
  <c r="B233" i="9"/>
  <c r="P240" i="9"/>
  <c r="O965" i="9" l="1"/>
  <c r="A610" i="12"/>
  <c r="O908" i="9"/>
  <c r="O977" i="9"/>
  <c r="O941" i="9"/>
  <c r="O953" i="9"/>
  <c r="O1362" i="9"/>
  <c r="O989" i="9"/>
  <c r="B240" i="9"/>
  <c r="P249" i="9"/>
  <c r="O955" i="9" l="1"/>
  <c r="O943" i="9"/>
  <c r="O979" i="9"/>
  <c r="O991" i="9"/>
  <c r="O967" i="9"/>
  <c r="O1368" i="9"/>
  <c r="A629" i="12"/>
  <c r="B249" i="9"/>
  <c r="P258" i="9"/>
  <c r="O1371" i="9" l="1"/>
  <c r="A648" i="12"/>
  <c r="B258" i="9"/>
  <c r="P263" i="9"/>
  <c r="A667" i="12" l="1"/>
  <c r="O1374" i="9"/>
  <c r="B263" i="9"/>
  <c r="P268" i="9"/>
  <c r="A686" i="12" l="1"/>
  <c r="O1365" i="9"/>
  <c r="B268" i="9"/>
  <c r="P273" i="9"/>
  <c r="O840" i="9" l="1"/>
  <c r="O1386" i="9"/>
  <c r="O868" i="9"/>
  <c r="O930" i="9"/>
  <c r="A705" i="12"/>
  <c r="O1661" i="9"/>
  <c r="O814" i="9"/>
  <c r="O1003" i="9"/>
  <c r="O1655" i="9"/>
  <c r="O1685" i="9"/>
  <c r="O1649" i="9"/>
  <c r="O1673" i="9"/>
  <c r="O898" i="9"/>
  <c r="O1691" i="9"/>
  <c r="O1014" i="9"/>
  <c r="O1679" i="9"/>
  <c r="O1667" i="9"/>
  <c r="B273" i="9"/>
  <c r="P280" i="9"/>
  <c r="O1026" i="9" l="1"/>
  <c r="O1377" i="9"/>
  <c r="A724" i="12"/>
  <c r="B280" i="9"/>
  <c r="P287" i="9"/>
  <c r="A743" i="12" l="1"/>
  <c r="O1380" i="9"/>
  <c r="B287" i="9"/>
  <c r="P294" i="9"/>
  <c r="A762" i="12" l="1"/>
  <c r="O1383" i="9"/>
  <c r="B294" i="9"/>
  <c r="P301" i="9"/>
  <c r="O1389" i="9" l="1"/>
  <c r="A781" i="12"/>
  <c r="A800" i="12" s="1"/>
  <c r="B301" i="9"/>
  <c r="P308" i="9"/>
  <c r="O1013" i="9" l="1"/>
  <c r="O929" i="9"/>
  <c r="A819" i="12"/>
  <c r="O1527" i="9"/>
  <c r="O1002" i="9"/>
  <c r="O1025" i="9"/>
  <c r="O780" i="9"/>
  <c r="O897" i="9"/>
  <c r="O768" i="9"/>
  <c r="P315" i="9"/>
  <c r="B308" i="9"/>
  <c r="O1395" i="9" l="1"/>
  <c r="A838" i="12"/>
  <c r="O654" i="9"/>
  <c r="O670" i="9"/>
  <c r="B315" i="9"/>
  <c r="O662" i="9"/>
  <c r="O630" i="9"/>
  <c r="O679" i="9"/>
  <c r="O638" i="9"/>
  <c r="O646" i="9"/>
  <c r="P322" i="9"/>
  <c r="O1398" i="9" l="1"/>
  <c r="A857" i="12"/>
  <c r="B322" i="9"/>
  <c r="O1036" i="9"/>
  <c r="P329" i="9"/>
  <c r="A876" i="12" l="1"/>
  <c r="O1401" i="9"/>
  <c r="O1711" i="9"/>
  <c r="P335" i="9"/>
  <c r="B329" i="9"/>
  <c r="A895" i="12" l="1"/>
  <c r="O1404" i="9"/>
  <c r="O1825" i="9"/>
  <c r="O1730" i="9"/>
  <c r="O1749" i="9"/>
  <c r="B335" i="9"/>
  <c r="O1768" i="9"/>
  <c r="O1787" i="9"/>
  <c r="O1806" i="9"/>
  <c r="P341" i="9"/>
  <c r="A914" i="12" l="1"/>
  <c r="O1407" i="9"/>
  <c r="B341" i="9"/>
  <c r="P347" i="9"/>
  <c r="A933" i="12" l="1"/>
  <c r="O1410" i="9"/>
  <c r="B347" i="9"/>
  <c r="P353" i="9"/>
  <c r="A952" i="12" l="1"/>
  <c r="O1187" i="9"/>
  <c r="O1413" i="9"/>
  <c r="O1577" i="9"/>
  <c r="O1583" i="9"/>
  <c r="O1180" i="9"/>
  <c r="O1229" i="9"/>
  <c r="O1152" i="9"/>
  <c r="O1601" i="9"/>
  <c r="O1201" i="9"/>
  <c r="O1215" i="9"/>
  <c r="O1138" i="9"/>
  <c r="O1236" i="9"/>
  <c r="O1589" i="9"/>
  <c r="O1194" i="9"/>
  <c r="O1638" i="9"/>
  <c r="O1559" i="9"/>
  <c r="O1243" i="9"/>
  <c r="O1595" i="9"/>
  <c r="O1208" i="9"/>
  <c r="O1222" i="9"/>
  <c r="O1145" i="9"/>
  <c r="O1173" i="9"/>
  <c r="O1159" i="9"/>
  <c r="O1166" i="9"/>
  <c r="B353" i="9"/>
  <c r="P359" i="9"/>
  <c r="O1607" i="9" l="1"/>
  <c r="O1625" i="9"/>
  <c r="O1619" i="9"/>
  <c r="A971" i="12"/>
  <c r="O1613" i="9"/>
  <c r="B359" i="9"/>
  <c r="P365" i="9"/>
  <c r="A990" i="12" l="1"/>
  <c r="O1416" i="9"/>
  <c r="B365" i="9"/>
  <c r="P371" i="9"/>
  <c r="O1419" i="9" l="1"/>
  <c r="A1009" i="12"/>
  <c r="B371" i="9"/>
  <c r="P374" i="9"/>
  <c r="O1422" i="9" l="1"/>
  <c r="A1028" i="12"/>
  <c r="B374" i="9"/>
  <c r="P377" i="9"/>
  <c r="O1425" i="9" l="1"/>
  <c r="A1047" i="12"/>
  <c r="B377" i="9"/>
  <c r="P380" i="9"/>
  <c r="O1428" i="9" l="1"/>
  <c r="A1066" i="12"/>
  <c r="B380" i="9"/>
  <c r="P383" i="9"/>
  <c r="O704" i="9" l="1"/>
  <c r="O722" i="9"/>
  <c r="A1085" i="12"/>
  <c r="O695" i="9"/>
  <c r="O1431" i="9"/>
  <c r="O713" i="9"/>
  <c r="B383" i="9"/>
  <c r="P386" i="9"/>
  <c r="O1434" i="9" l="1"/>
  <c r="A1104" i="12"/>
  <c r="B386" i="9"/>
  <c r="P389" i="9"/>
  <c r="O1437" i="9" l="1"/>
  <c r="A1123" i="12"/>
  <c r="B389" i="9"/>
  <c r="P392" i="9"/>
  <c r="O1440" i="9" l="1"/>
  <c r="A1142" i="12"/>
  <c r="B392" i="9"/>
  <c r="P396" i="9"/>
  <c r="O1443" i="9" l="1"/>
  <c r="A1161" i="12"/>
  <c r="B396" i="9"/>
  <c r="P400" i="9"/>
  <c r="O1446" i="9" l="1"/>
  <c r="A1180" i="12"/>
  <c r="B400" i="9"/>
  <c r="O1037" i="9"/>
  <c r="P407" i="9"/>
  <c r="O1449" i="9" l="1"/>
  <c r="A1199" i="12"/>
  <c r="B407" i="9"/>
  <c r="P413" i="9"/>
  <c r="O907" i="9" l="1"/>
  <c r="A1218" i="12"/>
  <c r="O952" i="9"/>
  <c r="O976" i="9"/>
  <c r="O1452" i="9"/>
  <c r="O988" i="9"/>
  <c r="O940" i="9"/>
  <c r="O964" i="9"/>
  <c r="P419" i="9"/>
  <c r="B413" i="9"/>
  <c r="O1455" i="9" l="1"/>
  <c r="A1237" i="12"/>
  <c r="B419" i="9"/>
  <c r="P423" i="9"/>
  <c r="B423" i="9" s="1"/>
  <c r="O921" i="9" l="1"/>
  <c r="A1256" i="12"/>
  <c r="O916" i="9"/>
  <c r="O1524" i="9"/>
  <c r="P430" i="9"/>
  <c r="O1458" i="9" l="1"/>
  <c r="A1275" i="12"/>
  <c r="O1976" i="9"/>
  <c r="O680" i="9"/>
  <c r="O671" i="9"/>
  <c r="P434" i="9"/>
  <c r="B430" i="9"/>
  <c r="O647" i="9"/>
  <c r="O639" i="9"/>
  <c r="O631" i="9"/>
  <c r="O655" i="9"/>
  <c r="O1969" i="9"/>
  <c r="O663" i="9"/>
  <c r="O1028" i="9" l="1"/>
  <c r="O782" i="9"/>
  <c r="A1294" i="12"/>
  <c r="O316" i="9"/>
  <c r="O1461" i="9"/>
  <c r="O323" i="9"/>
  <c r="B434" i="9"/>
  <c r="P441" i="9"/>
  <c r="O298" i="9" l="1"/>
  <c r="O277" i="9"/>
  <c r="O305" i="9"/>
  <c r="O312" i="9"/>
  <c r="O284" i="9"/>
  <c r="O291" i="9"/>
  <c r="A1313" i="12"/>
  <c r="O1464" i="9"/>
  <c r="B441" i="9"/>
  <c r="P445" i="9"/>
  <c r="O1472" i="9" l="1"/>
  <c r="A1332" i="12"/>
  <c r="B445" i="9"/>
  <c r="P450" i="9"/>
  <c r="O306" i="9" l="1"/>
  <c r="O1467" i="9"/>
  <c r="O313" i="9"/>
  <c r="O278" i="9"/>
  <c r="A1351" i="12"/>
  <c r="O299" i="9"/>
  <c r="O292" i="9"/>
  <c r="O285" i="9"/>
  <c r="B450" i="9"/>
  <c r="P454" i="9"/>
  <c r="O1475" i="9" l="1"/>
  <c r="A1370" i="12"/>
  <c r="O427" i="9"/>
  <c r="O404" i="9"/>
  <c r="O537" i="9"/>
  <c r="O438" i="9"/>
  <c r="B454" i="9"/>
  <c r="P458" i="9"/>
  <c r="A1389" i="12" l="1"/>
  <c r="O1478" i="9"/>
  <c r="B458" i="9"/>
  <c r="P461" i="9"/>
  <c r="O1481" i="9" l="1"/>
  <c r="A1408" i="12"/>
  <c r="B461" i="9"/>
  <c r="P464" i="9"/>
  <c r="O426" i="9" l="1"/>
  <c r="A1427" i="12"/>
  <c r="O403" i="9"/>
  <c r="O1484" i="9"/>
  <c r="O437" i="9"/>
  <c r="O536" i="9"/>
  <c r="B464" i="9"/>
  <c r="P467" i="9"/>
  <c r="O1487" i="9" l="1"/>
  <c r="A1446" i="12"/>
  <c r="B467" i="9"/>
  <c r="P470" i="9"/>
  <c r="O1490" i="9" l="1"/>
  <c r="A1465" i="12"/>
  <c r="B470" i="9"/>
  <c r="P474" i="9"/>
  <c r="O1496" i="9" l="1"/>
  <c r="A1484" i="12"/>
  <c r="B474" i="9"/>
  <c r="P477" i="9"/>
  <c r="O1499" i="9" l="1"/>
  <c r="A1503" i="12"/>
  <c r="B477" i="9"/>
  <c r="P481" i="9"/>
  <c r="O1502" i="9" l="1"/>
  <c r="A1522" i="12"/>
  <c r="B481" i="9"/>
  <c r="P484" i="9"/>
  <c r="A1541" i="12" l="1"/>
  <c r="O1505" i="9"/>
  <c r="B484" i="9"/>
  <c r="P488" i="9"/>
  <c r="A1560" i="12" l="1"/>
  <c r="O1508" i="9"/>
  <c r="B488" i="9"/>
  <c r="P491" i="9"/>
  <c r="O1743" i="9" l="1"/>
  <c r="O1849" i="9"/>
  <c r="O1800" i="9"/>
  <c r="O1781" i="9"/>
  <c r="O1819" i="9"/>
  <c r="O1829" i="9"/>
  <c r="O1705" i="9"/>
  <c r="O1929" i="9"/>
  <c r="O1696" i="9"/>
  <c r="O1839" i="9"/>
  <c r="O1919" i="9"/>
  <c r="O1859" i="9"/>
  <c r="O1762" i="9"/>
  <c r="O1949" i="9"/>
  <c r="O1869" i="9"/>
  <c r="O1753" i="9"/>
  <c r="A1579" i="12"/>
  <c r="O1810" i="9"/>
  <c r="O1791" i="9"/>
  <c r="O1889" i="9"/>
  <c r="O1879" i="9"/>
  <c r="O1772" i="9"/>
  <c r="O1939" i="9"/>
  <c r="O1959" i="9"/>
  <c r="O1715" i="9"/>
  <c r="O1724" i="9"/>
  <c r="O1909" i="9"/>
  <c r="O1734" i="9"/>
  <c r="O1899" i="9"/>
  <c r="B491" i="9"/>
  <c r="P494" i="9"/>
  <c r="O932" i="9" l="1"/>
  <c r="O900" i="9"/>
  <c r="O815" i="9"/>
  <c r="O1511" i="9"/>
  <c r="O869" i="9"/>
  <c r="A1598" i="12"/>
  <c r="O841" i="9"/>
  <c r="B494" i="9"/>
  <c r="P497" i="9"/>
  <c r="B497" i="9" s="1"/>
  <c r="O879" i="9" l="1"/>
  <c r="O980" i="9"/>
  <c r="O956" i="9"/>
  <c r="A1617" i="12"/>
  <c r="O944" i="9"/>
  <c r="O1514" i="9"/>
  <c r="O968" i="9"/>
  <c r="O889" i="9"/>
  <c r="O861" i="9"/>
  <c r="O824" i="9"/>
  <c r="O992" i="9"/>
  <c r="O851" i="9"/>
  <c r="O911" i="9"/>
  <c r="O833" i="9"/>
  <c r="P500" i="9"/>
  <c r="O1079" i="9" l="1"/>
  <c r="O1093" i="9"/>
  <c r="O1051" i="9"/>
  <c r="O1517" i="9"/>
  <c r="A1636" i="12"/>
  <c r="O1065" i="9"/>
  <c r="B500" i="9"/>
  <c r="P503" i="9"/>
  <c r="A1655" i="12" l="1"/>
  <c r="O1520" i="9"/>
  <c r="B503" i="9"/>
  <c r="P506" i="9"/>
  <c r="O1521" i="9" l="1"/>
  <c r="A1674" i="12"/>
  <c r="B506" i="9"/>
  <c r="P509" i="9"/>
  <c r="A1693" i="12" l="1"/>
  <c r="O1469" i="9"/>
  <c r="O1493" i="9"/>
  <c r="B509" i="9"/>
  <c r="P512" i="9"/>
  <c r="A1712" i="12" l="1"/>
  <c r="O1468" i="9"/>
  <c r="B512" i="9"/>
  <c r="P515" i="9"/>
  <c r="B515" i="9" s="1"/>
  <c r="A1731" i="12" l="1"/>
  <c r="O2190" i="9"/>
  <c r="P518" i="9"/>
  <c r="O2191" i="9" l="1"/>
  <c r="A1750" i="12"/>
  <c r="B518" i="9"/>
  <c r="P521" i="9"/>
  <c r="O338" i="9" l="1"/>
  <c r="O350" i="9"/>
  <c r="O332" i="9"/>
  <c r="O362" i="9"/>
  <c r="O356" i="9"/>
  <c r="O368" i="9"/>
  <c r="O344" i="9"/>
  <c r="B521" i="9"/>
  <c r="P524" i="9"/>
  <c r="B524" i="9" l="1"/>
  <c r="P527" i="9"/>
  <c r="B527" i="9" l="1"/>
  <c r="P530" i="9"/>
  <c r="B530" i="9" l="1"/>
  <c r="P533" i="9"/>
  <c r="B533" i="9" l="1"/>
  <c r="P540" i="9"/>
  <c r="B540" i="9" l="1"/>
  <c r="P546" i="9"/>
  <c r="B546" i="9" l="1"/>
  <c r="P552" i="9"/>
  <c r="B552" i="9" l="1"/>
  <c r="P558" i="9"/>
  <c r="B558" i="9" l="1"/>
  <c r="P564" i="9"/>
  <c r="B564" i="9" l="1"/>
  <c r="P567" i="9"/>
  <c r="B567" i="9" l="1"/>
  <c r="P570" i="9"/>
  <c r="B570" i="9" l="1"/>
  <c r="P573" i="9"/>
  <c r="B573" i="9" l="1"/>
  <c r="P576" i="9"/>
  <c r="B576" i="9" l="1"/>
  <c r="P579" i="9"/>
  <c r="B579" i="9" l="1"/>
  <c r="P582" i="9"/>
  <c r="B582" i="9" l="1"/>
  <c r="P585" i="9"/>
  <c r="B585" i="9" l="1"/>
  <c r="P588" i="9"/>
  <c r="B588" i="9" l="1"/>
  <c r="P591" i="9"/>
  <c r="B591" i="9" l="1"/>
  <c r="P594" i="9"/>
  <c r="B594" i="9" l="1"/>
  <c r="P597" i="9"/>
  <c r="B597" i="9" l="1"/>
  <c r="P601" i="9"/>
  <c r="B601" i="9" l="1"/>
  <c r="P605" i="9"/>
  <c r="B605" i="9" l="1"/>
  <c r="P609" i="9"/>
  <c r="B609" i="9" l="1"/>
  <c r="P613" i="9"/>
  <c r="B613" i="9" l="1"/>
  <c r="P617" i="9"/>
  <c r="B617" i="9" l="1"/>
  <c r="P621" i="9"/>
  <c r="B621" i="9" l="1"/>
  <c r="P625" i="9"/>
  <c r="B625" i="9" l="1"/>
  <c r="P629" i="9"/>
  <c r="B629" i="9" l="1"/>
  <c r="P637" i="9"/>
  <c r="B637" i="9" l="1"/>
  <c r="P645" i="9"/>
  <c r="B645" i="9" s="1"/>
  <c r="P653" i="9" l="1"/>
  <c r="B653" i="9" l="1"/>
  <c r="P661" i="9"/>
  <c r="B661" i="9" l="1"/>
  <c r="P669" i="9"/>
  <c r="B669" i="9" l="1"/>
  <c r="P677" i="9"/>
  <c r="B677" i="9" l="1"/>
  <c r="P686" i="9"/>
  <c r="B686" i="9" l="1"/>
  <c r="P691" i="9"/>
  <c r="B691" i="9" l="1"/>
  <c r="P700" i="9"/>
  <c r="B700" i="9" l="1"/>
  <c r="P709" i="9"/>
  <c r="B709" i="9" l="1"/>
  <c r="P718" i="9"/>
  <c r="B718" i="9" l="1"/>
  <c r="P727" i="9"/>
  <c r="B727" i="9" s="1"/>
  <c r="P732" i="9" l="1"/>
  <c r="B732" i="9" l="1"/>
  <c r="P737" i="9"/>
  <c r="B737" i="9" l="1"/>
  <c r="P743" i="9"/>
  <c r="B743" i="9" l="1"/>
  <c r="P749" i="9"/>
  <c r="P752" i="9" s="1"/>
  <c r="O770" i="9" l="1"/>
  <c r="P757" i="9"/>
  <c r="B752" i="9"/>
  <c r="B749" i="9"/>
  <c r="B757" i="9" l="1"/>
  <c r="O771" i="9"/>
  <c r="P762" i="9"/>
  <c r="B762" i="9" s="1"/>
  <c r="P775" i="9"/>
  <c r="B775" i="9" l="1"/>
  <c r="P786" i="9"/>
  <c r="B786" i="9" s="1"/>
  <c r="P790" i="9" l="1"/>
  <c r="B790" i="9" l="1"/>
  <c r="O807" i="9"/>
  <c r="O800" i="9"/>
  <c r="P794" i="9"/>
  <c r="B794" i="9" l="1"/>
  <c r="P802" i="9"/>
  <c r="B802" i="9" l="1"/>
  <c r="P809" i="9"/>
  <c r="B809" i="9" l="1"/>
  <c r="P817" i="9"/>
  <c r="B817" i="9" l="1"/>
  <c r="P826" i="9"/>
  <c r="B826" i="9" l="1"/>
  <c r="P835" i="9"/>
  <c r="B835" i="9" l="1"/>
  <c r="P843" i="9"/>
  <c r="B843" i="9" s="1"/>
  <c r="P853" i="9" l="1"/>
  <c r="B853" i="9" l="1"/>
  <c r="P863" i="9"/>
  <c r="B863" i="9" l="1"/>
  <c r="P871" i="9"/>
  <c r="B871" i="9" l="1"/>
  <c r="P881" i="9"/>
  <c r="B881" i="9" l="1"/>
  <c r="P891" i="9"/>
  <c r="B891" i="9" l="1"/>
  <c r="P902" i="9"/>
  <c r="B902" i="9" l="1"/>
  <c r="P913" i="9"/>
  <c r="B913" i="9" l="1"/>
  <c r="P918" i="9"/>
  <c r="B918" i="9" l="1"/>
  <c r="P923" i="9"/>
  <c r="B923" i="9" l="1"/>
  <c r="P935" i="9"/>
  <c r="B935" i="9" l="1"/>
  <c r="P947" i="9"/>
  <c r="B947" i="9" l="1"/>
  <c r="P959" i="9"/>
  <c r="B959" i="9" s="1"/>
  <c r="P971" i="9" l="1"/>
  <c r="B971" i="9" l="1"/>
  <c r="P983" i="9"/>
  <c r="B983" i="9" l="1"/>
  <c r="P997" i="9"/>
  <c r="B997" i="9" l="1"/>
  <c r="P1008" i="9"/>
  <c r="B1008" i="9" s="1"/>
  <c r="P1019" i="9" l="1"/>
  <c r="B1019" i="9" l="1"/>
  <c r="P1031" i="9"/>
  <c r="O933" i="9" l="1"/>
  <c r="O993" i="9"/>
  <c r="O969" i="9"/>
  <c r="O945" i="9"/>
  <c r="O1029" i="9"/>
  <c r="P1035" i="9"/>
  <c r="O1006" i="9"/>
  <c r="O1017" i="9"/>
  <c r="B1031" i="9"/>
  <c r="O957" i="9"/>
  <c r="O981" i="9"/>
  <c r="B1035" i="9" l="1"/>
  <c r="P1042" i="9"/>
  <c r="B1042" i="9" l="1"/>
  <c r="O1038" i="9"/>
  <c r="P1056" i="9"/>
  <c r="P1070" i="9" l="1"/>
  <c r="B1056" i="9"/>
  <c r="P1084" i="9" l="1"/>
  <c r="B1070" i="9"/>
  <c r="B1084" i="9" l="1"/>
  <c r="P1098" i="9"/>
  <c r="P1101" i="9" s="1"/>
  <c r="B1101" i="9" l="1"/>
  <c r="P1104" i="9"/>
  <c r="B1104" i="9" s="1"/>
  <c r="B1098" i="9"/>
  <c r="P1111" i="9" l="1"/>
  <c r="B1111" i="9" s="1"/>
  <c r="P1119" i="9" l="1"/>
  <c r="B1119" i="9" s="1"/>
  <c r="P1127" i="9" l="1"/>
  <c r="B1127" i="9" s="1"/>
  <c r="P1135" i="9" l="1"/>
  <c r="B1135" i="9" s="1"/>
  <c r="P1142" i="9" l="1"/>
  <c r="B1142" i="9" s="1"/>
  <c r="P1149" i="9" l="1"/>
  <c r="B1149" i="9" s="1"/>
  <c r="P1156" i="9" l="1"/>
  <c r="B1156" i="9" s="1"/>
  <c r="P1163" i="9" l="1"/>
  <c r="B1163" i="9" s="1"/>
  <c r="P1170" i="9" l="1"/>
  <c r="B1170" i="9" s="1"/>
  <c r="P1177" i="9" l="1"/>
  <c r="B1177" i="9" s="1"/>
  <c r="P1184" i="9" l="1"/>
  <c r="B1184" i="9" s="1"/>
  <c r="P1191" i="9" l="1"/>
  <c r="B1191" i="9" s="1"/>
  <c r="P1198" i="9" l="1"/>
  <c r="B1198" i="9" s="1"/>
  <c r="P1205" i="9" l="1"/>
  <c r="B1205" i="9" s="1"/>
  <c r="P1212" i="9" l="1"/>
  <c r="B1212" i="9" s="1"/>
  <c r="P1219" i="9" l="1"/>
  <c r="B1219" i="9" s="1"/>
  <c r="P1226" i="9" l="1"/>
  <c r="B1226" i="9" s="1"/>
  <c r="P1233" i="9" l="1"/>
  <c r="B1233" i="9" s="1"/>
  <c r="P1240" i="9" l="1"/>
  <c r="B1240" i="9" s="1"/>
  <c r="P1247" i="9" l="1"/>
  <c r="B1247" i="9" s="1"/>
  <c r="P1250" i="9" l="1"/>
  <c r="B1250" i="9" s="1"/>
  <c r="P1257" i="9" l="1"/>
  <c r="B1257" i="9" s="1"/>
  <c r="P1264" i="9" l="1"/>
  <c r="B1264" i="9" s="1"/>
  <c r="P1271" i="9" l="1"/>
  <c r="B1271" i="9" s="1"/>
  <c r="P1274" i="9" l="1"/>
  <c r="B1274" i="9" s="1"/>
  <c r="P1277" i="9" l="1"/>
  <c r="B1277" i="9" s="1"/>
  <c r="P1280" i="9" l="1"/>
  <c r="B1280" i="9" s="1"/>
  <c r="P1283" i="9" l="1"/>
  <c r="B1283" i="9" s="1"/>
  <c r="P1286" i="9" l="1"/>
  <c r="B1286" i="9" s="1"/>
  <c r="P1289" i="9" l="1"/>
  <c r="B1289" i="9" s="1"/>
  <c r="P1292" i="9" l="1"/>
  <c r="B1292" i="9" s="1"/>
  <c r="P1295" i="9" l="1"/>
  <c r="B1295" i="9" s="1"/>
  <c r="P1298" i="9" l="1"/>
  <c r="B1298" i="9" s="1"/>
  <c r="P1301" i="9" l="1"/>
  <c r="B1301" i="9" s="1"/>
  <c r="P1304" i="9" l="1"/>
  <c r="B1304" i="9" s="1"/>
  <c r="P1307" i="9" l="1"/>
  <c r="B1307" i="9" s="1"/>
  <c r="P1310" i="9" l="1"/>
  <c r="B1310" i="9" s="1"/>
  <c r="P1313" i="9" l="1"/>
  <c r="B1313" i="9" s="1"/>
  <c r="P1316" i="9" l="1"/>
  <c r="B1316" i="9" s="1"/>
  <c r="P1319" i="9" l="1"/>
  <c r="B1319" i="9" s="1"/>
  <c r="P1322" i="9" l="1"/>
  <c r="B1322" i="9" s="1"/>
  <c r="P1325" i="9" l="1"/>
  <c r="B1325" i="9" s="1"/>
  <c r="P1328" i="9" l="1"/>
  <c r="B1328" i="9" s="1"/>
  <c r="P1331" i="9" l="1"/>
  <c r="B1331" i="9" s="1"/>
  <c r="P1334" i="9" l="1"/>
  <c r="B1334" i="9" s="1"/>
  <c r="P1337" i="9" l="1"/>
  <c r="B1337" i="9" s="1"/>
  <c r="P1340" i="9" l="1"/>
  <c r="B1340" i="9" s="1"/>
  <c r="P1343" i="9" l="1"/>
  <c r="B1343" i="9" s="1"/>
  <c r="P1346" i="9" l="1"/>
  <c r="B1346" i="9" s="1"/>
  <c r="P1349" i="9" l="1"/>
  <c r="B1349" i="9" s="1"/>
  <c r="P1352" i="9" l="1"/>
  <c r="B1352" i="9" s="1"/>
  <c r="P1355" i="9" l="1"/>
  <c r="B1355" i="9" s="1"/>
  <c r="P1358" i="9" l="1"/>
  <c r="B1358" i="9" s="1"/>
  <c r="P1361" i="9" l="1"/>
  <c r="B1361" i="9" s="1"/>
  <c r="P1364" i="9" l="1"/>
  <c r="B1364" i="9" s="1"/>
  <c r="P1367" i="9" l="1"/>
  <c r="B1367" i="9" s="1"/>
  <c r="P1370" i="9" l="1"/>
  <c r="B1370" i="9" s="1"/>
  <c r="P1373" i="9" l="1"/>
  <c r="B1373" i="9" s="1"/>
  <c r="P1376" i="9"/>
  <c r="B1376" i="9" s="1"/>
  <c r="P1379" i="9" l="1"/>
  <c r="B1379" i="9" l="1"/>
  <c r="P1382" i="9"/>
  <c r="O910" i="9" l="1"/>
  <c r="O888" i="9"/>
  <c r="O860" i="9"/>
  <c r="O832" i="9"/>
  <c r="P1385" i="9"/>
  <c r="B1385" i="9" s="1"/>
  <c r="O850" i="9"/>
  <c r="B1382" i="9"/>
  <c r="O823" i="9"/>
  <c r="O878" i="9"/>
  <c r="P1388" i="9" l="1"/>
  <c r="B1388" i="9" l="1"/>
  <c r="O877" i="9"/>
  <c r="O859" i="9"/>
  <c r="O954" i="9"/>
  <c r="O887" i="9"/>
  <c r="O909" i="9"/>
  <c r="O822" i="9"/>
  <c r="O849" i="9"/>
  <c r="O942" i="9"/>
  <c r="O990" i="9"/>
  <c r="O966" i="9"/>
  <c r="O978" i="9"/>
  <c r="P1391" i="9"/>
  <c r="B1391" i="9" l="1"/>
  <c r="P1394" i="9"/>
  <c r="B1394" i="9" l="1"/>
  <c r="P1397" i="9"/>
  <c r="B1397" i="9" s="1"/>
  <c r="P1400" i="9" l="1"/>
  <c r="B1400" i="9" l="1"/>
  <c r="P1403" i="9"/>
  <c r="B1403" i="9" l="1"/>
  <c r="P1406" i="9"/>
  <c r="B1406" i="9" s="1"/>
  <c r="P1409" i="9" l="1"/>
  <c r="B1409" i="9" l="1"/>
  <c r="P1412" i="9"/>
  <c r="B1412" i="9" l="1"/>
  <c r="P1415" i="9"/>
  <c r="B1415" i="9" l="1"/>
  <c r="P1418" i="9"/>
  <c r="B1418" i="9" s="1"/>
  <c r="P1421" i="9" l="1"/>
  <c r="B1421" i="9" l="1"/>
  <c r="P1424" i="9"/>
  <c r="B1424" i="9" l="1"/>
  <c r="P1427" i="9"/>
  <c r="B1427" i="9" s="1"/>
  <c r="P1430" i="9" l="1"/>
  <c r="B1430" i="9" l="1"/>
  <c r="P1433" i="9"/>
  <c r="B1433" i="9" l="1"/>
  <c r="P1436" i="9"/>
  <c r="B1436" i="9" s="1"/>
  <c r="P1439" i="9" l="1"/>
  <c r="B1439" i="9" l="1"/>
  <c r="P1442" i="9"/>
  <c r="B1442" i="9" l="1"/>
  <c r="P1445" i="9"/>
  <c r="B1445" i="9" s="1"/>
  <c r="P1448" i="9" l="1"/>
  <c r="B1448" i="9" l="1"/>
  <c r="P1451" i="9"/>
  <c r="B1451" i="9" l="1"/>
  <c r="P1454" i="9"/>
  <c r="B1454" i="9" s="1"/>
  <c r="P1457" i="9" l="1"/>
  <c r="B1457" i="9" l="1"/>
  <c r="P1460" i="9"/>
  <c r="B1460" i="9" l="1"/>
  <c r="P1463" i="9"/>
  <c r="B1463" i="9" s="1"/>
  <c r="P1466" i="9" l="1"/>
  <c r="B1466" i="9" l="1"/>
  <c r="P1471" i="9"/>
  <c r="B1471" i="9" l="1"/>
  <c r="P1474" i="9"/>
  <c r="B1474" i="9" s="1"/>
  <c r="P1477" i="9" l="1"/>
  <c r="B1477" i="9" l="1"/>
  <c r="P1480" i="9"/>
  <c r="B1480" i="9" l="1"/>
  <c r="P1483" i="9"/>
  <c r="B1483" i="9" s="1"/>
  <c r="P1486" i="9" l="1"/>
  <c r="B1486" i="9" l="1"/>
  <c r="P1489" i="9"/>
  <c r="B1489" i="9" l="1"/>
  <c r="P1492" i="9"/>
  <c r="B1492" i="9" s="1"/>
  <c r="P1495" i="9" l="1"/>
  <c r="B1495" i="9" l="1"/>
  <c r="P1498" i="9"/>
  <c r="B1498" i="9" l="1"/>
  <c r="P1501" i="9"/>
  <c r="B1501" i="9" s="1"/>
  <c r="P1504" i="9" l="1"/>
  <c r="B1504" i="9" l="1"/>
  <c r="P1507" i="9"/>
  <c r="B1507" i="9" l="1"/>
  <c r="P1510" i="9"/>
  <c r="B1510" i="9" s="1"/>
  <c r="P1513" i="9" l="1"/>
  <c r="B1513" i="9" l="1"/>
  <c r="P1516" i="9"/>
  <c r="B1516" i="9" l="1"/>
  <c r="P1519" i="9"/>
  <c r="B1519" i="9" s="1"/>
  <c r="P1523" i="9" l="1"/>
  <c r="B1523" i="9" l="1"/>
  <c r="P1526" i="9"/>
  <c r="B1526" i="9" l="1"/>
  <c r="P1529" i="9"/>
  <c r="B1529" i="9" l="1"/>
  <c r="O1541" i="9"/>
  <c r="P1540" i="9"/>
  <c r="P1545" i="9" s="1"/>
  <c r="B1545" i="9" l="1"/>
  <c r="P1551" i="9"/>
  <c r="B1551" i="9" s="1"/>
  <c r="O2035" i="9"/>
  <c r="B1540" i="9"/>
  <c r="O2063" i="9"/>
  <c r="O2049" i="9"/>
  <c r="P1557" i="9" l="1"/>
  <c r="B1557" i="9" s="1"/>
  <c r="P1563" i="9" l="1"/>
  <c r="B1563" i="9" s="1"/>
  <c r="P1569" i="9" l="1"/>
  <c r="B1569" i="9" s="1"/>
  <c r="P1575" i="9" l="1"/>
  <c r="B1575" i="9" s="1"/>
  <c r="P1581" i="9" l="1"/>
  <c r="B1581" i="9" s="1"/>
  <c r="P1587" i="9" l="1"/>
  <c r="B1587" i="9" s="1"/>
  <c r="P1593" i="9" l="1"/>
  <c r="B1593" i="9" s="1"/>
  <c r="P1599" i="9" l="1"/>
  <c r="B1599" i="9" s="1"/>
  <c r="P1605" i="9" l="1"/>
  <c r="B1605" i="9" s="1"/>
  <c r="P1611" i="9" l="1"/>
  <c r="B1611" i="9" s="1"/>
  <c r="P1617" i="9" l="1"/>
  <c r="B1617" i="9" s="1"/>
  <c r="P1623" i="9" l="1"/>
  <c r="B1623" i="9" s="1"/>
  <c r="P1629" i="9" l="1"/>
  <c r="B1629" i="9" s="1"/>
  <c r="P1635" i="9" l="1"/>
  <c r="B1635" i="9" s="1"/>
  <c r="P1642" i="9" l="1"/>
  <c r="B1642" i="9" s="1"/>
  <c r="P1647" i="9" l="1"/>
  <c r="B1647" i="9" s="1"/>
  <c r="P1653" i="9" l="1"/>
  <c r="B1653" i="9" s="1"/>
  <c r="P1659" i="9" l="1"/>
  <c r="B1659" i="9" s="1"/>
  <c r="P1665" i="9" l="1"/>
  <c r="B1665" i="9" s="1"/>
  <c r="P1671" i="9" l="1"/>
  <c r="B1671" i="9" s="1"/>
  <c r="P1677" i="9" l="1"/>
  <c r="B1677" i="9" s="1"/>
  <c r="P1683" i="9" l="1"/>
  <c r="B1683" i="9" s="1"/>
  <c r="P1689" i="9" l="1"/>
  <c r="B1689" i="9" s="1"/>
  <c r="P1695" i="9" l="1"/>
  <c r="B1695" i="9" s="1"/>
  <c r="P1704" i="9" l="1"/>
  <c r="B1704" i="9" s="1"/>
  <c r="P1714" i="9" l="1"/>
  <c r="B1714" i="9" s="1"/>
  <c r="P1723" i="9" l="1"/>
  <c r="B1723" i="9" s="1"/>
  <c r="P1733" i="9" l="1"/>
  <c r="B1733" i="9" s="1"/>
  <c r="P1742" i="9" l="1"/>
  <c r="B1742" i="9" s="1"/>
  <c r="P1752" i="9" l="1"/>
  <c r="B1752" i="9" s="1"/>
  <c r="P1761" i="9" l="1"/>
  <c r="B1761" i="9" s="1"/>
  <c r="P1771" i="9" l="1"/>
  <c r="B1771" i="9" s="1"/>
  <c r="P1780" i="9" l="1"/>
  <c r="B1780" i="9" s="1"/>
  <c r="P1790" i="9" l="1"/>
  <c r="B1790" i="9" s="1"/>
  <c r="P1799" i="9" l="1"/>
  <c r="B1799" i="9" s="1"/>
  <c r="P1809" i="9" l="1"/>
  <c r="B1809" i="9" s="1"/>
  <c r="P1818" i="9" l="1"/>
  <c r="B1818" i="9" s="1"/>
  <c r="P1828" i="9" l="1"/>
  <c r="B1828" i="9" s="1"/>
  <c r="P1838" i="9" l="1"/>
  <c r="B1838" i="9" s="1"/>
  <c r="P1848" i="9" l="1"/>
  <c r="B1848" i="9" s="1"/>
  <c r="P1858" i="9" l="1"/>
  <c r="B1858" i="9" s="1"/>
  <c r="P1868" i="9" l="1"/>
  <c r="B1868" i="9" s="1"/>
  <c r="P1878" i="9" l="1"/>
  <c r="B1878" i="9" s="1"/>
  <c r="P1888" i="9" l="1"/>
  <c r="B1888" i="9" s="1"/>
  <c r="P1898" i="9" l="1"/>
  <c r="B1898" i="9" s="1"/>
  <c r="P1908" i="9" l="1"/>
  <c r="B1908" i="9" s="1"/>
  <c r="P1918" i="9" l="1"/>
  <c r="B1918" i="9" s="1"/>
  <c r="P1928" i="9" l="1"/>
  <c r="B1928" i="9" s="1"/>
  <c r="P1938" i="9" l="1"/>
  <c r="B1938" i="9" s="1"/>
  <c r="P1948" i="9" l="1"/>
  <c r="B1948" i="9" s="1"/>
  <c r="P1958" i="9" l="1"/>
  <c r="B1958" i="9" s="1"/>
  <c r="P1968" i="9" l="1"/>
  <c r="B1968" i="9" s="1"/>
  <c r="P1975" i="9" l="1"/>
  <c r="B1975" i="9" s="1"/>
  <c r="P1982" i="9" l="1"/>
  <c r="B1982" i="9" s="1"/>
  <c r="P1988" i="9" l="1"/>
  <c r="B1988" i="9" s="1"/>
  <c r="P1994" i="9" l="1"/>
  <c r="B1994" i="9" s="1"/>
  <c r="P2007" i="9" l="1"/>
  <c r="B2007" i="9" s="1"/>
  <c r="P2020" i="9" l="1"/>
  <c r="B2020" i="9" s="1"/>
  <c r="P2033" i="9" l="1"/>
  <c r="B2033" i="9" s="1"/>
  <c r="P2047" i="9" l="1"/>
  <c r="B2047" i="9" s="1"/>
  <c r="P2061" i="9" l="1"/>
  <c r="B2061" i="9" s="1"/>
  <c r="P2075" i="9" l="1"/>
  <c r="B2075" i="9" s="1"/>
  <c r="P2083" i="9" l="1"/>
  <c r="B2083" i="9" s="1"/>
  <c r="P2091" i="9" l="1"/>
  <c r="B2091" i="9" s="1"/>
  <c r="P2099" i="9" l="1"/>
  <c r="B2099" i="9" s="1"/>
  <c r="P2107" i="9" l="1"/>
  <c r="B2107" i="9" s="1"/>
  <c r="P2113" i="9" l="1"/>
  <c r="B2113" i="9" l="1"/>
  <c r="P2117" i="9"/>
  <c r="B2117" i="9" l="1"/>
  <c r="P2121" i="9"/>
  <c r="B2121" i="9" l="1"/>
  <c r="P2127" i="9"/>
  <c r="B2127" i="9" l="1"/>
  <c r="P2130" i="9"/>
  <c r="B2130" i="9" l="1"/>
  <c r="P2133" i="9"/>
  <c r="B2133" i="9" l="1"/>
  <c r="P2139" i="9"/>
  <c r="B2139" i="9" l="1"/>
  <c r="P2145" i="9"/>
  <c r="O1996" i="9" l="1"/>
  <c r="B2145" i="9"/>
  <c r="P2151" i="9"/>
  <c r="O2009" i="9" l="1"/>
  <c r="B2151" i="9"/>
  <c r="P2157" i="9"/>
  <c r="B2157" i="9" l="1"/>
  <c r="O2022" i="9"/>
  <c r="P2163" i="9"/>
  <c r="B2163" i="9" l="1"/>
  <c r="O1999" i="9"/>
  <c r="P2169" i="9"/>
  <c r="O2012" i="9" l="1"/>
  <c r="B2169" i="9"/>
  <c r="P2175" i="9"/>
  <c r="B2175" i="9" l="1"/>
  <c r="O2025" i="9"/>
  <c r="P2181" i="9"/>
  <c r="O2028" i="9" l="1"/>
  <c r="O2015" i="9"/>
  <c r="O2042" i="9"/>
  <c r="B2181" i="9"/>
  <c r="O2070" i="9"/>
  <c r="O2056" i="9"/>
  <c r="O2002" i="9"/>
  <c r="P2186" i="9"/>
  <c r="O2114" i="9" l="1"/>
  <c r="O2118" i="9"/>
  <c r="B2186" i="9"/>
  <c r="P2193" i="9"/>
  <c r="O2119" i="9" l="1"/>
  <c r="B2193" i="9"/>
  <c r="O2115" i="9"/>
  <c r="P2200" i="9"/>
  <c r="B2200" i="9" l="1"/>
  <c r="P2203" i="9"/>
  <c r="B2203" i="9" l="1"/>
  <c r="P2208" i="9"/>
  <c r="B2208" i="9" l="1"/>
  <c r="P2213" i="9"/>
  <c r="P2222" i="9" l="1"/>
  <c r="B2213" i="9"/>
  <c r="B2222" i="9" l="1"/>
  <c r="P2231" i="9"/>
  <c r="B2231" i="9" l="1"/>
  <c r="P2240" i="9"/>
  <c r="P2249" i="9" l="1"/>
  <c r="B2249" i="9" s="1"/>
  <c r="B2240" i="9"/>
</calcChain>
</file>

<file path=xl/comments1.xml><?xml version="1.0" encoding="utf-8"?>
<comments xmlns="http://schemas.openxmlformats.org/spreadsheetml/2006/main">
  <authors>
    <author>중랑이</author>
  </authors>
  <commentList>
    <comment ref="O614" authorId="0">
      <text>
        <r>
          <rPr>
            <b/>
            <sz val="9"/>
            <color indexed="81"/>
            <rFont val="굴림"/>
            <family val="3"/>
            <charset val="129"/>
          </rPr>
          <t>인구 밀집지역의 소규모 지선도로 포장깨기에는 0.2 조합 사용 가능하며 이때 1.75를 적용한다</t>
        </r>
      </text>
    </comment>
    <comment ref="O649" authorId="0">
      <text>
        <r>
          <rPr>
            <b/>
            <sz val="9"/>
            <color indexed="81"/>
            <rFont val="굴림"/>
            <family val="3"/>
            <charset val="129"/>
          </rPr>
          <t>대형브레이커 구조물 헐기 0.7 작업능력의 하한치를 적용</t>
        </r>
      </text>
    </comment>
    <comment ref="O1069" authorId="0">
      <text>
        <r>
          <rPr>
            <b/>
            <sz val="9"/>
            <color indexed="81"/>
            <rFont val="굴림"/>
            <family val="3"/>
            <charset val="129"/>
          </rPr>
          <t>값 수정</t>
        </r>
      </text>
    </comment>
    <comment ref="O1104" authorId="0">
      <text>
        <r>
          <rPr>
            <b/>
            <sz val="9"/>
            <color indexed="81"/>
            <rFont val="굴림"/>
            <family val="3"/>
            <charset val="129"/>
          </rPr>
          <t>값 수정</t>
        </r>
      </text>
    </comment>
    <comment ref="O1139" authorId="0">
      <text>
        <r>
          <rPr>
            <b/>
            <sz val="9"/>
            <color indexed="81"/>
            <rFont val="굴림"/>
            <family val="3"/>
            <charset val="129"/>
          </rPr>
          <t>값 수정</t>
        </r>
      </text>
    </comment>
    <comment ref="O1174" authorId="0">
      <text>
        <r>
          <rPr>
            <b/>
            <sz val="9"/>
            <color indexed="81"/>
            <rFont val="굴림"/>
            <family val="3"/>
            <charset val="129"/>
          </rPr>
          <t>값 수정</t>
        </r>
      </text>
    </comment>
    <comment ref="O1209" authorId="0">
      <text>
        <r>
          <rPr>
            <b/>
            <sz val="9"/>
            <color indexed="81"/>
            <rFont val="굴림"/>
            <family val="3"/>
            <charset val="129"/>
          </rPr>
          <t>값 수정</t>
        </r>
      </text>
    </comment>
    <comment ref="O1244" authorId="0">
      <text>
        <r>
          <rPr>
            <b/>
            <sz val="9"/>
            <color indexed="81"/>
            <rFont val="굴림"/>
            <family val="3"/>
            <charset val="129"/>
          </rPr>
          <t>값 수정</t>
        </r>
      </text>
    </comment>
    <comment ref="O1280" authorId="0">
      <text>
        <r>
          <rPr>
            <b/>
            <sz val="9"/>
            <color indexed="81"/>
            <rFont val="굴림"/>
            <family val="3"/>
            <charset val="129"/>
          </rPr>
          <t>값 수정</t>
        </r>
      </text>
    </comment>
  </commentList>
</comments>
</file>

<file path=xl/sharedStrings.xml><?xml version="1.0" encoding="utf-8"?>
<sst xmlns="http://schemas.openxmlformats.org/spreadsheetml/2006/main" count="20514" uniqueCount="4094">
  <si>
    <t>기계터파기(토사)</t>
    <phoneticPr fontId="2" type="noConversion"/>
  </si>
  <si>
    <t>기계되메우기(토사)</t>
    <phoneticPr fontId="2" type="noConversion"/>
  </si>
  <si>
    <t>기계상차(토사)</t>
    <phoneticPr fontId="2" type="noConversion"/>
  </si>
  <si>
    <t>기계상차(폐기물)</t>
    <phoneticPr fontId="2" type="noConversion"/>
  </si>
  <si>
    <t>기계절취(토사)</t>
    <phoneticPr fontId="2" type="noConversion"/>
  </si>
  <si>
    <t>기계절취(Con'c)</t>
    <phoneticPr fontId="2" type="noConversion"/>
  </si>
  <si>
    <t>121.91×356.76(4×12)15</t>
  </si>
  <si>
    <t>121.91×426.72(4×14)15</t>
  </si>
  <si>
    <t>152.4×365.76(5×12)20</t>
  </si>
  <si>
    <t>152.4×426.72(5×14)25</t>
  </si>
  <si>
    <t>91.44cm×243.84cm(3ft×8ft)10HP</t>
  </si>
  <si>
    <t>109.73×304.8(3×10)10</t>
  </si>
  <si>
    <t>121.9×304.8(4×10)15</t>
  </si>
  <si>
    <t>121.9×365.76(4×12)20</t>
  </si>
  <si>
    <t>121.9×426.72(4×14)20</t>
  </si>
  <si>
    <t>152.4×365.76(5×12)30</t>
  </si>
  <si>
    <t>152.4×426.72(5×14)30</t>
  </si>
  <si>
    <t>152.4×487.68(5×16)40</t>
  </si>
  <si>
    <t>16.06(21)15</t>
  </si>
  <si>
    <t>19.11(25)20</t>
  </si>
  <si>
    <t>22.94(30)20</t>
  </si>
  <si>
    <t>26.76(35)25</t>
  </si>
  <si>
    <t>34.41(45)30</t>
  </si>
  <si>
    <t>53.52(70)40</t>
  </si>
  <si>
    <t>7.1(250)</t>
  </si>
  <si>
    <t>10.3(365)</t>
  </si>
  <si>
    <t>17.0(600)</t>
  </si>
  <si>
    <t>21.0(742)</t>
  </si>
  <si>
    <t>25.5(900)</t>
  </si>
  <si>
    <t>25(55)</t>
  </si>
  <si>
    <t>36(80)</t>
  </si>
  <si>
    <t>17(120)</t>
  </si>
  <si>
    <t>390×2(5)</t>
  </si>
  <si>
    <t>30-60ℓ/min(3.7KW)</t>
  </si>
  <si>
    <t>40-125(7.5)</t>
  </si>
  <si>
    <t>50-200(11)</t>
  </si>
  <si>
    <t>40.5mm×150m(10HP)</t>
  </si>
  <si>
    <t>50×200(15)</t>
  </si>
  <si>
    <t>50×300(15)</t>
  </si>
  <si>
    <t>42×400(15)</t>
  </si>
  <si>
    <t>66.7×500(20)</t>
  </si>
  <si>
    <t>66.7×850(40)</t>
  </si>
  <si>
    <t>60×1,000(50)</t>
  </si>
  <si>
    <t>2,200m×5,150m×1,000m</t>
  </si>
  <si>
    <t>3(30)</t>
  </si>
  <si>
    <t>5(50)</t>
  </si>
  <si>
    <t>80(5×15)</t>
  </si>
  <si>
    <t>100(5×20)</t>
  </si>
  <si>
    <t>125(15×20)</t>
  </si>
  <si>
    <t>150(20×20)</t>
  </si>
  <si>
    <t>(1)×3B×30</t>
  </si>
  <si>
    <t>(2)×3B×20</t>
  </si>
  <si>
    <t>150×2</t>
  </si>
  <si>
    <t>150×3</t>
  </si>
  <si>
    <t>150×60</t>
  </si>
  <si>
    <t>150×90</t>
  </si>
  <si>
    <t>경310mm(장6m)</t>
  </si>
  <si>
    <t>510(6)</t>
  </si>
  <si>
    <t>610(6)</t>
  </si>
  <si>
    <t>710(6)</t>
  </si>
  <si>
    <t>760(6)</t>
  </si>
  <si>
    <t>경776mm(장45m)</t>
  </si>
  <si>
    <t>850(45)</t>
  </si>
  <si>
    <t>1,000(45)</t>
  </si>
  <si>
    <t>900mm310-410용</t>
  </si>
  <si>
    <t>1,000510-610</t>
  </si>
  <si>
    <t>1,200660-710</t>
  </si>
  <si>
    <t>비항SD0.65㎥(100HP)</t>
  </si>
  <si>
    <t>비항SD1.00(150)</t>
  </si>
  <si>
    <t>비항SD1.50(160)</t>
  </si>
  <si>
    <t>비항SD3.00(220)</t>
  </si>
  <si>
    <t>비항SD7.50(720)</t>
  </si>
  <si>
    <t>비항SD12.50(1600)</t>
  </si>
  <si>
    <t>비항SD16.00(1800)</t>
  </si>
  <si>
    <t>SD40(180)</t>
  </si>
  <si>
    <t>SD50(250)</t>
  </si>
  <si>
    <t>SD65(350)</t>
  </si>
  <si>
    <t>SD80(450)</t>
  </si>
  <si>
    <t>SD90(500)</t>
  </si>
  <si>
    <t>SD120(800)</t>
  </si>
  <si>
    <t>SD30(150)</t>
  </si>
  <si>
    <t>SD60(450)</t>
  </si>
  <si>
    <t>20톤대선1톤달기(5HP)</t>
  </si>
  <si>
    <t>30톤대선3톤달기(10)</t>
  </si>
  <si>
    <t>50톤대선5톤달기(15)</t>
  </si>
  <si>
    <t>80톤대선8톤달기(20)</t>
  </si>
  <si>
    <t>*</t>
    <phoneticPr fontId="2" type="noConversion"/>
  </si>
  <si>
    <t>2.0m</t>
    <phoneticPr fontId="2" type="noConversion"/>
  </si>
  <si>
    <t>하수관천공기</t>
    <phoneticPr fontId="2" type="noConversion"/>
  </si>
  <si>
    <t>굴삭기</t>
    <phoneticPr fontId="2" type="noConversion"/>
  </si>
  <si>
    <t>4.5톤</t>
    <phoneticPr fontId="2" type="noConversion"/>
  </si>
  <si>
    <t>5,500ℓ</t>
    <phoneticPr fontId="2" type="noConversion"/>
  </si>
  <si>
    <t>에어호스</t>
    <phoneticPr fontId="2" type="noConversion"/>
  </si>
  <si>
    <t>3.5톤</t>
    <phoneticPr fontId="2" type="noConversion"/>
  </si>
  <si>
    <t>4505-0015</t>
  </si>
  <si>
    <t>콘크리트펌프</t>
  </si>
  <si>
    <t>4505-0026</t>
  </si>
  <si>
    <t>4506-0200</t>
  </si>
  <si>
    <t>200kg/㎠</t>
  </si>
  <si>
    <t>4611-0075</t>
  </si>
  <si>
    <t>4611-0350</t>
  </si>
  <si>
    <t>4711-0020</t>
  </si>
  <si>
    <t>20KW</t>
  </si>
  <si>
    <t>5105-0050</t>
  </si>
  <si>
    <t>50톤/hr</t>
  </si>
  <si>
    <t>크러셔(이동식)</t>
  </si>
  <si>
    <t>5105-0100</t>
  </si>
  <si>
    <t>5105-0150</t>
  </si>
  <si>
    <t>5105-0200</t>
  </si>
  <si>
    <t>5111-0040</t>
  </si>
  <si>
    <t>5111-0050</t>
  </si>
  <si>
    <t>5111-0060</t>
  </si>
  <si>
    <t>5111-0076</t>
  </si>
  <si>
    <t>5111-0091</t>
  </si>
  <si>
    <t>5112-0001</t>
  </si>
  <si>
    <t>5112-0002</t>
  </si>
  <si>
    <t>판재</t>
    <phoneticPr fontId="2" type="noConversion"/>
  </si>
  <si>
    <t>동력15.1KW</t>
  </si>
  <si>
    <t>7204-0055</t>
  </si>
  <si>
    <t>5,500ℓ</t>
  </si>
  <si>
    <t>물탱크(살수차)</t>
  </si>
  <si>
    <t>7204-0160</t>
  </si>
  <si>
    <t>16,000ℓ</t>
  </si>
  <si>
    <t>7205-0125</t>
  </si>
  <si>
    <t>7206-0070</t>
  </si>
  <si>
    <t>0.7㎥용</t>
  </si>
  <si>
    <t>7330-0010</t>
  </si>
  <si>
    <t>10km/hr</t>
  </si>
  <si>
    <t>7360-0055</t>
  </si>
  <si>
    <t>1730-0015</t>
  </si>
  <si>
    <t>1.5톤</t>
  </si>
  <si>
    <t>휘발유1.0</t>
  </si>
  <si>
    <t>2101-0010</t>
  </si>
  <si>
    <t>10톤</t>
  </si>
  <si>
    <t>크레인</t>
  </si>
  <si>
    <t>2101-0015</t>
  </si>
  <si>
    <t>15</t>
  </si>
  <si>
    <t>2101-0020</t>
  </si>
  <si>
    <t>20</t>
  </si>
  <si>
    <t>2101-0025</t>
  </si>
  <si>
    <t>#467 Ø40mm</t>
    <phoneticPr fontId="2" type="noConversion"/>
  </si>
  <si>
    <t>단지관</t>
    <phoneticPr fontId="2" type="noConversion"/>
  </si>
  <si>
    <t>D=150mm</t>
    <phoneticPr fontId="2" type="noConversion"/>
  </si>
  <si>
    <t>SET</t>
    <phoneticPr fontId="2" type="noConversion"/>
  </si>
  <si>
    <t>가동</t>
    <phoneticPr fontId="2" type="noConversion"/>
  </si>
  <si>
    <t>Ø100mm</t>
    <phoneticPr fontId="2" type="noConversion"/>
  </si>
  <si>
    <t>일</t>
    <phoneticPr fontId="2" type="noConversion"/>
  </si>
  <si>
    <t>전기요금</t>
    <phoneticPr fontId="2" type="noConversion"/>
  </si>
  <si>
    <t>설치및관리</t>
    <phoneticPr fontId="2" type="noConversion"/>
  </si>
  <si>
    <t>150mm</t>
    <phoneticPr fontId="2" type="noConversion"/>
  </si>
  <si>
    <t>구벽체콘크리트</t>
    <phoneticPr fontId="2" type="noConversion"/>
  </si>
  <si>
    <t>벽체거푸집</t>
    <phoneticPr fontId="2" type="noConversion"/>
  </si>
  <si>
    <t>슬래브거푸집</t>
    <phoneticPr fontId="2" type="noConversion"/>
  </si>
  <si>
    <t>현장촬영</t>
    <phoneticPr fontId="2" type="noConversion"/>
  </si>
  <si>
    <t>스텐엘보</t>
    <phoneticPr fontId="2" type="noConversion"/>
  </si>
  <si>
    <t>스텐관부설</t>
    <phoneticPr fontId="2" type="noConversion"/>
  </si>
  <si>
    <t>0.7톤</t>
    <phoneticPr fontId="2" type="noConversion"/>
  </si>
  <si>
    <t>석축헐기(찰쌓기) 인력 m²</t>
    <phoneticPr fontId="2" type="noConversion"/>
  </si>
  <si>
    <t>석축헐기(메쌓기) 인력(45-60cm) m²</t>
    <phoneticPr fontId="2" type="noConversion"/>
  </si>
  <si>
    <t>기계터파기(토사) B.H 0.2m³ m³</t>
    <phoneticPr fontId="2" type="noConversion"/>
  </si>
  <si>
    <t>기계터파기(토사) B.H 0.4m³ m³</t>
    <phoneticPr fontId="2" type="noConversion"/>
  </si>
  <si>
    <t>기계되메우기(토사) B.H 0.4m³ m³</t>
    <phoneticPr fontId="2" type="noConversion"/>
  </si>
  <si>
    <t>인력상차 토사 m³</t>
    <phoneticPr fontId="2" type="noConversion"/>
  </si>
  <si>
    <t>인력상차 Con'c m³</t>
    <phoneticPr fontId="2" type="noConversion"/>
  </si>
  <si>
    <t>기계상차(토사) B.H 0.2m³ m³</t>
    <phoneticPr fontId="2" type="noConversion"/>
  </si>
  <si>
    <t>기계상차(토사) B.H 0.4m³ m³</t>
    <phoneticPr fontId="2" type="noConversion"/>
  </si>
  <si>
    <t>기계상차(폐기물) B.H 0.2m³ m³</t>
    <phoneticPr fontId="2" type="noConversion"/>
  </si>
  <si>
    <t>기계상차(폐기물) B.H 0.4m³ m³</t>
    <phoneticPr fontId="2" type="noConversion"/>
  </si>
  <si>
    <t>인력절취(토사) 보통토사 m³</t>
    <phoneticPr fontId="2" type="noConversion"/>
  </si>
  <si>
    <t>인력절취(토사) 견질토,자갈섞인점토 m³</t>
    <phoneticPr fontId="2" type="noConversion"/>
  </si>
  <si>
    <t>기계절취(토사) B.H 0.2m³ m³</t>
    <phoneticPr fontId="2" type="noConversion"/>
  </si>
  <si>
    <t>기계절취(토사) B.H 0.4m³ m³</t>
    <phoneticPr fontId="2" type="noConversion"/>
  </si>
  <si>
    <t>기계절취(Con'c) B.H 0.4m³ m³</t>
    <phoneticPr fontId="2" type="noConversion"/>
  </si>
  <si>
    <t>구조물헐기(무근) 소형브레이커+공기압축기 m³</t>
    <phoneticPr fontId="2" type="noConversion"/>
  </si>
  <si>
    <t>25kg(2대)</t>
    <phoneticPr fontId="2" type="noConversion"/>
  </si>
  <si>
    <t>1일8시간,3.3m³/hr</t>
    <phoneticPr fontId="2" type="noConversion"/>
  </si>
  <si>
    <t>0.008본/hr/3.3</t>
    <phoneticPr fontId="2" type="noConversion"/>
  </si>
  <si>
    <t>1일8시간,2.6m³/hr</t>
    <phoneticPr fontId="2" type="noConversion"/>
  </si>
  <si>
    <t>0.008본/hr/2.6</t>
    <phoneticPr fontId="2" type="noConversion"/>
  </si>
  <si>
    <t>1일8시간,4.6m³/hr</t>
    <phoneticPr fontId="2" type="noConversion"/>
  </si>
  <si>
    <t>1일8시간,3.6m³/hr</t>
    <phoneticPr fontId="2" type="noConversion"/>
  </si>
  <si>
    <t>잔토(토사) 중집 1km 2.5DT + 인력 m³</t>
    <phoneticPr fontId="2" type="noConversion"/>
  </si>
  <si>
    <t>2.5D.T+인력</t>
    <phoneticPr fontId="2" type="noConversion"/>
  </si>
  <si>
    <t>잔토(토사) 중집 1km 4.5DT + 인력 m³</t>
    <phoneticPr fontId="2" type="noConversion"/>
  </si>
  <si>
    <t>4.5D.T+인력</t>
    <phoneticPr fontId="2" type="noConversion"/>
  </si>
  <si>
    <t>잔토(토사) 중집 1km 2.5DT + 0.2BH m³</t>
    <phoneticPr fontId="2" type="noConversion"/>
  </si>
  <si>
    <t>잔토(토사) 중집 1km 4.5DT + 0.2BH m³</t>
    <phoneticPr fontId="2" type="noConversion"/>
  </si>
  <si>
    <t>잔토(토사) 중집 1km 4.5DT + 0.4BH m³</t>
    <phoneticPr fontId="2" type="noConversion"/>
  </si>
  <si>
    <t>상수도맨홀인상 Ø648 개소당   개소</t>
    <phoneticPr fontId="2" type="noConversion"/>
  </si>
  <si>
    <t>콘크리트 절단</t>
    <phoneticPr fontId="2" type="noConversion"/>
  </si>
  <si>
    <t>콘크리트 깨기</t>
    <phoneticPr fontId="2" type="noConversion"/>
  </si>
  <si>
    <t>인력(무근)</t>
    <phoneticPr fontId="2" type="noConversion"/>
  </si>
  <si>
    <t>인력상차, 5인1조</t>
    <phoneticPr fontId="2" type="noConversion"/>
  </si>
  <si>
    <t>3종(소형), 초속경</t>
    <phoneticPr fontId="2" type="noConversion"/>
  </si>
  <si>
    <t>상수도소형맨홀인상 개소당   개소</t>
    <phoneticPr fontId="2" type="noConversion"/>
  </si>
  <si>
    <t>체신맨홀인상 Ø766 개소당   개소</t>
    <phoneticPr fontId="2" type="noConversion"/>
  </si>
  <si>
    <t>하수도맨홀인상 Ø648 개소당   개소</t>
    <phoneticPr fontId="2" type="noConversion"/>
  </si>
  <si>
    <t>하수도맨홀인상 Ø750 개소당 BOX구간  개소</t>
    <phoneticPr fontId="2" type="noConversion"/>
  </si>
  <si>
    <t>맨홀뚜껑교체 Ø648 개소당  개소</t>
    <phoneticPr fontId="2" type="noConversion"/>
  </si>
  <si>
    <t>맨홀뚜껑 및 받침-별도</t>
    <phoneticPr fontId="2" type="noConversion"/>
  </si>
  <si>
    <t>3201-0003</t>
    <phoneticPr fontId="2" type="noConversion"/>
  </si>
  <si>
    <t>3302-0038</t>
    <phoneticPr fontId="2" type="noConversion"/>
  </si>
  <si>
    <t>4205-0045</t>
    <phoneticPr fontId="2" type="noConversion"/>
  </si>
  <si>
    <t>규격:320-400mm</t>
    <phoneticPr fontId="2" type="noConversion"/>
  </si>
  <si>
    <t>4430-0400</t>
    <phoneticPr fontId="2" type="noConversion"/>
  </si>
  <si>
    <t>32m</t>
    <phoneticPr fontId="2" type="noConversion"/>
  </si>
  <si>
    <t>4504-0032</t>
    <phoneticPr fontId="2" type="noConversion"/>
  </si>
  <si>
    <t>콘크리트진동기(전기식)</t>
    <phoneticPr fontId="2" type="noConversion"/>
  </si>
  <si>
    <t>규격:￠45(0.75kw)</t>
    <phoneticPr fontId="2" type="noConversion"/>
  </si>
  <si>
    <t>4611-0075</t>
    <phoneticPr fontId="2" type="noConversion"/>
  </si>
  <si>
    <t>콘크리트진동기(엔진식)</t>
    <phoneticPr fontId="2" type="noConversion"/>
  </si>
  <si>
    <t>규격:￠45(2.6kw)</t>
    <phoneticPr fontId="2" type="noConversion"/>
  </si>
  <si>
    <t>4611-0350</t>
    <phoneticPr fontId="2" type="noConversion"/>
  </si>
  <si>
    <t>규격:3.5m³/min</t>
    <phoneticPr fontId="2" type="noConversion"/>
  </si>
  <si>
    <t>5205-0035</t>
    <phoneticPr fontId="2" type="noConversion"/>
  </si>
  <si>
    <t>규격:10.3m³/min</t>
    <phoneticPr fontId="2" type="noConversion"/>
  </si>
  <si>
    <t>5205-0103</t>
    <phoneticPr fontId="2" type="noConversion"/>
  </si>
  <si>
    <t>규격:17m³/min</t>
    <phoneticPr fontId="2" type="noConversion"/>
  </si>
  <si>
    <t>5205-0170</t>
    <phoneticPr fontId="2" type="noConversion"/>
  </si>
  <si>
    <t>5210-0025</t>
    <phoneticPr fontId="2" type="noConversion"/>
  </si>
  <si>
    <t>5401-0017</t>
    <phoneticPr fontId="2" type="noConversion"/>
  </si>
  <si>
    <t>규격:2.7m³/min</t>
    <phoneticPr fontId="2" type="noConversion"/>
  </si>
  <si>
    <t>5630-0027</t>
    <phoneticPr fontId="2" type="noConversion"/>
  </si>
  <si>
    <t>5701-0010</t>
    <phoneticPr fontId="2" type="noConversion"/>
  </si>
  <si>
    <t>규격:1.5톤</t>
    <phoneticPr fontId="2" type="noConversion"/>
  </si>
  <si>
    <t>규격:2.2톤</t>
    <phoneticPr fontId="2" type="noConversion"/>
  </si>
  <si>
    <t>규격:30kw</t>
    <phoneticPr fontId="2" type="noConversion"/>
  </si>
  <si>
    <t>규격:60kw</t>
    <phoneticPr fontId="2" type="noConversion"/>
  </si>
  <si>
    <t>살수차(물탱크)</t>
    <phoneticPr fontId="2" type="noConversion"/>
  </si>
  <si>
    <t>7204-0055</t>
    <phoneticPr fontId="2" type="noConversion"/>
  </si>
  <si>
    <t>7204-0160</t>
    <phoneticPr fontId="2" type="noConversion"/>
  </si>
  <si>
    <t>규격:100mm 5HP</t>
    <phoneticPr fontId="2" type="noConversion"/>
  </si>
  <si>
    <t>보차도경계석설치(기계사용) 200×250×1000(화강석)   m</t>
    <phoneticPr fontId="2" type="noConversion"/>
  </si>
  <si>
    <t>보차도경계석(화강석)-별도</t>
    <phoneticPr fontId="2" type="noConversion"/>
  </si>
  <si>
    <t>바이브레이터(봉상후렉시블)</t>
    <phoneticPr fontId="2" type="noConversion"/>
  </si>
  <si>
    <t>8802-0001</t>
    <phoneticPr fontId="2" type="noConversion"/>
  </si>
  <si>
    <t>CCTV 장비</t>
    <phoneticPr fontId="2" type="noConversion"/>
  </si>
  <si>
    <t xml:space="preserve">□ 시멘트(40kg) 운반비 </t>
    <phoneticPr fontId="2" type="noConversion"/>
  </si>
  <si>
    <t>□ 철근 운반비 : 영등포역(레일도)</t>
    <phoneticPr fontId="2" type="noConversion"/>
  </si>
  <si>
    <t>구분</t>
    <phoneticPr fontId="2" type="noConversion"/>
  </si>
  <si>
    <t>Cm =</t>
    <phoneticPr fontId="2" type="noConversion"/>
  </si>
  <si>
    <t>min</t>
    <phoneticPr fontId="2" type="noConversion"/>
  </si>
  <si>
    <t>t  =</t>
    <phoneticPr fontId="2" type="noConversion"/>
  </si>
  <si>
    <t xml:space="preserve">   □ 아스팔트 살포 (택코팅)</t>
    <phoneticPr fontId="2" type="noConversion"/>
  </si>
  <si>
    <t>DISTRIBUTOR :</t>
    <phoneticPr fontId="2" type="noConversion"/>
  </si>
  <si>
    <t>1. 노면고르기(그레이더 L=3.6m)</t>
    <phoneticPr fontId="2" type="noConversion"/>
  </si>
  <si>
    <t>Q  =</t>
    <phoneticPr fontId="2" type="noConversion"/>
  </si>
  <si>
    <t>1시간당 작업량</t>
    <phoneticPr fontId="2" type="noConversion"/>
  </si>
  <si>
    <t>1.</t>
    <phoneticPr fontId="2" type="noConversion"/>
  </si>
  <si>
    <t>포설(아스팔트 페이버)</t>
    <phoneticPr fontId="2" type="noConversion"/>
  </si>
  <si>
    <t>ℓ / a</t>
    <phoneticPr fontId="2" type="noConversion"/>
  </si>
  <si>
    <t>D  =</t>
    <phoneticPr fontId="2" type="noConversion"/>
  </si>
  <si>
    <t>ℓ / ㎡</t>
    <phoneticPr fontId="2" type="noConversion"/>
  </si>
  <si>
    <t xml:space="preserve">  60 ×  ℓ  ×  D  ×  H  ×  f  ×  E  /  (PㆍCm)</t>
    <phoneticPr fontId="2" type="noConversion"/>
  </si>
  <si>
    <t xml:space="preserve"> V  × W ×  t × d × E  /  Wa</t>
    <phoneticPr fontId="2" type="noConversion"/>
  </si>
  <si>
    <t>V  =</t>
    <phoneticPr fontId="2" type="noConversion"/>
  </si>
  <si>
    <t>L  =</t>
    <phoneticPr fontId="2" type="noConversion"/>
  </si>
  <si>
    <t>m (살포폭)</t>
    <phoneticPr fontId="2" type="noConversion"/>
  </si>
  <si>
    <t xml:space="preserve">    </t>
    <phoneticPr fontId="2" type="noConversion"/>
  </si>
  <si>
    <t>f  =</t>
    <phoneticPr fontId="2" type="noConversion"/>
  </si>
  <si>
    <t>W =</t>
    <phoneticPr fontId="2" type="noConversion"/>
  </si>
  <si>
    <t>Q / ( D × L )</t>
    <phoneticPr fontId="2" type="noConversion"/>
  </si>
  <si>
    <t>(적재)</t>
    <phoneticPr fontId="2" type="noConversion"/>
  </si>
  <si>
    <t xml:space="preserve">  =</t>
    <phoneticPr fontId="2" type="noConversion"/>
  </si>
  <si>
    <t>ℓ  =</t>
    <phoneticPr fontId="2" type="noConversion"/>
  </si>
  <si>
    <t>(60˚)</t>
    <phoneticPr fontId="2" type="noConversion"/>
  </si>
  <si>
    <t>P  =</t>
    <phoneticPr fontId="2" type="noConversion"/>
  </si>
  <si>
    <t>d  =</t>
    <phoneticPr fontId="2" type="noConversion"/>
  </si>
  <si>
    <t>㎡ / hr</t>
    <phoneticPr fontId="2" type="noConversion"/>
  </si>
  <si>
    <t>H  =</t>
    <phoneticPr fontId="2" type="noConversion"/>
  </si>
  <si>
    <t>E  =</t>
    <phoneticPr fontId="2" type="noConversion"/>
  </si>
  <si>
    <t>m(대당살포능력)</t>
    <phoneticPr fontId="2" type="noConversion"/>
  </si>
  <si>
    <t>A  =</t>
    <phoneticPr fontId="2" type="noConversion"/>
  </si>
  <si>
    <t>Wa =</t>
    <phoneticPr fontId="2" type="noConversion"/>
  </si>
  <si>
    <t>t/a</t>
    <phoneticPr fontId="2" type="noConversion"/>
  </si>
  <si>
    <t>Cm  =</t>
    <phoneticPr fontId="2" type="noConversion"/>
  </si>
  <si>
    <t xml:space="preserve">   =</t>
    <phoneticPr fontId="2" type="noConversion"/>
  </si>
  <si>
    <t>m / min</t>
    <phoneticPr fontId="2" type="noConversion"/>
  </si>
  <si>
    <t>m / 대</t>
    <phoneticPr fontId="2" type="noConversion"/>
  </si>
  <si>
    <t>a / hr</t>
    <phoneticPr fontId="2" type="noConversion"/>
  </si>
  <si>
    <t>0.06×(D/V₁+D/V²)+2t</t>
    <phoneticPr fontId="2" type="noConversion"/>
  </si>
  <si>
    <t xml:space="preserve">m / min </t>
    <phoneticPr fontId="2" type="noConversion"/>
  </si>
  <si>
    <t>Km/hr</t>
    <phoneticPr fontId="2" type="noConversion"/>
  </si>
  <si>
    <t xml:space="preserve">min </t>
    <phoneticPr fontId="2" type="noConversion"/>
  </si>
  <si>
    <t>ㅇ 1a 당 1회 다짐시</t>
    <phoneticPr fontId="2" type="noConversion"/>
  </si>
  <si>
    <t>&lt; 시간당작업량&gt;</t>
    <phoneticPr fontId="2" type="noConversion"/>
  </si>
  <si>
    <t>-  재  료  비</t>
    <phoneticPr fontId="2" type="noConversion"/>
  </si>
  <si>
    <t>×  4회</t>
    <phoneticPr fontId="2" type="noConversion"/>
  </si>
  <si>
    <t xml:space="preserve">-  재  료  비 </t>
    <phoneticPr fontId="2" type="noConversion"/>
  </si>
  <si>
    <t>원 / 회</t>
    <phoneticPr fontId="2" type="noConversion"/>
  </si>
  <si>
    <t>0.2(7)</t>
  </si>
  <si>
    <t>0.3(11)</t>
  </si>
  <si>
    <t>0.4(14)</t>
  </si>
  <si>
    <t>0.45(16)</t>
  </si>
  <si>
    <t>20-26(30)</t>
  </si>
  <si>
    <t>- 작업량 : cm = 20 * 2/25 * 60 = 96분</t>
    <phoneticPr fontId="2" type="noConversion"/>
  </si>
  <si>
    <t xml:space="preserve">- 리프트 트럭 기계경비(중기사용료 참조) = </t>
    <phoneticPr fontId="2" type="noConversion"/>
  </si>
  <si>
    <t xml:space="preserve"> □ 기타 : L=20km이내, 8Ton(구역화물적용) :</t>
    <phoneticPr fontId="2" type="noConversion"/>
  </si>
  <si>
    <t>q=</t>
    <phoneticPr fontId="2" type="noConversion"/>
  </si>
  <si>
    <t>적  재  량</t>
    <phoneticPr fontId="2" type="noConversion"/>
  </si>
  <si>
    <t>÷</t>
    <phoneticPr fontId="2" type="noConversion"/>
  </si>
  <si>
    <t>㎥</t>
    <phoneticPr fontId="2" type="noConversion"/>
  </si>
  <si>
    <t>F=</t>
    <phoneticPr fontId="2" type="noConversion"/>
  </si>
  <si>
    <t>(1</t>
    <phoneticPr fontId="2" type="noConversion"/>
  </si>
  <si>
    <t xml:space="preserve">) </t>
    <phoneticPr fontId="2" type="noConversion"/>
  </si>
  <si>
    <t>대형브레이커  0.2㎥    시간</t>
    <phoneticPr fontId="2" type="noConversion"/>
  </si>
  <si>
    <t>대형브레이커  0.4㎥    시간</t>
    <phoneticPr fontId="2" type="noConversion"/>
  </si>
  <si>
    <t>로더(무한궤도)   1.34㎥      시간</t>
    <phoneticPr fontId="2" type="noConversion"/>
  </si>
  <si>
    <t>1.34㎥</t>
    <phoneticPr fontId="2" type="noConversion"/>
  </si>
  <si>
    <t>로더(무한궤도)   1.72㎥      시간</t>
    <phoneticPr fontId="2" type="noConversion"/>
  </si>
  <si>
    <t>1.72㎥</t>
    <phoneticPr fontId="2" type="noConversion"/>
  </si>
  <si>
    <t>로더(타이어)   0.57㎥      시간</t>
    <phoneticPr fontId="2" type="noConversion"/>
  </si>
  <si>
    <t>로더(타이어)   1.34㎥      시간</t>
    <phoneticPr fontId="2" type="noConversion"/>
  </si>
  <si>
    <t>로더(타이어)   1.72㎥      시간</t>
    <phoneticPr fontId="2" type="noConversion"/>
  </si>
  <si>
    <t>모터 그레이더 3.6m(일반용)    시간</t>
    <phoneticPr fontId="2" type="noConversion"/>
  </si>
  <si>
    <t>덤프트럭  2.5톤        시간</t>
    <phoneticPr fontId="2" type="noConversion"/>
  </si>
  <si>
    <t>덤프트럭  4.5톤        시간</t>
    <phoneticPr fontId="2" type="noConversion"/>
  </si>
  <si>
    <t>덤프트럭  8톤        시간</t>
    <phoneticPr fontId="2" type="noConversion"/>
  </si>
  <si>
    <t>덤프트럭  15톤        시간</t>
    <phoneticPr fontId="2" type="noConversion"/>
  </si>
  <si>
    <t>5113-0008</t>
  </si>
  <si>
    <t>5202-0127</t>
  </si>
  <si>
    <t>127톤</t>
  </si>
  <si>
    <t>파이프추진기</t>
  </si>
  <si>
    <t>5202-0240</t>
  </si>
  <si>
    <t>(오거부착유압식)</t>
  </si>
  <si>
    <t>5202-0300</t>
  </si>
  <si>
    <t>5203-1800</t>
  </si>
  <si>
    <t>180-195mm</t>
  </si>
  <si>
    <t>5205-0170</t>
  </si>
  <si>
    <t>5205-0210</t>
  </si>
  <si>
    <t>5205-0255</t>
  </si>
  <si>
    <t>5210-0016</t>
  </si>
  <si>
    <t>15.9kg(35#)</t>
  </si>
  <si>
    <t>페이브먼트브레이커</t>
  </si>
  <si>
    <t>5210-0025</t>
  </si>
  <si>
    <t>5210-0036</t>
  </si>
  <si>
    <t>5330-0074</t>
  </si>
  <si>
    <t>7.4㎥/min(100mm)</t>
  </si>
  <si>
    <t>5401-0015</t>
  </si>
  <si>
    <t>15㎥/min(120mm)</t>
  </si>
  <si>
    <t>5401-0017</t>
  </si>
  <si>
    <t>5630-0027</t>
  </si>
  <si>
    <t>2.7㎥/min</t>
  </si>
  <si>
    <t>5701-0010</t>
  </si>
  <si>
    <t>1.0m</t>
  </si>
  <si>
    <t>노면파쇄기</t>
  </si>
  <si>
    <t>5701-0020</t>
  </si>
  <si>
    <t>2.0m</t>
  </si>
  <si>
    <t>5801-0030</t>
  </si>
  <si>
    <t>3.0m</t>
  </si>
  <si>
    <t>터널전단면굴착기</t>
  </si>
  <si>
    <t>5801-0035</t>
  </si>
  <si>
    <t>5801-0045</t>
  </si>
  <si>
    <t>330KW</t>
  </si>
  <si>
    <t>5801-0070</t>
  </si>
  <si>
    <t>5805-0002</t>
  </si>
  <si>
    <t>2붐</t>
  </si>
  <si>
    <t>135kw</t>
  </si>
  <si>
    <t>점보드릴</t>
  </si>
  <si>
    <t>5805-0003</t>
  </si>
  <si>
    <t>3붐</t>
  </si>
  <si>
    <t>239kw</t>
  </si>
  <si>
    <t>5901-0006</t>
  </si>
  <si>
    <t>코아드릴</t>
  </si>
  <si>
    <t>5901-0010</t>
  </si>
  <si>
    <t>6105-0190</t>
  </si>
  <si>
    <t>190ℓ×2(2KW)</t>
  </si>
  <si>
    <t>그라우팅믹서</t>
  </si>
  <si>
    <t>6105-0390</t>
  </si>
  <si>
    <t>6106-0100</t>
  </si>
  <si>
    <t>1㎥</t>
  </si>
  <si>
    <t>6107-0015</t>
  </si>
  <si>
    <t>1.5KW</t>
  </si>
  <si>
    <t>6202-0060</t>
  </si>
  <si>
    <t>6202-0125</t>
  </si>
  <si>
    <t>6202-0200</t>
  </si>
  <si>
    <t>6203-0076</t>
  </si>
  <si>
    <t>76HP</t>
  </si>
  <si>
    <t>6330-0015</t>
  </si>
  <si>
    <t>디젤파일해머</t>
  </si>
  <si>
    <t>) =</t>
    <phoneticPr fontId="2" type="noConversion"/>
  </si>
  <si>
    <t>왕복시간</t>
    <phoneticPr fontId="2" type="noConversion"/>
  </si>
  <si>
    <t xml:space="preserve">분      </t>
    <phoneticPr fontId="2" type="noConversion"/>
  </si>
  <si>
    <t xml:space="preserve">  )  +  (</t>
    <phoneticPr fontId="2" type="noConversion"/>
  </si>
  <si>
    <t xml:space="preserve">  ×</t>
    <phoneticPr fontId="2" type="noConversion"/>
  </si>
  <si>
    <t>적하시간</t>
    <phoneticPr fontId="2" type="noConversion"/>
  </si>
  <si>
    <t xml:space="preserve">분  </t>
    <phoneticPr fontId="2" type="noConversion"/>
  </si>
  <si>
    <t>대기시간</t>
    <phoneticPr fontId="2" type="noConversion"/>
  </si>
  <si>
    <t>분(보통)</t>
    <phoneticPr fontId="2" type="noConversion"/>
  </si>
  <si>
    <t>덮개시간</t>
    <phoneticPr fontId="2" type="noConversion"/>
  </si>
  <si>
    <t>분(적재함덮개설치및 해체시간)</t>
    <phoneticPr fontId="2" type="noConversion"/>
  </si>
  <si>
    <t>&lt;</t>
    <phoneticPr fontId="2" type="noConversion"/>
  </si>
  <si>
    <t>시간당 작업량&gt;</t>
    <phoneticPr fontId="2" type="noConversion"/>
  </si>
  <si>
    <t>60   ×</t>
    <phoneticPr fontId="2" type="noConversion"/>
  </si>
  <si>
    <t>h</t>
    <phoneticPr fontId="2" type="noConversion"/>
  </si>
  <si>
    <t>재  료  비</t>
    <phoneticPr fontId="2" type="noConversion"/>
  </si>
  <si>
    <t xml:space="preserve">노  무  비 </t>
    <phoneticPr fontId="2" type="noConversion"/>
  </si>
  <si>
    <t>+</t>
    <phoneticPr fontId="2" type="noConversion"/>
  </si>
  <si>
    <t>경       비</t>
    <phoneticPr fontId="2" type="noConversion"/>
  </si>
  <si>
    <t>f=</t>
    <phoneticPr fontId="2" type="noConversion"/>
  </si>
  <si>
    <t>ㅇ 단위중량 :</t>
    <phoneticPr fontId="2" type="noConversion"/>
  </si>
  <si>
    <t>1회싸이클 시간   :</t>
    <phoneticPr fontId="2" type="noConversion"/>
  </si>
  <si>
    <t xml:space="preserve">분(t₁= </t>
    <phoneticPr fontId="2" type="noConversion"/>
  </si>
  <si>
    <t>Cmsㆍn / 60ㆍEs )</t>
    <phoneticPr fontId="2" type="noConversion"/>
  </si>
  <si>
    <t>Cms  =</t>
    <phoneticPr fontId="2" type="noConversion"/>
  </si>
  <si>
    <t>sec</t>
    <phoneticPr fontId="2" type="noConversion"/>
  </si>
  <si>
    <t>(0.2㎥ 135˚)</t>
    <phoneticPr fontId="2" type="noConversion"/>
  </si>
  <si>
    <t xml:space="preserve">    n     =</t>
    <phoneticPr fontId="2" type="noConversion"/>
  </si>
  <si>
    <t>Qt / qㆍK</t>
    <phoneticPr fontId="2" type="noConversion"/>
  </si>
  <si>
    <t>K=</t>
    <phoneticPr fontId="2" type="noConversion"/>
  </si>
  <si>
    <t xml:space="preserve">          =</t>
    <phoneticPr fontId="2" type="noConversion"/>
  </si>
  <si>
    <t>÷   (</t>
    <phoneticPr fontId="2" type="noConversion"/>
  </si>
  <si>
    <t>)  =</t>
    <phoneticPr fontId="2" type="noConversion"/>
  </si>
  <si>
    <t xml:space="preserve">   Es    =</t>
    <phoneticPr fontId="2" type="noConversion"/>
  </si>
  <si>
    <t xml:space="preserve">)÷( </t>
    <phoneticPr fontId="2" type="noConversion"/>
  </si>
  <si>
    <t xml:space="preserve">분    </t>
    <phoneticPr fontId="2" type="noConversion"/>
  </si>
  <si>
    <t>/㎥</t>
    <phoneticPr fontId="2" type="noConversion"/>
  </si>
  <si>
    <t>크레인  70톤 무한궤도      시간</t>
    <phoneticPr fontId="2" type="noConversion"/>
  </si>
  <si>
    <t>70톤</t>
    <phoneticPr fontId="2" type="noConversion"/>
  </si>
  <si>
    <t>크레인  80톤 무한궤도      시간</t>
    <phoneticPr fontId="2" type="noConversion"/>
  </si>
  <si>
    <t>80톤</t>
    <phoneticPr fontId="2" type="noConversion"/>
  </si>
  <si>
    <t>2.5D.T+0.2BH</t>
    <phoneticPr fontId="2" type="noConversion"/>
  </si>
  <si>
    <t>4.5D.T+0.2BH</t>
    <phoneticPr fontId="2" type="noConversion"/>
  </si>
  <si>
    <t>4.5D.T+0.4BH</t>
    <phoneticPr fontId="2" type="noConversion"/>
  </si>
  <si>
    <t>200×250×1000</t>
    <phoneticPr fontId="2" type="noConversion"/>
  </si>
  <si>
    <t>#467(40mm)</t>
    <phoneticPr fontId="2" type="noConversion"/>
  </si>
  <si>
    <t>진동로울러</t>
    <phoneticPr fontId="2" type="noConversion"/>
  </si>
  <si>
    <t>관급</t>
    <phoneticPr fontId="2" type="noConversion"/>
  </si>
  <si>
    <t>포설</t>
    <phoneticPr fontId="2" type="noConversion"/>
  </si>
  <si>
    <t>다짐</t>
    <phoneticPr fontId="2" type="noConversion"/>
  </si>
  <si>
    <t>플레이트콤팩터</t>
    <phoneticPr fontId="2" type="noConversion"/>
  </si>
  <si>
    <t>빗자루</t>
    <phoneticPr fontId="2" type="noConversion"/>
  </si>
  <si>
    <t>아스팔트포장절단</t>
    <phoneticPr fontId="2" type="noConversion"/>
  </si>
  <si>
    <t>소형브레이커＋공기압축기</t>
    <phoneticPr fontId="2" type="noConversion"/>
  </si>
  <si>
    <t>아스콘표층</t>
    <phoneticPr fontId="2" type="noConversion"/>
  </si>
  <si>
    <t>잔토</t>
    <phoneticPr fontId="2" type="noConversion"/>
  </si>
  <si>
    <t>㎏</t>
    <phoneticPr fontId="2" type="noConversion"/>
  </si>
  <si>
    <t>6.0m×0.9m</t>
    <phoneticPr fontId="2" type="noConversion"/>
  </si>
  <si>
    <t>공사안내간판설치</t>
    <phoneticPr fontId="2" type="noConversion"/>
  </si>
  <si>
    <t>1.8m×0.9m</t>
    <phoneticPr fontId="2" type="noConversion"/>
  </si>
  <si>
    <t>비계공</t>
    <phoneticPr fontId="2" type="noConversion"/>
  </si>
  <si>
    <t>3.0×3.0</t>
    <phoneticPr fontId="2" type="noConversion"/>
  </si>
  <si>
    <t>손율</t>
    <phoneticPr fontId="2" type="noConversion"/>
  </si>
  <si>
    <t>12%</t>
    <phoneticPr fontId="2" type="noConversion"/>
  </si>
  <si>
    <t>크레인</t>
    <phoneticPr fontId="2" type="noConversion"/>
  </si>
  <si>
    <t>hr</t>
    <phoneticPr fontId="2" type="noConversion"/>
  </si>
  <si>
    <t>270×900</t>
    <phoneticPr fontId="2" type="noConversion"/>
  </si>
  <si>
    <t>t=3cm</t>
    <phoneticPr fontId="2" type="noConversion"/>
  </si>
  <si>
    <t>0.4m³</t>
    <phoneticPr fontId="2" type="noConversion"/>
  </si>
  <si>
    <t>구벽체거푸집</t>
    <phoneticPr fontId="2" type="noConversion"/>
  </si>
  <si>
    <t>컴퓨터</t>
  </si>
  <si>
    <t>프린터</t>
  </si>
  <si>
    <t>레이저</t>
  </si>
  <si>
    <t>시간</t>
    <phoneticPr fontId="2" type="noConversion"/>
  </si>
  <si>
    <t>블레이드</t>
    <phoneticPr fontId="2" type="noConversion"/>
  </si>
  <si>
    <t>물</t>
    <phoneticPr fontId="2" type="noConversion"/>
  </si>
  <si>
    <t>ℓ</t>
    <phoneticPr fontId="2" type="noConversion"/>
  </si>
  <si>
    <t>경비란적용</t>
    <phoneticPr fontId="2" type="noConversion"/>
  </si>
  <si>
    <t>잔토처리</t>
    <phoneticPr fontId="2" type="noConversion"/>
  </si>
  <si>
    <t>트럭</t>
    <phoneticPr fontId="2" type="noConversion"/>
  </si>
  <si>
    <t>1회</t>
    <phoneticPr fontId="2" type="noConversion"/>
  </si>
  <si>
    <t>방진망</t>
    <phoneticPr fontId="2" type="noConversion"/>
  </si>
  <si>
    <t>45φ(0.75KW)전기식후렉시블형</t>
  </si>
  <si>
    <t>2105-0005</t>
    <phoneticPr fontId="2" type="noConversion"/>
  </si>
  <si>
    <t>사급자재 물가조사서</t>
  </si>
  <si>
    <t>품    명</t>
  </si>
  <si>
    <t>수 량</t>
  </si>
  <si>
    <t>산  출  조  사  내  역</t>
  </si>
  <si>
    <t>▣ 연료류</t>
  </si>
  <si>
    <t>▣ 환율</t>
  </si>
  <si>
    <t>1$당</t>
  </si>
  <si>
    <t>▣ 골재류</t>
  </si>
  <si>
    <t>40mm이하 기층용</t>
  </si>
  <si>
    <t>견치석(깬돌)</t>
  </si>
  <si>
    <t>▣ 합판및 목재류</t>
  </si>
  <si>
    <t>소(18cm미만)</t>
  </si>
  <si>
    <t>0302-0350</t>
  </si>
  <si>
    <t>0302-0500</t>
  </si>
  <si>
    <t>0406</t>
  </si>
  <si>
    <t>0406-0054</t>
  </si>
  <si>
    <t>5.4㎥</t>
  </si>
  <si>
    <t>스크레이퍼</t>
  </si>
  <si>
    <t>0406-0115</t>
  </si>
  <si>
    <t>(자주식)</t>
  </si>
  <si>
    <t>0406-0161</t>
  </si>
  <si>
    <t>0406-0206</t>
  </si>
  <si>
    <t>0407</t>
  </si>
  <si>
    <t>0407-0054</t>
  </si>
  <si>
    <t>0407-0092</t>
  </si>
  <si>
    <t>(견인식)</t>
  </si>
  <si>
    <t>0407-0107</t>
  </si>
  <si>
    <t>노면파쇄기</t>
    <phoneticPr fontId="2" type="noConversion"/>
  </si>
  <si>
    <t xml:space="preserve"> </t>
    <phoneticPr fontId="2" type="noConversion"/>
  </si>
  <si>
    <t>낙하물 방지망 설치(3개월)        ㎡</t>
    <phoneticPr fontId="2" type="noConversion"/>
  </si>
  <si>
    <t>비계파이프(단관비계)</t>
    <phoneticPr fontId="2" type="noConversion"/>
  </si>
  <si>
    <t>강관비계브라켓</t>
    <phoneticPr fontId="2" type="noConversion"/>
  </si>
  <si>
    <t>조임철물(크램프)</t>
    <phoneticPr fontId="2" type="noConversion"/>
  </si>
  <si>
    <t>보통철선</t>
    <phoneticPr fontId="2" type="noConversion"/>
  </si>
  <si>
    <t>안전망(PE망)</t>
    <phoneticPr fontId="2" type="noConversion"/>
  </si>
  <si>
    <t>48.6 * 2.4mm</t>
    <phoneticPr fontId="2" type="noConversion"/>
  </si>
  <si>
    <t>직교,자재</t>
    <phoneticPr fontId="2" type="noConversion"/>
  </si>
  <si>
    <t>#8, 4.0m/m, 10.1m/kg</t>
    <phoneticPr fontId="2" type="noConversion"/>
  </si>
  <si>
    <t>90합</t>
    <phoneticPr fontId="2" type="noConversion"/>
  </si>
  <si>
    <t>EA</t>
    <phoneticPr fontId="2" type="noConversion"/>
  </si>
  <si>
    <t>Kg</t>
    <phoneticPr fontId="2" type="noConversion"/>
  </si>
  <si>
    <t>낙하물 방지망 설치(6개월)        ㎡</t>
    <phoneticPr fontId="2" type="noConversion"/>
  </si>
  <si>
    <t>낙하물 방지망 설치(12개월)        ㎡</t>
    <phoneticPr fontId="2" type="noConversion"/>
  </si>
  <si>
    <t>0302-0057</t>
    <phoneticPr fontId="2" type="noConversion"/>
  </si>
  <si>
    <t>0302-0134</t>
    <phoneticPr fontId="2" type="noConversion"/>
  </si>
  <si>
    <t>0302-0172</t>
    <phoneticPr fontId="2" type="noConversion"/>
  </si>
  <si>
    <t>모터 그레이더</t>
    <phoneticPr fontId="2" type="noConversion"/>
  </si>
  <si>
    <t>0502-0036</t>
    <phoneticPr fontId="2" type="noConversion"/>
  </si>
  <si>
    <t>0602-0025</t>
    <phoneticPr fontId="2" type="noConversion"/>
  </si>
  <si>
    <t>(10^-7)</t>
    <phoneticPr fontId="2" type="noConversion"/>
  </si>
  <si>
    <t>×10^-7</t>
    <phoneticPr fontId="2" type="noConversion"/>
  </si>
  <si>
    <t>0602-0045</t>
    <phoneticPr fontId="2" type="noConversion"/>
  </si>
  <si>
    <t>0602-0080</t>
    <phoneticPr fontId="2" type="noConversion"/>
  </si>
  <si>
    <t>0602-0150</t>
    <phoneticPr fontId="2" type="noConversion"/>
  </si>
  <si>
    <t>머캐덤롤러(자주식)</t>
    <phoneticPr fontId="2" type="noConversion"/>
  </si>
  <si>
    <t>1106-0010</t>
    <phoneticPr fontId="2" type="noConversion"/>
  </si>
  <si>
    <t>1106-0012</t>
    <phoneticPr fontId="2" type="noConversion"/>
  </si>
  <si>
    <t>1206-0008</t>
    <phoneticPr fontId="2" type="noConversion"/>
  </si>
  <si>
    <t>1206-0010</t>
    <phoneticPr fontId="2" type="noConversion"/>
  </si>
  <si>
    <t>10-14톤</t>
    <phoneticPr fontId="2" type="noConversion"/>
  </si>
  <si>
    <t>1206-0014</t>
    <phoneticPr fontId="2" type="noConversion"/>
  </si>
  <si>
    <t>탠덤롤러(진동자주식)</t>
    <phoneticPr fontId="2" type="noConversion"/>
  </si>
  <si>
    <t>1306-0044</t>
    <phoneticPr fontId="2" type="noConversion"/>
  </si>
  <si>
    <t>1306-0100</t>
    <phoneticPr fontId="2" type="noConversion"/>
  </si>
  <si>
    <t>유리알(도로용재장구류)</t>
  </si>
  <si>
    <t>▣ 시멘트</t>
  </si>
  <si>
    <t>초조강 시멘트</t>
  </si>
  <si>
    <t>초속경 시멘트</t>
  </si>
  <si>
    <t>▣ 용접류</t>
  </si>
  <si>
    <t>용접봉(KSE4301)</t>
  </si>
  <si>
    <t>47ℓ병기</t>
  </si>
  <si>
    <t>▣ 도로포장재</t>
  </si>
  <si>
    <t>200ℓ</t>
  </si>
  <si>
    <t>아스팔트 프라이머</t>
  </si>
  <si>
    <t>장수비(빗자루)</t>
  </si>
  <si>
    <t>아스팔트 루핑</t>
  </si>
  <si>
    <t>▣ 공구류</t>
  </si>
  <si>
    <t>12″,T=3.2</t>
  </si>
  <si>
    <t>코아드릴(비트)</t>
  </si>
  <si>
    <t>▣ 비계및 동바리재</t>
  </si>
  <si>
    <t>이음철물(연결핀)</t>
  </si>
  <si>
    <t>직교,자재</t>
  </si>
  <si>
    <t>▣ 가설창고,사무실</t>
  </si>
  <si>
    <t>콘테이너(창고용)</t>
  </si>
  <si>
    <t>콘테이너(사무실용)</t>
  </si>
  <si>
    <t>▣ 하수분야</t>
  </si>
  <si>
    <t>PVC지수판</t>
  </si>
  <si>
    <t>PP마대</t>
  </si>
  <si>
    <t>U형 플륨관</t>
  </si>
  <si>
    <t>PVC고압호스</t>
  </si>
  <si>
    <t>PVC일반호스</t>
  </si>
  <si>
    <t>▣ 형강</t>
  </si>
  <si>
    <t>H형강(KSD3503)</t>
  </si>
  <si>
    <t>▣ 벽돌</t>
  </si>
  <si>
    <t>시멘트 벽돌</t>
  </si>
  <si>
    <t>벽돌(적벽돌)</t>
  </si>
  <si>
    <t>▣ 기타재료</t>
  </si>
  <si>
    <t>촬영용 T=120</t>
  </si>
  <si>
    <t>녹화용 T=120</t>
  </si>
  <si>
    <t>프로판 가스</t>
  </si>
  <si>
    <t>22mm, 철</t>
  </si>
  <si>
    <t>유도브럭(황색)</t>
  </si>
  <si>
    <t>점자브럭(황색)</t>
  </si>
  <si>
    <t>0201-0012</t>
  </si>
  <si>
    <t>0.12㎥</t>
  </si>
  <si>
    <t>굴삭기</t>
  </si>
  <si>
    <t>0201-0020</t>
  </si>
  <si>
    <t>0201-0040</t>
  </si>
  <si>
    <t>0201-0070</t>
  </si>
  <si>
    <t>0201-0100</t>
  </si>
  <si>
    <t>0201-0200</t>
  </si>
  <si>
    <t>0211-0018</t>
  </si>
  <si>
    <t>0.18㎥</t>
  </si>
  <si>
    <t>0221</t>
  </si>
  <si>
    <t>0221-0040</t>
  </si>
  <si>
    <t>0.4㎥</t>
  </si>
  <si>
    <t>0221-0070</t>
  </si>
  <si>
    <t>0230</t>
  </si>
  <si>
    <t>0230-0002</t>
  </si>
  <si>
    <t>0.2㎥</t>
  </si>
  <si>
    <t>0230-0004</t>
  </si>
  <si>
    <t>불도저(무한궤도)</t>
    <phoneticPr fontId="2" type="noConversion"/>
  </si>
  <si>
    <t>19 톤</t>
    <phoneticPr fontId="2" type="noConversion"/>
  </si>
  <si>
    <t>0101-0019</t>
    <phoneticPr fontId="2" type="noConversion"/>
  </si>
  <si>
    <t>경비(손료)</t>
    <phoneticPr fontId="2" type="noConversion"/>
  </si>
  <si>
    <t>중기가격</t>
    <phoneticPr fontId="2" type="noConversion"/>
  </si>
  <si>
    <t>시간당손료</t>
    <phoneticPr fontId="2" type="noConversion"/>
  </si>
  <si>
    <t>건설기계조장</t>
    <phoneticPr fontId="2" type="noConversion"/>
  </si>
  <si>
    <t>32 톤</t>
    <phoneticPr fontId="2" type="noConversion"/>
  </si>
  <si>
    <t>0101-0032</t>
    <phoneticPr fontId="2" type="noConversion"/>
  </si>
  <si>
    <t>유압식 리퍼</t>
    <phoneticPr fontId="2" type="noConversion"/>
  </si>
  <si>
    <t>0103-0019</t>
    <phoneticPr fontId="2" type="noConversion"/>
  </si>
  <si>
    <t>0103-0032</t>
    <phoneticPr fontId="2" type="noConversion"/>
  </si>
  <si>
    <t>0201-0020</t>
    <phoneticPr fontId="2" type="noConversion"/>
  </si>
  <si>
    <t>주 연 료</t>
    <phoneticPr fontId="2" type="noConversion"/>
  </si>
  <si>
    <t>0201-0040</t>
    <phoneticPr fontId="2" type="noConversion"/>
  </si>
  <si>
    <t>0201-0070</t>
    <phoneticPr fontId="2" type="noConversion"/>
  </si>
  <si>
    <t>1.0m³</t>
    <phoneticPr fontId="2" type="noConversion"/>
  </si>
  <si>
    <t>0201-0100</t>
    <phoneticPr fontId="2" type="noConversion"/>
  </si>
  <si>
    <t>0221-0040</t>
    <phoneticPr fontId="2" type="noConversion"/>
  </si>
  <si>
    <t>0221-0070</t>
    <phoneticPr fontId="2" type="noConversion"/>
  </si>
  <si>
    <t>0230-0002</t>
    <phoneticPr fontId="2" type="noConversion"/>
  </si>
  <si>
    <t>0230-0004</t>
    <phoneticPr fontId="2" type="noConversion"/>
  </si>
  <si>
    <t>1.34m³</t>
    <phoneticPr fontId="2" type="noConversion"/>
  </si>
  <si>
    <t>0301-0134</t>
    <phoneticPr fontId="2" type="noConversion"/>
  </si>
  <si>
    <t>1.72m³</t>
    <phoneticPr fontId="2" type="noConversion"/>
  </si>
  <si>
    <t>0301-0172</t>
    <phoneticPr fontId="2" type="noConversion"/>
  </si>
  <si>
    <t>0.57m³</t>
    <phoneticPr fontId="2" type="noConversion"/>
  </si>
  <si>
    <t>아스팔트스프레이어  400ℓ     시간</t>
    <phoneticPr fontId="2" type="noConversion"/>
  </si>
  <si>
    <t>플레이트콤펙터  1.5톤     시간</t>
    <phoneticPr fontId="2" type="noConversion"/>
  </si>
  <si>
    <t>원형거푸집 1회 m²</t>
    <phoneticPr fontId="2" type="noConversion"/>
  </si>
  <si>
    <t>판재(육송)</t>
    <phoneticPr fontId="2" type="noConversion"/>
  </si>
  <si>
    <t>각재(육송)</t>
    <phoneticPr fontId="2" type="noConversion"/>
  </si>
  <si>
    <t>판재,각재,합판의 23%</t>
    <phoneticPr fontId="2" type="noConversion"/>
  </si>
  <si>
    <t>원형거푸집 3회 m²</t>
    <phoneticPr fontId="2" type="noConversion"/>
  </si>
  <si>
    <t>재료비의42%</t>
    <phoneticPr fontId="2" type="noConversion"/>
  </si>
  <si>
    <t>7812-0007</t>
  </si>
  <si>
    <t>(디젤엔진)</t>
  </si>
  <si>
    <t>7812-0009</t>
  </si>
  <si>
    <t>7812-0015</t>
  </si>
  <si>
    <t>7812-0018</t>
  </si>
  <si>
    <t>7812-0020</t>
  </si>
  <si>
    <t>7812-0035</t>
  </si>
  <si>
    <t>7812-0070</t>
  </si>
  <si>
    <t>7812-0100</t>
  </si>
  <si>
    <t>7812-0150</t>
  </si>
  <si>
    <t>7812-0200</t>
  </si>
  <si>
    <t>7820-0047</t>
  </si>
  <si>
    <t>4.7ℓ/min</t>
  </si>
  <si>
    <t>7930-0001</t>
  </si>
  <si>
    <t>1HP</t>
  </si>
  <si>
    <t>모터</t>
  </si>
  <si>
    <t>7930-0002</t>
  </si>
  <si>
    <t>7930-0003</t>
  </si>
  <si>
    <t>7930-0005</t>
  </si>
  <si>
    <t>7930-0007</t>
  </si>
  <si>
    <t>7930-0010</t>
  </si>
  <si>
    <t>7930-0015</t>
  </si>
  <si>
    <t>7930-0020</t>
  </si>
  <si>
    <t>7930-0025</t>
  </si>
  <si>
    <t>7930-0030</t>
  </si>
  <si>
    <t>7930-0040</t>
  </si>
  <si>
    <t>7930-0050</t>
  </si>
  <si>
    <t>7930-0075</t>
  </si>
  <si>
    <t>7930-0100</t>
  </si>
  <si>
    <t>8801-0019</t>
  </si>
  <si>
    <t>(3/4˝)×3B×50m</t>
  </si>
  <si>
    <t>에어호스</t>
  </si>
  <si>
    <t>8801-0025</t>
  </si>
  <si>
    <t>8801-0037</t>
  </si>
  <si>
    <t>(3/2)×3B×20</t>
  </si>
  <si>
    <t>8801-0050</t>
  </si>
  <si>
    <t>8802-0001</t>
  </si>
  <si>
    <t>봉상후렉시블</t>
  </si>
  <si>
    <t>8803-0001</t>
  </si>
  <si>
    <t>150mm×1m</t>
  </si>
  <si>
    <t>콘크리트펌프용</t>
  </si>
  <si>
    <t>8803-0002</t>
  </si>
  <si>
    <t>파이프</t>
  </si>
  <si>
    <t>8803-0003</t>
  </si>
  <si>
    <t>○ 인천(공장도), L=40km이내, 10ton(구역화물 운임 적용)</t>
    <phoneticPr fontId="2" type="noConversion"/>
  </si>
  <si>
    <t>10km까지</t>
    <phoneticPr fontId="2" type="noConversion"/>
  </si>
  <si>
    <t>8ton</t>
    <phoneticPr fontId="2" type="noConversion"/>
  </si>
  <si>
    <t>다. 조 작 비 :</t>
    <phoneticPr fontId="2" type="noConversion"/>
  </si>
  <si>
    <t>원 (물가정보)</t>
    <phoneticPr fontId="2" type="noConversion"/>
  </si>
  <si>
    <t>대당운반시간=적재량×0.95/인＋10</t>
    <phoneticPr fontId="2" type="noConversion"/>
  </si>
  <si>
    <t>라. 하 차 비 :</t>
    <phoneticPr fontId="2" type="noConversion"/>
  </si>
  <si>
    <t>- 운반 : 8DT(20km, 2대 조합)</t>
    <phoneticPr fontId="2" type="noConversion"/>
  </si>
  <si>
    <t>ㆍ 트럭위 인부  :</t>
    <phoneticPr fontId="2" type="noConversion"/>
  </si>
  <si>
    <t>5112-0005</t>
  </si>
  <si>
    <t>5113-0001</t>
  </si>
  <si>
    <t>5113-0002</t>
  </si>
  <si>
    <t>5113-0003</t>
  </si>
  <si>
    <t>5113-0004</t>
  </si>
  <si>
    <t>5113-0005</t>
  </si>
  <si>
    <t>5113-0006</t>
  </si>
  <si>
    <t>5113-0007</t>
  </si>
  <si>
    <t>품명</t>
    <phoneticPr fontId="2" type="noConversion"/>
  </si>
  <si>
    <t>중량산출</t>
    <phoneticPr fontId="2" type="noConversion"/>
  </si>
  <si>
    <t>인  =</t>
    <phoneticPr fontId="2" type="noConversion"/>
  </si>
  <si>
    <t>공장상차도</t>
    <phoneticPr fontId="2" type="noConversion"/>
  </si>
  <si>
    <t>ㆍ 운반소요시간</t>
    <phoneticPr fontId="2" type="noConversion"/>
  </si>
  <si>
    <t>2 ×  20/42  =</t>
    <phoneticPr fontId="2" type="noConversion"/>
  </si>
  <si>
    <t>□ 흄관 : L=20km이내, 8Ton(구역화물 운임적용) :</t>
    <phoneticPr fontId="2" type="noConversion"/>
  </si>
  <si>
    <t>÷1.1=</t>
    <phoneticPr fontId="2" type="noConversion"/>
  </si>
  <si>
    <t>"</t>
    <phoneticPr fontId="2" type="noConversion"/>
  </si>
  <si>
    <t>관경</t>
    <phoneticPr fontId="2" type="noConversion"/>
  </si>
  <si>
    <t>본당경비</t>
    <phoneticPr fontId="2" type="noConversion"/>
  </si>
  <si>
    <t>M당경비</t>
    <phoneticPr fontId="2" type="noConversion"/>
  </si>
  <si>
    <t>130kg/㎡</t>
    <phoneticPr fontId="2" type="noConversion"/>
  </si>
  <si>
    <t>61m2/대</t>
    <phoneticPr fontId="2" type="noConversion"/>
  </si>
  <si>
    <t xml:space="preserve">ㆍ 인부작업량, 이동시간 및  차량대기,적재함 열고 닫는시간: </t>
    <phoneticPr fontId="2" type="noConversion"/>
  </si>
  <si>
    <t>D= 250</t>
    <phoneticPr fontId="2" type="noConversion"/>
  </si>
  <si>
    <t>1본=2.5M</t>
    <phoneticPr fontId="2" type="noConversion"/>
  </si>
  <si>
    <t xml:space="preserve">도착 </t>
    <phoneticPr fontId="2" type="noConversion"/>
  </si>
  <si>
    <t>D= 300</t>
    <phoneticPr fontId="2" type="noConversion"/>
  </si>
  <si>
    <t>D= 450</t>
    <phoneticPr fontId="2" type="noConversion"/>
  </si>
  <si>
    <t>1대당 하차비</t>
    <phoneticPr fontId="2" type="noConversion"/>
  </si>
  <si>
    <t>D= 500</t>
    <phoneticPr fontId="2" type="noConversion"/>
  </si>
  <si>
    <t>D= 600</t>
    <phoneticPr fontId="2" type="noConversion"/>
  </si>
  <si>
    <t>D= 700</t>
    <phoneticPr fontId="2" type="noConversion"/>
  </si>
  <si>
    <t>D= 800</t>
    <phoneticPr fontId="2" type="noConversion"/>
  </si>
  <si>
    <t>D= 900</t>
    <phoneticPr fontId="2" type="noConversion"/>
  </si>
  <si>
    <t>D=1,000</t>
    <phoneticPr fontId="2" type="noConversion"/>
  </si>
  <si>
    <t>경               비</t>
    <phoneticPr fontId="2" type="noConversion"/>
  </si>
  <si>
    <t>합    계                     (경비로
 산출)</t>
    <phoneticPr fontId="2" type="noConversion"/>
  </si>
  <si>
    <t>D=1,100</t>
    <phoneticPr fontId="2" type="noConversion"/>
  </si>
  <si>
    <t>D=1,200</t>
    <phoneticPr fontId="2" type="noConversion"/>
  </si>
  <si>
    <t>하차비</t>
    <phoneticPr fontId="2" type="noConversion"/>
  </si>
  <si>
    <t>조작비</t>
    <phoneticPr fontId="2" type="noConversion"/>
  </si>
  <si>
    <t>대당</t>
    <phoneticPr fontId="2" type="noConversion"/>
  </si>
  <si>
    <t>기        종</t>
    <phoneticPr fontId="2" type="noConversion"/>
  </si>
  <si>
    <t>0201-0060</t>
    <phoneticPr fontId="2" type="noConversion"/>
  </si>
  <si>
    <t>7505-0200</t>
  </si>
  <si>
    <t>7505-0250</t>
  </si>
  <si>
    <t>7505-0350</t>
  </si>
  <si>
    <t>7505-0450</t>
  </si>
  <si>
    <t>7505-0500</t>
  </si>
  <si>
    <t>7505-0700</t>
  </si>
  <si>
    <t>7611-0200</t>
  </si>
  <si>
    <t>200Amp</t>
  </si>
  <si>
    <t>용접기(교류)</t>
  </si>
  <si>
    <t>7611-0300</t>
  </si>
  <si>
    <t>7611-0400</t>
  </si>
  <si>
    <t>7611-0500</t>
  </si>
  <si>
    <t>7612-0200</t>
  </si>
  <si>
    <t>용접기(직류)</t>
  </si>
  <si>
    <t>7612-0300</t>
  </si>
  <si>
    <t>7612-0400</t>
  </si>
  <si>
    <t>7613-0075</t>
  </si>
  <si>
    <t>20-75mm</t>
  </si>
  <si>
    <t>융착기</t>
  </si>
  <si>
    <t>7613-0150</t>
  </si>
  <si>
    <t>100-150</t>
  </si>
  <si>
    <t>7613-0300</t>
  </si>
  <si>
    <t>200-300</t>
  </si>
  <si>
    <t>7613-0400</t>
  </si>
  <si>
    <t>7613-0600</t>
  </si>
  <si>
    <t>450-600</t>
  </si>
  <si>
    <t>7613-0900</t>
  </si>
  <si>
    <t>700-900</t>
  </si>
  <si>
    <t>7614-0300</t>
  </si>
  <si>
    <t>300Amp</t>
  </si>
  <si>
    <t>7620-0002</t>
  </si>
  <si>
    <t>7621-0100</t>
  </si>
  <si>
    <t>100Amp</t>
  </si>
  <si>
    <t>7730-0050</t>
  </si>
  <si>
    <t>50mm(2HP×20mm)</t>
  </si>
  <si>
    <t>건설용펌프</t>
  </si>
  <si>
    <t>7730-0080</t>
  </si>
  <si>
    <t>(자흡식)</t>
  </si>
  <si>
    <t>7730-0125</t>
  </si>
  <si>
    <t>7730-0150</t>
  </si>
  <si>
    <t>7740-0080</t>
  </si>
  <si>
    <t>80mm</t>
  </si>
  <si>
    <t>수중모터펌프</t>
  </si>
  <si>
    <t>7750-0016</t>
  </si>
  <si>
    <t>16ℓ</t>
  </si>
  <si>
    <t>취부기</t>
  </si>
  <si>
    <t>7750-0025</t>
  </si>
  <si>
    <t>7770-0004</t>
  </si>
  <si>
    <t>4노즐류</t>
  </si>
  <si>
    <t>7811-0025</t>
  </si>
  <si>
    <t>2.5HP</t>
  </si>
  <si>
    <t>휘발류0.5</t>
  </si>
  <si>
    <t>엔진(가솔린엔진)</t>
  </si>
  <si>
    <t>7811-0030</t>
  </si>
  <si>
    <t xml:space="preserve">  〃  0.6</t>
  </si>
  <si>
    <t>7811-0040</t>
  </si>
  <si>
    <t xml:space="preserve">  〃  0.8</t>
  </si>
  <si>
    <t>7811-0045</t>
  </si>
  <si>
    <t xml:space="preserve">  〃  0.9</t>
  </si>
  <si>
    <t>7811-0070</t>
  </si>
  <si>
    <t xml:space="preserve">  〃  1.4</t>
  </si>
  <si>
    <t>7811-0120</t>
  </si>
  <si>
    <t xml:space="preserve">  〃  2.4</t>
  </si>
  <si>
    <t>7812-0005</t>
  </si>
  <si>
    <t>5HP</t>
  </si>
  <si>
    <t>엔진</t>
  </si>
  <si>
    <t>인력비빔,소형구조</t>
    <phoneticPr fontId="2" type="noConversion"/>
  </si>
  <si>
    <t>합판거푸집(소형구조)</t>
    <phoneticPr fontId="2" type="noConversion"/>
  </si>
  <si>
    <t>4회사용,10㎥미만</t>
    <phoneticPr fontId="2" type="noConversion"/>
  </si>
  <si>
    <t>빗물받이인상교체 410×1010×60mm  개소</t>
    <phoneticPr fontId="2" type="noConversion"/>
  </si>
  <si>
    <t>물푸기 50m기준  개소</t>
    <phoneticPr fontId="2" type="noConversion"/>
  </si>
  <si>
    <t>배관호스(10회사용)</t>
    <phoneticPr fontId="2" type="noConversion"/>
  </si>
  <si>
    <t>PVC호스</t>
    <phoneticPr fontId="2" type="noConversion"/>
  </si>
  <si>
    <t>가정하수도복구공  P.V.C 150mm기준  개소</t>
    <phoneticPr fontId="2" type="noConversion"/>
  </si>
  <si>
    <t>P.V.C파이프</t>
    <phoneticPr fontId="2" type="noConversion"/>
  </si>
  <si>
    <t>맨홀설치(원형)1호P.E (내경90cm)-벽체1m 개소</t>
    <phoneticPr fontId="2" type="noConversion"/>
  </si>
  <si>
    <t>3종(180)소형</t>
    <phoneticPr fontId="2" type="noConversion"/>
  </si>
  <si>
    <t>PE거푸집(90cm)</t>
    <phoneticPr fontId="2" type="noConversion"/>
  </si>
  <si>
    <t>5종, 소형구조</t>
    <phoneticPr fontId="2" type="noConversion"/>
  </si>
  <si>
    <t>기초 및 슬래브거푸집</t>
    <phoneticPr fontId="2" type="noConversion"/>
  </si>
  <si>
    <t>트랙터(타이어)</t>
    <phoneticPr fontId="2" type="noConversion"/>
  </si>
  <si>
    <t>40톤</t>
    <phoneticPr fontId="2" type="noConversion"/>
  </si>
  <si>
    <t>아스팔트페이버</t>
    <phoneticPr fontId="2" type="noConversion"/>
  </si>
  <si>
    <t>3m</t>
    <phoneticPr fontId="2" type="noConversion"/>
  </si>
  <si>
    <t>아스팔트디스트리뷰터</t>
    <phoneticPr fontId="2" type="noConversion"/>
  </si>
  <si>
    <t>3,800ℓ</t>
    <phoneticPr fontId="2" type="noConversion"/>
  </si>
  <si>
    <t>CD-R</t>
    <phoneticPr fontId="2" type="noConversion"/>
  </si>
  <si>
    <t>공기주입기</t>
  </si>
  <si>
    <t>공기호스</t>
  </si>
  <si>
    <t>급수호스</t>
  </si>
  <si>
    <t>수직시험관</t>
  </si>
  <si>
    <t>시험관호스</t>
  </si>
  <si>
    <t>10ton</t>
    <phoneticPr fontId="2" type="noConversion"/>
  </si>
  <si>
    <t>(흡입시간)</t>
    <phoneticPr fontId="2" type="noConversion"/>
  </si>
  <si>
    <t>(주입시간)</t>
    <phoneticPr fontId="2" type="noConversion"/>
  </si>
  <si>
    <t>t1+t2+t3+t4</t>
    <phoneticPr fontId="2" type="noConversion"/>
  </si>
  <si>
    <t>□ 혼합기층 살수비(t=20cm), (물탱크 5,500ℓ)</t>
    <phoneticPr fontId="2" type="noConversion"/>
  </si>
  <si>
    <t>㎥/ hr</t>
    <phoneticPr fontId="2" type="noConversion"/>
  </si>
  <si>
    <t xml:space="preserve">  2. 플레이트 콤펙터 다짐 - (3회)</t>
    <phoneticPr fontId="2" type="noConversion"/>
  </si>
  <si>
    <t>원/㎥</t>
    <phoneticPr fontId="2" type="noConversion"/>
  </si>
  <si>
    <t>작 업 과 정  및  Q 산 출</t>
    <phoneticPr fontId="2" type="noConversion"/>
  </si>
  <si>
    <t>1. 환율(전신환 매도율)</t>
    <phoneticPr fontId="2" type="noConversion"/>
  </si>
  <si>
    <t>1$</t>
    <phoneticPr fontId="2" type="noConversion"/>
  </si>
  <si>
    <t>2. 인건비(시간당)</t>
    <phoneticPr fontId="2" type="noConversion"/>
  </si>
  <si>
    <t>〃</t>
    <phoneticPr fontId="2" type="noConversion"/>
  </si>
  <si>
    <t>(야간)</t>
    <phoneticPr fontId="2" type="noConversion"/>
  </si>
  <si>
    <t>건설기계운전조수</t>
    <phoneticPr fontId="2" type="noConversion"/>
  </si>
  <si>
    <t>※ 야간은 75% 할증 적용</t>
    <phoneticPr fontId="2" type="noConversion"/>
  </si>
  <si>
    <t>인  ×</t>
    <phoneticPr fontId="2" type="noConversion"/>
  </si>
  <si>
    <t>3. 재료비</t>
    <phoneticPr fontId="2" type="noConversion"/>
  </si>
  <si>
    <t>휘 발 유</t>
    <phoneticPr fontId="2" type="noConversion"/>
  </si>
  <si>
    <t>(1ℓ당)</t>
    <phoneticPr fontId="2" type="noConversion"/>
  </si>
  <si>
    <t>경     유</t>
    <phoneticPr fontId="2" type="noConversion"/>
  </si>
  <si>
    <t>등     유</t>
    <phoneticPr fontId="2" type="noConversion"/>
  </si>
  <si>
    <t>4. 계수</t>
    <phoneticPr fontId="2" type="noConversion"/>
  </si>
  <si>
    <t>중기 노임 계수 적용</t>
    <phoneticPr fontId="2" type="noConversion"/>
  </si>
  <si>
    <t xml:space="preserve">일일근무시간 </t>
    <phoneticPr fontId="2" type="noConversion"/>
  </si>
  <si>
    <t>시간(1일작업시간)</t>
    <phoneticPr fontId="2" type="noConversion"/>
  </si>
  <si>
    <t xml:space="preserve">   1시간당 </t>
    <phoneticPr fontId="2" type="noConversion"/>
  </si>
  <si>
    <t>상  여  계  수</t>
    <phoneticPr fontId="2" type="noConversion"/>
  </si>
  <si>
    <t>%(1년간 상여금)</t>
    <phoneticPr fontId="2" type="noConversion"/>
  </si>
  <si>
    <t>휴  지  계  수</t>
    <phoneticPr fontId="2" type="noConversion"/>
  </si>
  <si>
    <t>일(1개월간 작업일)</t>
    <phoneticPr fontId="2" type="noConversion"/>
  </si>
  <si>
    <t>일(1개월간 작업가능일)</t>
    <phoneticPr fontId="2" type="noConversion"/>
  </si>
  <si>
    <t>0.7m³</t>
    <phoneticPr fontId="2" type="noConversion"/>
  </si>
  <si>
    <t>기구손료</t>
    <phoneticPr fontId="2" type="noConversion"/>
  </si>
  <si>
    <t>3.0×6.0</t>
    <phoneticPr fontId="2" type="noConversion"/>
  </si>
  <si>
    <t>16%</t>
    <phoneticPr fontId="2" type="noConversion"/>
  </si>
  <si>
    <t>3.0×9.0</t>
    <phoneticPr fontId="2" type="noConversion"/>
  </si>
  <si>
    <t>25</t>
    <phoneticPr fontId="2" type="noConversion"/>
  </si>
  <si>
    <t>분류코드</t>
    <phoneticPr fontId="2" type="noConversion"/>
  </si>
  <si>
    <t>유압식리퍼</t>
    <phoneticPr fontId="2" type="noConversion"/>
  </si>
  <si>
    <t>배사관</t>
  </si>
  <si>
    <t>8804-0051</t>
  </si>
  <si>
    <t>8804-0061</t>
  </si>
  <si>
    <t>8804-0071</t>
  </si>
  <si>
    <t>금  액</t>
    <phoneticPr fontId="2" type="noConversion"/>
  </si>
  <si>
    <t>몰탈 1:2 m³</t>
    <phoneticPr fontId="2" type="noConversion"/>
  </si>
  <si>
    <t>소     계</t>
    <phoneticPr fontId="2" type="noConversion"/>
  </si>
  <si>
    <t>몰탈 1:3 m³</t>
    <phoneticPr fontId="2" type="noConversion"/>
  </si>
  <si>
    <t>몰탈 1:5 m³</t>
    <phoneticPr fontId="2" type="noConversion"/>
  </si>
  <si>
    <t>40kg(포장품)</t>
    <phoneticPr fontId="2" type="noConversion"/>
  </si>
  <si>
    <t>초속경 시멘트</t>
    <phoneticPr fontId="2" type="noConversion"/>
  </si>
  <si>
    <t>철근-별도</t>
    <phoneticPr fontId="2" type="noConversion"/>
  </si>
  <si>
    <t>노무비의 2%</t>
    <phoneticPr fontId="2" type="noConversion"/>
  </si>
  <si>
    <t>노무비의 60%</t>
    <phoneticPr fontId="2" type="noConversion"/>
  </si>
  <si>
    <t>구조물헐기(무근,30cm미만) 0.4BH+대형브레이커 m³</t>
    <phoneticPr fontId="2" type="noConversion"/>
  </si>
  <si>
    <t>구조물헐기(무근,30cm이상) 0.4BH+대형브레이커 m³</t>
    <phoneticPr fontId="2" type="noConversion"/>
  </si>
  <si>
    <t>0.01본/hr/4.6</t>
    <phoneticPr fontId="2" type="noConversion"/>
  </si>
  <si>
    <t>0.01본/hr/3.6</t>
    <phoneticPr fontId="2" type="noConversion"/>
  </si>
  <si>
    <t>벽돌헐기 인력 m³</t>
    <phoneticPr fontId="2" type="noConversion"/>
  </si>
  <si>
    <t>합판거푸집(소형구조) 3회사용,10m³미만 m²</t>
    <phoneticPr fontId="2" type="noConversion"/>
  </si>
  <si>
    <t>합판거푸집 4회사용 m²</t>
    <phoneticPr fontId="2" type="noConversion"/>
  </si>
  <si>
    <t>재료비의 40.1%</t>
    <phoneticPr fontId="2" type="noConversion"/>
  </si>
  <si>
    <t>노무비의 40.0%</t>
    <phoneticPr fontId="2" type="noConversion"/>
  </si>
  <si>
    <t>합판거푸집(소형구조) 4회사용,10m³미만 m²</t>
    <phoneticPr fontId="2" type="noConversion"/>
  </si>
  <si>
    <t>합판거푸집 5회사용 m²</t>
    <phoneticPr fontId="2" type="noConversion"/>
  </si>
  <si>
    <t>재료비의 37.1%</t>
    <phoneticPr fontId="2" type="noConversion"/>
  </si>
  <si>
    <t>노무비의 34.2%</t>
    <phoneticPr fontId="2" type="noConversion"/>
  </si>
  <si>
    <t>합판거푸집(소형구조) 5회사용,10m³미만 m²</t>
    <phoneticPr fontId="2" type="noConversion"/>
  </si>
  <si>
    <t>합판거푸집 6회사용 m²</t>
    <phoneticPr fontId="2" type="noConversion"/>
  </si>
  <si>
    <t>재료비의 34.7%</t>
    <phoneticPr fontId="2" type="noConversion"/>
  </si>
  <si>
    <t>노무비의 32.0%</t>
    <phoneticPr fontId="2" type="noConversion"/>
  </si>
  <si>
    <t>합판거푸집(소형구조) 6회사용,10m³미만 m²</t>
    <phoneticPr fontId="2" type="noConversion"/>
  </si>
  <si>
    <t>목재거푸집 1회사용 m²</t>
    <phoneticPr fontId="2" type="noConversion"/>
  </si>
  <si>
    <t>판재,각재의 23%</t>
    <phoneticPr fontId="2" type="noConversion"/>
  </si>
  <si>
    <t>목재거푸집(소형구조) 1회사용,10m³미만 m²</t>
    <phoneticPr fontId="2" type="noConversion"/>
  </si>
  <si>
    <t>목재거푸집 2회사용 m²</t>
    <phoneticPr fontId="2" type="noConversion"/>
  </si>
  <si>
    <t>재료비의 57.7%</t>
    <phoneticPr fontId="2" type="noConversion"/>
  </si>
  <si>
    <t>노무비의 63.0%</t>
    <phoneticPr fontId="2" type="noConversion"/>
  </si>
  <si>
    <t>목재거푸집(소형구조) 2회사용,10m³미만 m²</t>
    <phoneticPr fontId="2" type="noConversion"/>
  </si>
  <si>
    <t>목재거푸집 3회사용 m²</t>
    <phoneticPr fontId="2" type="noConversion"/>
  </si>
  <si>
    <t>재료비의 46.6%</t>
    <phoneticPr fontId="2" type="noConversion"/>
  </si>
  <si>
    <t>노무비의 51.6%</t>
    <phoneticPr fontId="2" type="noConversion"/>
  </si>
  <si>
    <t>목재거푸집(소형구조) 3회사용,10m³미만 m²</t>
    <phoneticPr fontId="2" type="noConversion"/>
  </si>
  <si>
    <t>녹막이페인트 m²</t>
    <phoneticPr fontId="2" type="noConversion"/>
  </si>
  <si>
    <t>KSM-6030 2종</t>
    <phoneticPr fontId="2" type="noConversion"/>
  </si>
  <si>
    <t>KSM-6060 2종</t>
    <phoneticPr fontId="2" type="noConversion"/>
  </si>
  <si>
    <t>조합페인트칠 철재면2회칠 m²</t>
    <phoneticPr fontId="2" type="noConversion"/>
  </si>
  <si>
    <t>KSM-6020 2종</t>
    <phoneticPr fontId="2" type="noConversion"/>
  </si>
  <si>
    <t>조합페인트칠 목재면2회칠 m²</t>
    <phoneticPr fontId="2" type="noConversion"/>
  </si>
  <si>
    <t>레미콘타설(인력) 토목,무근구조물 m³</t>
    <phoneticPr fontId="2" type="noConversion"/>
  </si>
  <si>
    <t>레미콘타설(인력) 토목,무근(소형구조물) m³</t>
    <phoneticPr fontId="2" type="noConversion"/>
  </si>
  <si>
    <t>레미콘타설(인력) 토목,철근구조물 m³</t>
    <phoneticPr fontId="2" type="noConversion"/>
  </si>
  <si>
    <t>콘크리트펌프차붐타설 무근50m³미만 m³</t>
    <phoneticPr fontId="2" type="noConversion"/>
  </si>
  <si>
    <t>슬럼프(15cm)</t>
    <phoneticPr fontId="2" type="noConversion"/>
  </si>
  <si>
    <t>엔진식직경45(3.5HP)</t>
    <phoneticPr fontId="2" type="noConversion"/>
  </si>
  <si>
    <t>콘크리트펌프차붐타설 무근50~100m³미만 m³</t>
    <phoneticPr fontId="2" type="noConversion"/>
  </si>
  <si>
    <t>콘크리트펌프차붐타설 무근100~300m³미만 m³</t>
    <phoneticPr fontId="2" type="noConversion"/>
  </si>
  <si>
    <t>콘크리트펌프차붐타설 철근50m³미만 m³</t>
    <phoneticPr fontId="2" type="noConversion"/>
  </si>
  <si>
    <t>콘크리트펌프차붐타설 철근50~100m³미만 m³</t>
    <phoneticPr fontId="2" type="noConversion"/>
  </si>
  <si>
    <t>아스팔트스프레이어</t>
    <phoneticPr fontId="2" type="noConversion"/>
  </si>
  <si>
    <t>400ℓ</t>
    <phoneticPr fontId="2" type="noConversion"/>
  </si>
  <si>
    <t>비트</t>
    <phoneticPr fontId="2" type="noConversion"/>
  </si>
  <si>
    <t>Ø200</t>
    <phoneticPr fontId="2" type="noConversion"/>
  </si>
  <si>
    <t>연결관절단</t>
    <phoneticPr fontId="2" type="noConversion"/>
  </si>
  <si>
    <t>Ø350</t>
    <phoneticPr fontId="2" type="noConversion"/>
  </si>
  <si>
    <t>스틸그레이팅</t>
    <phoneticPr fontId="2" type="noConversion"/>
  </si>
  <si>
    <t>뚜껑및받침</t>
    <phoneticPr fontId="2" type="noConversion"/>
  </si>
  <si>
    <t>콘크리트배치플랜트</t>
  </si>
  <si>
    <t>4108-0090</t>
  </si>
  <si>
    <t>비고</t>
    <phoneticPr fontId="2" type="noConversion"/>
  </si>
  <si>
    <t>Ø648</t>
    <phoneticPr fontId="2" type="noConversion"/>
  </si>
  <si>
    <t>t=4cm</t>
    <phoneticPr fontId="2" type="noConversion"/>
  </si>
  <si>
    <t>5203-2200</t>
  </si>
  <si>
    <t>220-235</t>
  </si>
  <si>
    <t>(공압식)</t>
  </si>
  <si>
    <t>5203-2700</t>
  </si>
  <si>
    <t>270-330</t>
  </si>
  <si>
    <t>5203-3500</t>
  </si>
  <si>
    <t>350-400</t>
  </si>
  <si>
    <t>5203-4500</t>
  </si>
  <si>
    <t>450-510</t>
  </si>
  <si>
    <t>5204-0200</t>
  </si>
  <si>
    <t>200톤</t>
  </si>
  <si>
    <t>유압잭</t>
  </si>
  <si>
    <t>식</t>
    <phoneticPr fontId="2" type="noConversion"/>
  </si>
  <si>
    <t>220PS</t>
  </si>
  <si>
    <t>6540-0131</t>
  </si>
  <si>
    <t>131PS</t>
  </si>
  <si>
    <t>6550-0080</t>
  </si>
  <si>
    <t>80톤</t>
  </si>
  <si>
    <t>유압식압입인발기</t>
  </si>
  <si>
    <t>6550-0130</t>
  </si>
  <si>
    <t>6601-0800</t>
  </si>
  <si>
    <t>800-1200mm</t>
  </si>
  <si>
    <t>6602-0120</t>
  </si>
  <si>
    <t>120톤</t>
  </si>
  <si>
    <t>6630</t>
  </si>
  <si>
    <t>6630-0003</t>
  </si>
  <si>
    <t>유압파일해머</t>
  </si>
  <si>
    <t>6530-0005</t>
  </si>
  <si>
    <t>6530-0007</t>
  </si>
  <si>
    <t>6530-0010</t>
  </si>
  <si>
    <t>6530-0013</t>
  </si>
  <si>
    <t>7101-0450</t>
  </si>
  <si>
    <t>450HP</t>
  </si>
  <si>
    <t>몰탈</t>
  </si>
  <si>
    <t>1:3</t>
  </si>
  <si>
    <t>5114-0001</t>
  </si>
  <si>
    <t>5114-0002</t>
  </si>
  <si>
    <t>5114-0003</t>
  </si>
  <si>
    <t>5114-0004</t>
  </si>
  <si>
    <t>5114-0005</t>
  </si>
  <si>
    <t>5114-0006</t>
  </si>
  <si>
    <t>5114-0007</t>
  </si>
  <si>
    <t>5114-0008</t>
  </si>
  <si>
    <t>5115-0030</t>
  </si>
  <si>
    <t>제도사</t>
    <phoneticPr fontId="2" type="noConversion"/>
  </si>
  <si>
    <t>공구손료</t>
    <phoneticPr fontId="2" type="noConversion"/>
  </si>
  <si>
    <t>m²</t>
    <phoneticPr fontId="2" type="noConversion"/>
  </si>
  <si>
    <t>인력</t>
    <phoneticPr fontId="2" type="noConversion"/>
  </si>
  <si>
    <t>회</t>
    <phoneticPr fontId="2" type="noConversion"/>
  </si>
  <si>
    <t>휘발유</t>
    <phoneticPr fontId="2" type="noConversion"/>
  </si>
  <si>
    <t>조</t>
    <phoneticPr fontId="2" type="noConversion"/>
  </si>
  <si>
    <t>×</t>
    <phoneticPr fontId="2" type="noConversion"/>
  </si>
  <si>
    <t>(1/8) ×</t>
    <phoneticPr fontId="2" type="noConversion"/>
  </si>
  <si>
    <t>(16/12) × (25/20)×</t>
    <phoneticPr fontId="2" type="noConversion"/>
  </si>
  <si>
    <t>원</t>
    <phoneticPr fontId="2" type="noConversion"/>
  </si>
  <si>
    <t>콘크리트믹서</t>
    <phoneticPr fontId="2" type="noConversion"/>
  </si>
  <si>
    <t>폐기물처리(Con'c)</t>
    <phoneticPr fontId="2" type="noConversion"/>
  </si>
  <si>
    <t>폐기물(Con'C) 중집 1km 4.5DT + 인력 m³</t>
    <phoneticPr fontId="2" type="noConversion"/>
  </si>
  <si>
    <t>폐기물(Con'C) 중집 1km 2.5DT + 0.2BH m³</t>
    <phoneticPr fontId="2" type="noConversion"/>
  </si>
  <si>
    <t>폐기물(Con'C) 중집 1km 4.5DT + 0.2BH m³</t>
    <phoneticPr fontId="2" type="noConversion"/>
  </si>
  <si>
    <t>폐기물(Con'C) 중집 1km 4.5DT + 0.4BH m³</t>
    <phoneticPr fontId="2" type="noConversion"/>
  </si>
  <si>
    <t>폐기물운반(Con'c) - 거리 30km적용</t>
    <phoneticPr fontId="2" type="noConversion"/>
  </si>
  <si>
    <t>콘테이너형가설사무실  3.0×9.0  6개월  동</t>
    <phoneticPr fontId="2" type="noConversion"/>
  </si>
  <si>
    <t>콘테이너형가설사무실  3.0×3.0  12개월  동</t>
    <phoneticPr fontId="2" type="noConversion"/>
  </si>
  <si>
    <t>콘테이너형가설사무실  3.0×6.0  12개월  동</t>
    <phoneticPr fontId="2" type="noConversion"/>
  </si>
  <si>
    <t>콘테이너형가설사무실  3.0×9.0  12개월  동</t>
    <phoneticPr fontId="2" type="noConversion"/>
  </si>
  <si>
    <t>콘테이너형가설창고  3.0×3.0  3개월  동</t>
    <phoneticPr fontId="2" type="noConversion"/>
  </si>
  <si>
    <t>콘테이너(창고용)</t>
    <phoneticPr fontId="2" type="noConversion"/>
  </si>
  <si>
    <t>콘테이너형가설창고  3.0×6.0  3개월  동</t>
    <phoneticPr fontId="2" type="noConversion"/>
  </si>
  <si>
    <t>콘테이너형가설창고  3.0×3.0  6개월  동</t>
    <phoneticPr fontId="2" type="noConversion"/>
  </si>
  <si>
    <t>콘테이너형가설창고  3.0×6.0  6개월  동</t>
    <phoneticPr fontId="2" type="noConversion"/>
  </si>
  <si>
    <t>콘테이너형가설창고  3.0×9.0  6개월  동</t>
    <phoneticPr fontId="2" type="noConversion"/>
  </si>
  <si>
    <t>콘테이너형가설창고  3.0×3.0  12개월  동</t>
    <phoneticPr fontId="2" type="noConversion"/>
  </si>
  <si>
    <t>콘테이너형가설창고  3.0×6.0  12개월  동</t>
    <phoneticPr fontId="2" type="noConversion"/>
  </si>
  <si>
    <t>콘테이너형가설창고  3.0×9.0  12개월  동</t>
    <phoneticPr fontId="2" type="noConversion"/>
  </si>
  <si>
    <t>P.E안전휀스  1,510cm×910cm  개</t>
    <phoneticPr fontId="2" type="noConversion"/>
  </si>
  <si>
    <t>P.E안전휀스</t>
    <phoneticPr fontId="2" type="noConversion"/>
  </si>
  <si>
    <t>P.E안전휀스  3개월  1,510cm×910cm  개</t>
    <phoneticPr fontId="2" type="noConversion"/>
  </si>
  <si>
    <t>3개월</t>
    <phoneticPr fontId="2" type="noConversion"/>
  </si>
  <si>
    <t>손료 6%</t>
    <phoneticPr fontId="2" type="noConversion"/>
  </si>
  <si>
    <t>설치 및 관리</t>
    <phoneticPr fontId="2" type="noConversion"/>
  </si>
  <si>
    <t>P.E안전휀스  6개월  1,510cm×910cm  개</t>
    <phoneticPr fontId="2" type="noConversion"/>
  </si>
  <si>
    <t>6개월</t>
    <phoneticPr fontId="2" type="noConversion"/>
  </si>
  <si>
    <t>손료 13%</t>
    <phoneticPr fontId="2" type="noConversion"/>
  </si>
  <si>
    <t>P.E안전휀스  12개월  1,510cm×910cm  개</t>
    <phoneticPr fontId="2" type="noConversion"/>
  </si>
  <si>
    <t>12개월</t>
    <phoneticPr fontId="2" type="noConversion"/>
  </si>
  <si>
    <t>손료 25%</t>
    <phoneticPr fontId="2" type="noConversion"/>
  </si>
  <si>
    <t>불도저  19톤  무한궤도    시간</t>
    <phoneticPr fontId="2" type="noConversion"/>
  </si>
  <si>
    <t>불도저:무한궤도</t>
    <phoneticPr fontId="2" type="noConversion"/>
  </si>
  <si>
    <t>19톤</t>
    <phoneticPr fontId="2" type="noConversion"/>
  </si>
  <si>
    <t>불도저  32톤  무한궤도    시간</t>
    <phoneticPr fontId="2" type="noConversion"/>
  </si>
  <si>
    <t>32톤</t>
    <phoneticPr fontId="2" type="noConversion"/>
  </si>
  <si>
    <t>유압식 리퍼  19톤  무한궤도    시간</t>
    <phoneticPr fontId="2" type="noConversion"/>
  </si>
  <si>
    <t>유압식 리퍼  32톤  무한궤도    시간</t>
    <phoneticPr fontId="2" type="noConversion"/>
  </si>
  <si>
    <t>굴삭기(무한궤도)  0.2㎥    시간</t>
    <phoneticPr fontId="2" type="noConversion"/>
  </si>
  <si>
    <t>0.2㎥</t>
    <phoneticPr fontId="2" type="noConversion"/>
  </si>
  <si>
    <t>굴삭기(무한궤도)  0.4㎥    시간</t>
    <phoneticPr fontId="2" type="noConversion"/>
  </si>
  <si>
    <t>0.4㎥</t>
    <phoneticPr fontId="2" type="noConversion"/>
  </si>
  <si>
    <t>굴삭기(무한궤도)  0.7㎥    시간</t>
    <phoneticPr fontId="2" type="noConversion"/>
  </si>
  <si>
    <t>굴삭기(무한궤도)  1.0㎥    시간</t>
    <phoneticPr fontId="2" type="noConversion"/>
  </si>
  <si>
    <t>습지굴삭기(무한궤도)  0.4㎥    시간</t>
    <phoneticPr fontId="2" type="noConversion"/>
  </si>
  <si>
    <t>습지굴삭기(무한궤도)  0.7㎥    시간</t>
    <phoneticPr fontId="2" type="noConversion"/>
  </si>
  <si>
    <t>#57(25mm)</t>
  </si>
  <si>
    <t>톤</t>
  </si>
  <si>
    <t>300*300*350</t>
  </si>
  <si>
    <t>개</t>
  </si>
  <si>
    <t>콘크리트진동기</t>
    <phoneticPr fontId="2" type="noConversion"/>
  </si>
  <si>
    <t>320mm~400mm</t>
    <phoneticPr fontId="2" type="noConversion"/>
  </si>
  <si>
    <t>착암공</t>
    <phoneticPr fontId="2" type="noConversion"/>
  </si>
  <si>
    <t>페이브먼트브레이커</t>
    <phoneticPr fontId="2" type="noConversion"/>
  </si>
  <si>
    <t>동상방지층  인력식 소규모 장비사용 30cm   a</t>
    <phoneticPr fontId="2" type="noConversion"/>
  </si>
  <si>
    <t>자갈(도착도)</t>
    <phoneticPr fontId="2" type="noConversion"/>
  </si>
  <si>
    <t>0.7㎥</t>
    <phoneticPr fontId="2" type="noConversion"/>
  </si>
  <si>
    <t>진동로울러(핸드가이드식)</t>
    <phoneticPr fontId="2" type="noConversion"/>
  </si>
  <si>
    <t>동상방지층  기계시공-길어깨포장 30cm   a</t>
    <phoneticPr fontId="2" type="noConversion"/>
  </si>
  <si>
    <t>1.0㎥</t>
    <phoneticPr fontId="2" type="noConversion"/>
  </si>
  <si>
    <t>16톤</t>
    <phoneticPr fontId="2" type="noConversion"/>
  </si>
  <si>
    <t>동상방지층  기계시공-본선포장 30cm   a</t>
    <phoneticPr fontId="2" type="noConversion"/>
  </si>
  <si>
    <t>보조기층  인력식 소규모 장비사용 30cm   a</t>
    <phoneticPr fontId="2" type="noConversion"/>
  </si>
  <si>
    <t>보조기층(도착도)</t>
    <phoneticPr fontId="2" type="noConversion"/>
  </si>
  <si>
    <t>75mm이하</t>
    <phoneticPr fontId="2" type="noConversion"/>
  </si>
  <si>
    <t>보조기층  기계시공-길어깨포장 30cm   a</t>
    <phoneticPr fontId="2" type="noConversion"/>
  </si>
  <si>
    <t>보조기층  기계시공-본선포장 30cm   a</t>
    <phoneticPr fontId="2" type="noConversion"/>
  </si>
  <si>
    <t>입도조정기층  인력식 소규모 장비사용 20cm   a</t>
    <phoneticPr fontId="2" type="noConversion"/>
  </si>
  <si>
    <t>혼합골재(도착도)</t>
    <phoneticPr fontId="2" type="noConversion"/>
  </si>
  <si>
    <t>40mm이하</t>
    <phoneticPr fontId="2" type="noConversion"/>
  </si>
  <si>
    <t>입도조정기층  기계시공-길어깨포장 20cm   a</t>
    <phoneticPr fontId="2" type="noConversion"/>
  </si>
  <si>
    <t>입도조정기층  기계시공-본선포장 20cm   a</t>
    <phoneticPr fontId="2" type="noConversion"/>
  </si>
  <si>
    <t>아스팔트기층  인력식 소규모 장비사용 7.5cm   a</t>
    <phoneticPr fontId="2" type="noConversion"/>
  </si>
  <si>
    <t>아스팔트콘크리트(별도)</t>
    <phoneticPr fontId="2" type="noConversion"/>
  </si>
  <si>
    <t>로우더(타이어)</t>
    <phoneticPr fontId="2" type="noConversion"/>
  </si>
  <si>
    <t>0.57㎥</t>
    <phoneticPr fontId="2" type="noConversion"/>
  </si>
  <si>
    <t>보차도경계측구설치   인력  B=45cm   m</t>
    <phoneticPr fontId="2" type="noConversion"/>
  </si>
  <si>
    <t>3종 콘크리트</t>
    <phoneticPr fontId="2" type="noConversion"/>
  </si>
  <si>
    <t>4회</t>
    <phoneticPr fontId="2" type="noConversion"/>
  </si>
  <si>
    <t>보차도경계측구설치   인력  B=50cm   m</t>
    <phoneticPr fontId="2" type="noConversion"/>
  </si>
  <si>
    <t>보차도경계측구설치  레미콘  B=45cm   m</t>
    <phoneticPr fontId="2" type="noConversion"/>
  </si>
  <si>
    <t>레미콘-별도</t>
    <phoneticPr fontId="2" type="noConversion"/>
  </si>
  <si>
    <t>보차도경계측구설치   레미콘  B=50cm   m</t>
    <phoneticPr fontId="2" type="noConversion"/>
  </si>
  <si>
    <t>고압블록-별도</t>
    <phoneticPr fontId="2" type="noConversion"/>
  </si>
  <si>
    <t>프라임코팅  RSC-3:75ℓ/a    a</t>
    <phoneticPr fontId="2" type="noConversion"/>
  </si>
  <si>
    <t>프라임코팅(RSC-3)</t>
    <phoneticPr fontId="2" type="noConversion"/>
  </si>
  <si>
    <t>수동식 400ℓ</t>
    <phoneticPr fontId="2" type="noConversion"/>
  </si>
  <si>
    <t>텍코팅  RSC-4:30ℓ/a    a</t>
    <phoneticPr fontId="2" type="noConversion"/>
  </si>
  <si>
    <t>텍코팅(RSC-4)</t>
    <phoneticPr fontId="2" type="noConversion"/>
  </si>
  <si>
    <t>아스팔트표층  인력식 소규모 장비사용 5cm   a</t>
    <phoneticPr fontId="2" type="noConversion"/>
  </si>
  <si>
    <t>아스팔트표층(기계)  1.4m≤시공폭≤3m 5cm   a</t>
    <phoneticPr fontId="2" type="noConversion"/>
  </si>
  <si>
    <t>아스팔트표층(기계)  3m≤시공폭  5cm   a</t>
    <phoneticPr fontId="2" type="noConversion"/>
  </si>
  <si>
    <t>아스팔트덧씌우기  1.4m≤시공폭≤3m 5cm   a</t>
    <phoneticPr fontId="2" type="noConversion"/>
  </si>
  <si>
    <t>아스팔트덧씌우기  3m≤시공폭  5cm   a</t>
    <phoneticPr fontId="2" type="noConversion"/>
  </si>
  <si>
    <t>절삭후 아스팔트 덧씌우기(불연속구간) a</t>
    <phoneticPr fontId="2" type="noConversion"/>
  </si>
  <si>
    <t>소규모 포장복구(소파보수) a</t>
    <phoneticPr fontId="2" type="noConversion"/>
  </si>
  <si>
    <t>포설 및 다짐</t>
    <phoneticPr fontId="2" type="noConversion"/>
  </si>
  <si>
    <t>소규모 도로긴급복구 a</t>
    <phoneticPr fontId="2" type="noConversion"/>
  </si>
  <si>
    <t>굴삭기(대형브레이커부착)</t>
    <phoneticPr fontId="2" type="noConversion"/>
  </si>
  <si>
    <t>표층청소비                       a</t>
    <phoneticPr fontId="2" type="noConversion"/>
  </si>
  <si>
    <t>과속방지턱설치  3.6×0.08×1m    m</t>
    <phoneticPr fontId="2" type="noConversion"/>
  </si>
  <si>
    <t>과속방지턱 도색</t>
    <phoneticPr fontId="2" type="noConversion"/>
  </si>
  <si>
    <t>백색,황색1종</t>
    <phoneticPr fontId="2" type="noConversion"/>
  </si>
  <si>
    <t>인력(DT2.5TON)</t>
    <phoneticPr fontId="2" type="noConversion"/>
  </si>
  <si>
    <t>공사안내현수막설치  6.0m×0.9m   개</t>
    <phoneticPr fontId="2" type="noConversion"/>
  </si>
  <si>
    <t>공사안내(현수막)</t>
    <phoneticPr fontId="2" type="noConversion"/>
  </si>
  <si>
    <t>공사안내간판설치  1.8m×0.9m   개</t>
    <phoneticPr fontId="2" type="noConversion"/>
  </si>
  <si>
    <t>방진망 설치 기존비계사용   ㎡</t>
    <phoneticPr fontId="2" type="noConversion"/>
  </si>
  <si>
    <t>소계(제외금액)</t>
    <phoneticPr fontId="2" type="noConversion"/>
  </si>
  <si>
    <t>콘테이너형가설사무실  3.0×3.0  3개월  동</t>
    <phoneticPr fontId="2" type="noConversion"/>
  </si>
  <si>
    <t>콘테이너(사무실용)</t>
    <phoneticPr fontId="2" type="noConversion"/>
  </si>
  <si>
    <t>10톤 트럭</t>
    <phoneticPr fontId="2" type="noConversion"/>
  </si>
  <si>
    <t>콘테이너형가설사무실  3.0×6.0  3개월  동</t>
    <phoneticPr fontId="2" type="noConversion"/>
  </si>
  <si>
    <t>콘테이너형가설사무실  3.0×3.0  6개월  동</t>
    <phoneticPr fontId="2" type="noConversion"/>
  </si>
  <si>
    <t>콘테이너형가설사무실  3.0×6.0  6개월  동</t>
    <phoneticPr fontId="2" type="noConversion"/>
  </si>
  <si>
    <t xml:space="preserve">   □ 시험용수비 물탱크 5,500ℓ  ㎥</t>
    <phoneticPr fontId="2" type="noConversion"/>
  </si>
  <si>
    <t xml:space="preserve">  1. 진동롤러(4.4톤) - (4회)</t>
    <phoneticPr fontId="2" type="noConversion"/>
  </si>
  <si>
    <t>km/hr</t>
    <phoneticPr fontId="2" type="noConversion"/>
  </si>
  <si>
    <t>km</t>
    <phoneticPr fontId="2" type="noConversion"/>
  </si>
  <si>
    <t>t2  =</t>
    <phoneticPr fontId="2" type="noConversion"/>
  </si>
  <si>
    <t>L / V*60*2</t>
    <phoneticPr fontId="2" type="noConversion"/>
  </si>
  <si>
    <t>(흡입준비시간)</t>
    <phoneticPr fontId="2" type="noConversion"/>
  </si>
  <si>
    <t>(운반시간)</t>
    <phoneticPr fontId="2" type="noConversion"/>
  </si>
  <si>
    <t>중기명</t>
    <phoneticPr fontId="2" type="noConversion"/>
  </si>
  <si>
    <t>0.2m³</t>
    <phoneticPr fontId="2" type="noConversion"/>
  </si>
  <si>
    <t>Q산출공식</t>
    <phoneticPr fontId="2" type="noConversion"/>
  </si>
  <si>
    <t>Q = 3600 * q * k * f * E / Cm</t>
    <phoneticPr fontId="2" type="noConversion"/>
  </si>
  <si>
    <t>Q산출입력변수</t>
    <phoneticPr fontId="2" type="noConversion"/>
  </si>
  <si>
    <t>q</t>
    <phoneticPr fontId="2" type="noConversion"/>
  </si>
  <si>
    <t>버킷용량(m³)</t>
    <phoneticPr fontId="2" type="noConversion"/>
  </si>
  <si>
    <t>k</t>
    <phoneticPr fontId="2" type="noConversion"/>
  </si>
  <si>
    <t>f</t>
    <phoneticPr fontId="2" type="noConversion"/>
  </si>
  <si>
    <t>E</t>
    <phoneticPr fontId="2" type="noConversion"/>
  </si>
  <si>
    <t>Q산출과정</t>
    <phoneticPr fontId="2" type="noConversion"/>
  </si>
  <si>
    <t>Q</t>
    <phoneticPr fontId="2" type="noConversion"/>
  </si>
  <si>
    <t>/</t>
    <phoneticPr fontId="2" type="noConversion"/>
  </si>
  <si>
    <t>→</t>
    <phoneticPr fontId="2" type="noConversion"/>
  </si>
  <si>
    <t>단가산출</t>
    <phoneticPr fontId="2" type="noConversion"/>
  </si>
  <si>
    <t>노무비</t>
    <phoneticPr fontId="2" type="noConversion"/>
  </si>
  <si>
    <t>재료비</t>
    <phoneticPr fontId="2" type="noConversion"/>
  </si>
  <si>
    <t>［</t>
    <phoneticPr fontId="2" type="noConversion"/>
  </si>
  <si>
    <t>총계</t>
    <phoneticPr fontId="2" type="noConversion"/>
  </si>
  <si>
    <t>］</t>
    <phoneticPr fontId="2" type="noConversion"/>
  </si>
  <si>
    <t>타이어롤러(자주식)</t>
    <phoneticPr fontId="2" type="noConversion"/>
  </si>
  <si>
    <t>1406-0015</t>
    <phoneticPr fontId="2" type="noConversion"/>
  </si>
  <si>
    <t>1630-0080</t>
    <phoneticPr fontId="2" type="noConversion"/>
  </si>
  <si>
    <t>휘발유(무연보통)</t>
    <phoneticPr fontId="2" type="noConversion"/>
  </si>
  <si>
    <t>10 톤</t>
    <phoneticPr fontId="2" type="noConversion"/>
  </si>
  <si>
    <t>2101-0010</t>
    <phoneticPr fontId="2" type="noConversion"/>
  </si>
  <si>
    <t>20 톤</t>
    <phoneticPr fontId="2" type="noConversion"/>
  </si>
  <si>
    <t>2101-0020</t>
    <phoneticPr fontId="2" type="noConversion"/>
  </si>
  <si>
    <t>30 톤</t>
    <phoneticPr fontId="2" type="noConversion"/>
  </si>
  <si>
    <t>2101-0030</t>
    <phoneticPr fontId="2" type="noConversion"/>
  </si>
  <si>
    <t>50 톤</t>
    <phoneticPr fontId="2" type="noConversion"/>
  </si>
  <si>
    <t>2101-0050</t>
    <phoneticPr fontId="2" type="noConversion"/>
  </si>
  <si>
    <t>70 톤</t>
    <phoneticPr fontId="2" type="noConversion"/>
  </si>
  <si>
    <t>2101-0070</t>
    <phoneticPr fontId="2" type="noConversion"/>
  </si>
  <si>
    <t>80 톤</t>
    <phoneticPr fontId="2" type="noConversion"/>
  </si>
  <si>
    <t>2101-0080</t>
    <phoneticPr fontId="2" type="noConversion"/>
  </si>
  <si>
    <t>2104-0010</t>
    <phoneticPr fontId="2" type="noConversion"/>
  </si>
  <si>
    <t>2104-0020</t>
    <phoneticPr fontId="2" type="noConversion"/>
  </si>
  <si>
    <t>2104-0030</t>
    <phoneticPr fontId="2" type="noConversion"/>
  </si>
  <si>
    <t>2104-0050</t>
    <phoneticPr fontId="2" type="noConversion"/>
  </si>
  <si>
    <t>60 톤</t>
    <phoneticPr fontId="2" type="noConversion"/>
  </si>
  <si>
    <t>2104-0060</t>
    <phoneticPr fontId="2" type="noConversion"/>
  </si>
  <si>
    <t>2104-0080</t>
    <phoneticPr fontId="2" type="noConversion"/>
  </si>
  <si>
    <t>트럭탑재형크레인</t>
    <phoneticPr fontId="2" type="noConversion"/>
  </si>
  <si>
    <t>5 톤</t>
    <phoneticPr fontId="2" type="noConversion"/>
  </si>
  <si>
    <t>경유(저유황0.4%)</t>
    <phoneticPr fontId="2" type="noConversion"/>
  </si>
  <si>
    <t>잔토운반(토사)      인력상차  +</t>
    <phoneticPr fontId="2" type="noConversion"/>
  </si>
  <si>
    <t>잔토운반(현장→중간집하장)</t>
    <phoneticPr fontId="2" type="noConversion"/>
  </si>
  <si>
    <t>잔토운반(기계,토사)</t>
    <phoneticPr fontId="2" type="noConversion"/>
  </si>
  <si>
    <t>래머</t>
    <phoneticPr fontId="2" type="noConversion"/>
  </si>
  <si>
    <t>80kg</t>
    <phoneticPr fontId="2" type="noConversion"/>
  </si>
  <si>
    <t>(램머(m³/hr))</t>
    <phoneticPr fontId="2" type="noConversion"/>
  </si>
  <si>
    <t>A</t>
    <phoneticPr fontId="2" type="noConversion"/>
  </si>
  <si>
    <t>N</t>
    <phoneticPr fontId="2" type="noConversion"/>
  </si>
  <si>
    <t>H</t>
    <phoneticPr fontId="2" type="noConversion"/>
  </si>
  <si>
    <t>p</t>
    <phoneticPr fontId="2" type="noConversion"/>
  </si>
  <si>
    <t>토량환산계수</t>
    <phoneticPr fontId="2" type="noConversion"/>
  </si>
  <si>
    <t>되메우기및다짐(토사) B.H 0.4m³ m³</t>
    <phoneticPr fontId="2" type="noConversion"/>
  </si>
  <si>
    <t>되메우기및다짐(토사)   인력   m³</t>
    <phoneticPr fontId="2" type="noConversion"/>
  </si>
  <si>
    <t>되메우기 및 다짐</t>
    <phoneticPr fontId="2" type="noConversion"/>
  </si>
  <si>
    <t>원/왕복(대)</t>
    <phoneticPr fontId="2" type="noConversion"/>
  </si>
  <si>
    <t>개</t>
    <phoneticPr fontId="2" type="noConversion"/>
  </si>
  <si>
    <t>보통인부</t>
    <phoneticPr fontId="2" type="noConversion"/>
  </si>
  <si>
    <t>인</t>
    <phoneticPr fontId="2" type="noConversion"/>
  </si>
  <si>
    <t>소계</t>
    <phoneticPr fontId="2" type="noConversion"/>
  </si>
  <si>
    <t>특별인부</t>
    <phoneticPr fontId="2" type="noConversion"/>
  </si>
  <si>
    <t>잡재료비</t>
    <phoneticPr fontId="2" type="noConversion"/>
  </si>
  <si>
    <t>할석공</t>
    <phoneticPr fontId="2" type="noConversion"/>
  </si>
  <si>
    <t>m³</t>
    <phoneticPr fontId="2" type="noConversion"/>
  </si>
  <si>
    <t>대형브레이커손료</t>
    <phoneticPr fontId="2" type="noConversion"/>
  </si>
  <si>
    <t>치즐</t>
    <phoneticPr fontId="2" type="noConversion"/>
  </si>
  <si>
    <t>5204-0300</t>
  </si>
  <si>
    <t>300톤</t>
  </si>
  <si>
    <t>5204-0400</t>
  </si>
  <si>
    <t>400톤</t>
  </si>
  <si>
    <t>5204-0500</t>
  </si>
  <si>
    <t>500톤</t>
  </si>
  <si>
    <t>5204-0600</t>
  </si>
  <si>
    <t>600톤</t>
  </si>
  <si>
    <t>5205-0035</t>
  </si>
  <si>
    <t>3.5㎥/min(125cfm)</t>
  </si>
  <si>
    <t>공기압축기</t>
  </si>
  <si>
    <t>5205-0071</t>
  </si>
  <si>
    <t>(이동식)</t>
  </si>
  <si>
    <t>5205-0103</t>
  </si>
  <si>
    <t>6408-0020</t>
  </si>
  <si>
    <t>6408-0030</t>
  </si>
  <si>
    <t>6408-0040</t>
  </si>
  <si>
    <t>6408-0050</t>
  </si>
  <si>
    <t>6408-0085</t>
  </si>
  <si>
    <t>m</t>
    <phoneticPr fontId="2" type="noConversion"/>
  </si>
  <si>
    <t>포장공</t>
    <phoneticPr fontId="2" type="noConversion"/>
  </si>
  <si>
    <t>기계기구손료</t>
    <phoneticPr fontId="2" type="noConversion"/>
  </si>
  <si>
    <t>톤</t>
    <phoneticPr fontId="2" type="noConversion"/>
  </si>
  <si>
    <t>아스팔트포장깨기</t>
    <phoneticPr fontId="2" type="noConversion"/>
  </si>
  <si>
    <t>트레일러</t>
    <phoneticPr fontId="2" type="noConversion"/>
  </si>
  <si>
    <t>20톤</t>
    <phoneticPr fontId="2" type="noConversion"/>
  </si>
  <si>
    <t>25%</t>
    <phoneticPr fontId="2" type="noConversion"/>
  </si>
  <si>
    <t>운반비</t>
    <phoneticPr fontId="2" type="noConversion"/>
  </si>
  <si>
    <t>각재</t>
    <phoneticPr fontId="2" type="noConversion"/>
  </si>
  <si>
    <t>외송</t>
    <phoneticPr fontId="2" type="noConversion"/>
  </si>
  <si>
    <t>철선</t>
    <phoneticPr fontId="2" type="noConversion"/>
  </si>
  <si>
    <t>#8</t>
    <phoneticPr fontId="2" type="noConversion"/>
  </si>
  <si>
    <t>못</t>
    <phoneticPr fontId="2" type="noConversion"/>
  </si>
  <si>
    <t>박리제</t>
    <phoneticPr fontId="2" type="noConversion"/>
  </si>
  <si>
    <t>형틀목공</t>
    <phoneticPr fontId="2" type="noConversion"/>
  </si>
  <si>
    <t>고재처리</t>
    <phoneticPr fontId="2" type="noConversion"/>
  </si>
  <si>
    <t>작업효율</t>
    <phoneticPr fontId="2" type="noConversion"/>
  </si>
  <si>
    <t>대형브레이커</t>
  </si>
  <si>
    <t xml:space="preserve"> 1$=</t>
  </si>
  <si>
    <t>분류번호</t>
  </si>
  <si>
    <t>규 격</t>
  </si>
  <si>
    <t>가  격</t>
  </si>
  <si>
    <t>주연료      
(ℓ/hr)</t>
  </si>
  <si>
    <t>잡 재 료       
주연료대비%</t>
  </si>
  <si>
    <t>조종원
(인/일)</t>
  </si>
  <si>
    <t>$</t>
  </si>
  <si>
    <t>환산가        
(천원)</t>
  </si>
  <si>
    <t>0101</t>
  </si>
  <si>
    <t>0101-0007</t>
  </si>
  <si>
    <t>7톤</t>
  </si>
  <si>
    <t xml:space="preserve"> </t>
  </si>
  <si>
    <t>불도우저</t>
  </si>
  <si>
    <t>0101-0010</t>
  </si>
  <si>
    <t>(무한궤도)</t>
  </si>
  <si>
    <t>0101-0012</t>
  </si>
  <si>
    <t>0101-0019</t>
  </si>
  <si>
    <t>0101-0032</t>
  </si>
  <si>
    <t>0102</t>
  </si>
  <si>
    <t>0102-0015</t>
  </si>
  <si>
    <t>15톤</t>
  </si>
  <si>
    <t>0102-0028</t>
  </si>
  <si>
    <t>(타이어)</t>
  </si>
  <si>
    <t>0102-0033</t>
  </si>
  <si>
    <t>0103</t>
  </si>
  <si>
    <t>0103-0016</t>
  </si>
  <si>
    <t>16톤</t>
  </si>
  <si>
    <t>유압식리퍼</t>
  </si>
  <si>
    <t>0103-0019</t>
  </si>
  <si>
    <t>0103-0023</t>
  </si>
  <si>
    <t>0103-0027</t>
  </si>
  <si>
    <t>0103-0032</t>
  </si>
  <si>
    <t>0121</t>
  </si>
  <si>
    <t>0121-0004</t>
  </si>
  <si>
    <t>4톤</t>
  </si>
  <si>
    <t>습지불도우저</t>
  </si>
  <si>
    <t>0121-0013</t>
  </si>
  <si>
    <t>0201</t>
  </si>
  <si>
    <t>공기압축기(이동식)  3.5㎥/min    시간</t>
    <phoneticPr fontId="2" type="noConversion"/>
  </si>
  <si>
    <t>3.5㎥/min</t>
    <phoneticPr fontId="2" type="noConversion"/>
  </si>
  <si>
    <t>공기압축기(이동식)  10.3㎥/min    시간</t>
    <phoneticPr fontId="2" type="noConversion"/>
  </si>
  <si>
    <t>10.3㎥/min</t>
    <phoneticPr fontId="2" type="noConversion"/>
  </si>
  <si>
    <t>공기압축기(이동식)  17㎥/min    시간</t>
    <phoneticPr fontId="2" type="noConversion"/>
  </si>
  <si>
    <t>17㎥/min</t>
    <phoneticPr fontId="2" type="noConversion"/>
  </si>
  <si>
    <t>페이브먼트 브레이커  25kg    시간</t>
    <phoneticPr fontId="2" type="noConversion"/>
  </si>
  <si>
    <t>크롤러드릴  17㎥/min    시간</t>
    <phoneticPr fontId="2" type="noConversion"/>
  </si>
  <si>
    <t>착암기  2.7㎥/min    시간</t>
    <phoneticPr fontId="2" type="noConversion"/>
  </si>
  <si>
    <t>2.7㎥/min</t>
    <phoneticPr fontId="2" type="noConversion"/>
  </si>
  <si>
    <t>에어호스  (1.84cm)×3B×50m    시간</t>
    <phoneticPr fontId="2" type="noConversion"/>
  </si>
  <si>
    <t>노면파쇄기  2.0m, T=5cm    시간</t>
    <phoneticPr fontId="2" type="noConversion"/>
  </si>
  <si>
    <t>디젤파일해머  1.5톤    시간</t>
    <phoneticPr fontId="2" type="noConversion"/>
  </si>
  <si>
    <t>디젤파일해머  2.2톤    시간</t>
    <phoneticPr fontId="2" type="noConversion"/>
  </si>
  <si>
    <t>2.2톤</t>
    <phoneticPr fontId="2" type="noConversion"/>
  </si>
  <si>
    <t>진동파일해머  30kw    시간</t>
    <phoneticPr fontId="2" type="noConversion"/>
  </si>
  <si>
    <t>진동파일해머  60kw    시간</t>
    <phoneticPr fontId="2" type="noConversion"/>
  </si>
  <si>
    <t>물탱크(살수차)  5,500ℓ    시간</t>
    <phoneticPr fontId="2" type="noConversion"/>
  </si>
  <si>
    <t>물탱크(살수차)</t>
    <phoneticPr fontId="2" type="noConversion"/>
  </si>
  <si>
    <t>물탱크(살수차)  1.6톤    시간</t>
    <phoneticPr fontId="2" type="noConversion"/>
  </si>
  <si>
    <t>라인마커  10km/hr    시간</t>
    <phoneticPr fontId="2" type="noConversion"/>
  </si>
  <si>
    <t>건설용펌프(자흡식) 100mm 5HP  시간</t>
    <phoneticPr fontId="2" type="noConversion"/>
  </si>
  <si>
    <t xml:space="preserve">   □ 노반정리공</t>
    <phoneticPr fontId="2" type="noConversion"/>
  </si>
  <si>
    <t>T=20cm</t>
    <phoneticPr fontId="2" type="noConversion"/>
  </si>
  <si>
    <t xml:space="preserve">   □  아스팔트 표층 포설다짐</t>
    <phoneticPr fontId="2" type="noConversion"/>
  </si>
  <si>
    <t>(#78, t=5cm)</t>
    <phoneticPr fontId="2" type="noConversion"/>
  </si>
  <si>
    <t>현장 → 중간 집하장</t>
    <phoneticPr fontId="2" type="noConversion"/>
  </si>
  <si>
    <t>현장 → 중간집하장</t>
    <phoneticPr fontId="2" type="noConversion"/>
  </si>
  <si>
    <t>현장 → 중간 집하장(L=2km)</t>
    <phoneticPr fontId="2" type="noConversion"/>
  </si>
  <si>
    <t>(상차비 포함)</t>
    <phoneticPr fontId="2" type="noConversion"/>
  </si>
  <si>
    <t>2104-0035</t>
  </si>
  <si>
    <t>2104-0040</t>
  </si>
  <si>
    <t>2104-0045</t>
  </si>
  <si>
    <t>2104-0050</t>
  </si>
  <si>
    <t>2104-0060</t>
  </si>
  <si>
    <t>2104-0070</t>
  </si>
  <si>
    <t>2104-0080</t>
  </si>
  <si>
    <t>2104-0100</t>
  </si>
  <si>
    <t>2105-0002</t>
  </si>
  <si>
    <t>트럭탑재형크레인</t>
  </si>
  <si>
    <t>인,   창고내 인부</t>
    <phoneticPr fontId="2" type="noConversion"/>
  </si>
  <si>
    <t>□ 아스팔트 : L=10km이내, 10ton(구역화물 운임 적용)</t>
    <phoneticPr fontId="2" type="noConversion"/>
  </si>
  <si>
    <t>산출근거(ℓ 당)</t>
    <phoneticPr fontId="2" type="noConversion"/>
  </si>
  <si>
    <t>ㆍ 운반속도 : V =</t>
    <phoneticPr fontId="2" type="noConversion"/>
  </si>
  <si>
    <t>m/hr =</t>
    <phoneticPr fontId="2" type="noConversion"/>
  </si>
  <si>
    <t>m/min</t>
    <phoneticPr fontId="2" type="noConversion"/>
  </si>
  <si>
    <t>÷35÷200</t>
    <phoneticPr fontId="2" type="noConversion"/>
  </si>
  <si>
    <t>ㆍ 운반인부 :  운반인부의 간격은 5~10m 이므로 7m 로 계산</t>
    <phoneticPr fontId="2" type="noConversion"/>
  </si>
  <si>
    <t>(80/450 × 9인 ×</t>
    <phoneticPr fontId="2" type="noConversion"/>
  </si>
  <si>
    <t>)  ÷ 35 ÷ 200 =</t>
    <phoneticPr fontId="2" type="noConversion"/>
  </si>
  <si>
    <t>※ 적재량 산출</t>
    <phoneticPr fontId="2" type="noConversion"/>
  </si>
  <si>
    <t xml:space="preserve">×    ( </t>
    <phoneticPr fontId="2" type="noConversion"/>
  </si>
  <si>
    <t>L=310mm</t>
  </si>
  <si>
    <t>수동식</t>
    <phoneticPr fontId="2" type="noConversion"/>
  </si>
  <si>
    <t>30톤</t>
    <phoneticPr fontId="2" type="noConversion"/>
  </si>
  <si>
    <t>4108-0210</t>
  </si>
  <si>
    <t>4115-0100</t>
  </si>
  <si>
    <t>사일로</t>
  </si>
  <si>
    <t>4115-0150</t>
  </si>
  <si>
    <t>4115-0200</t>
  </si>
  <si>
    <t>4115-0300</t>
  </si>
  <si>
    <t>4205-0010</t>
  </si>
  <si>
    <t>휘발유1.3</t>
  </si>
  <si>
    <t>4205-0017</t>
  </si>
  <si>
    <t xml:space="preserve">  〃  1.3</t>
  </si>
  <si>
    <t>4205-0020</t>
  </si>
  <si>
    <t>4205-0030</t>
  </si>
  <si>
    <t xml:space="preserve">  〃  2.0</t>
  </si>
  <si>
    <t>4205-0040</t>
  </si>
  <si>
    <t>모터그레이더</t>
    <phoneticPr fontId="2" type="noConversion"/>
  </si>
  <si>
    <t>3.6m</t>
    <phoneticPr fontId="2" type="noConversion"/>
  </si>
  <si>
    <t>80m³/hr</t>
    <phoneticPr fontId="2" type="noConversion"/>
  </si>
  <si>
    <t>300*300*15</t>
  </si>
  <si>
    <t>TON</t>
  </si>
  <si>
    <t>190*90*57</t>
  </si>
  <si>
    <t>고철</t>
  </si>
  <si>
    <t>비디오테이프</t>
  </si>
  <si>
    <t>#8(100*100)</t>
  </si>
  <si>
    <t>일반용</t>
  </si>
  <si>
    <t>너트</t>
  </si>
  <si>
    <t>원형거푸집</t>
    <phoneticPr fontId="2" type="noConversion"/>
  </si>
  <si>
    <t>D=300~400 t=3.2mm</t>
    <phoneticPr fontId="2" type="noConversion"/>
  </si>
  <si>
    <t>0602-0045</t>
  </si>
  <si>
    <t>0602-0060</t>
  </si>
  <si>
    <t>0602-0080</t>
  </si>
  <si>
    <t>0602-0105</t>
  </si>
  <si>
    <t>0602-0150</t>
  </si>
  <si>
    <t>0602-0200</t>
  </si>
  <si>
    <t>0602-0240</t>
  </si>
  <si>
    <t>0602-0320</t>
  </si>
  <si>
    <t>0610-0150</t>
  </si>
  <si>
    <t>15톤용</t>
  </si>
  <si>
    <t>1106-0010</t>
  </si>
  <si>
    <t>3108-0120</t>
  </si>
  <si>
    <t xml:space="preserve"> 〃 819.6</t>
  </si>
  <si>
    <t>공장관리비</t>
    <phoneticPr fontId="2" type="noConversion"/>
  </si>
  <si>
    <t>8-10톤</t>
  </si>
  <si>
    <t>1509-0004</t>
  </si>
  <si>
    <t>1509-0006</t>
  </si>
  <si>
    <t>1509-0008</t>
  </si>
  <si>
    <t>1509-0009</t>
  </si>
  <si>
    <t>1630-0080</t>
  </si>
  <si>
    <t>80kg</t>
  </si>
  <si>
    <t>휘발유0.7</t>
  </si>
  <si>
    <t>㎡</t>
    <phoneticPr fontId="2" type="noConversion"/>
  </si>
  <si>
    <t>대선</t>
  </si>
  <si>
    <t>D=450mm</t>
    <phoneticPr fontId="2" type="noConversion"/>
  </si>
  <si>
    <t>부순돌</t>
    <phoneticPr fontId="2" type="noConversion"/>
  </si>
  <si>
    <t>램머</t>
    <phoneticPr fontId="2" type="noConversion"/>
  </si>
  <si>
    <t>개소</t>
    <phoneticPr fontId="2" type="noConversion"/>
  </si>
  <si>
    <t>스텐관</t>
    <phoneticPr fontId="2" type="noConversion"/>
  </si>
  <si>
    <t>기존관절단</t>
    <phoneticPr fontId="2" type="noConversion"/>
  </si>
  <si>
    <t>50mm</t>
    <phoneticPr fontId="2" type="noConversion"/>
  </si>
  <si>
    <t>연결관링</t>
    <phoneticPr fontId="2" type="noConversion"/>
  </si>
  <si>
    <t>60톤</t>
    <phoneticPr fontId="2" type="noConversion"/>
  </si>
  <si>
    <t>경운기</t>
    <phoneticPr fontId="2" type="noConversion"/>
  </si>
  <si>
    <t>1,000kg</t>
    <phoneticPr fontId="2" type="noConversion"/>
  </si>
  <si>
    <t>하수관천공 및 접합 본관600,연결관150  개소</t>
    <phoneticPr fontId="2" type="noConversion"/>
  </si>
  <si>
    <t>하수관천공 및 접합 본관600,연결관300  개소</t>
    <phoneticPr fontId="2" type="noConversion"/>
  </si>
  <si>
    <t>하수관천공 및 접합 본관700,연결관150  개소</t>
    <phoneticPr fontId="2" type="noConversion"/>
  </si>
  <si>
    <t>하수관천공 및 접합 본관700,연결관300  개소</t>
    <phoneticPr fontId="2" type="noConversion"/>
  </si>
  <si>
    <t>하수관천공 및 접합 본관800,연결관150  개소</t>
    <phoneticPr fontId="2" type="noConversion"/>
  </si>
  <si>
    <t>하수관천공 및 접합 본관800,연결관300  개소</t>
    <phoneticPr fontId="2" type="noConversion"/>
  </si>
  <si>
    <t>하수관천공 및 접합 본관900,연결관150  개소</t>
    <phoneticPr fontId="2" type="noConversion"/>
  </si>
  <si>
    <t>하수관천공 및 접합 본관900,연결관300  개소</t>
    <phoneticPr fontId="2" type="noConversion"/>
  </si>
  <si>
    <t>하수관천공 및 접합 본관1000,연결관150  개소</t>
    <phoneticPr fontId="2" type="noConversion"/>
  </si>
  <si>
    <t>하수관천공 및 접합 본관1000,연결관300  개소</t>
    <phoneticPr fontId="2" type="noConversion"/>
  </si>
  <si>
    <t>하수관천공 및 접합 본관1200,연결관150  개소</t>
    <phoneticPr fontId="2" type="noConversion"/>
  </si>
  <si>
    <t>하수관천공 및 접합 본관1200,연결관300  개소</t>
    <phoneticPr fontId="2" type="noConversion"/>
  </si>
  <si>
    <t>천공 및 접합(단지관) 본관450,연결관150  개소</t>
    <phoneticPr fontId="2" type="noConversion"/>
  </si>
  <si>
    <t>천공 및 접합(단지관) 본관600,연결관150  개소</t>
    <phoneticPr fontId="2" type="noConversion"/>
  </si>
  <si>
    <t>천공 및 접합(단지관) 본관700,연결관150  개소</t>
    <phoneticPr fontId="2" type="noConversion"/>
  </si>
  <si>
    <t>천공 및 접합(단지관) 본관800,연결관150  개소</t>
    <phoneticPr fontId="2" type="noConversion"/>
  </si>
  <si>
    <t>천공 및 접합(단지관) 본관900,연결관150  개소</t>
    <phoneticPr fontId="2" type="noConversion"/>
  </si>
  <si>
    <t>천공 및 접합(단지관) 본관1000,연결관150  개소</t>
    <phoneticPr fontId="2" type="noConversion"/>
  </si>
  <si>
    <t>천공 및 접합(단지관) 본관1200,연결관150  개소</t>
    <phoneticPr fontId="2" type="noConversion"/>
  </si>
  <si>
    <t>빗물받이인상교체 395×495mm  개소</t>
    <phoneticPr fontId="2" type="noConversion"/>
  </si>
  <si>
    <t>콘크리트깨기(무근)</t>
    <phoneticPr fontId="2" type="noConversion"/>
  </si>
  <si>
    <t>대형브레이커</t>
    <phoneticPr fontId="2" type="noConversion"/>
  </si>
  <si>
    <t>로더(무한궤도)</t>
    <phoneticPr fontId="2" type="noConversion"/>
  </si>
  <si>
    <t>로더(타이어)</t>
    <phoneticPr fontId="2" type="noConversion"/>
  </si>
  <si>
    <t>덤프트럭</t>
    <phoneticPr fontId="2" type="noConversion"/>
  </si>
  <si>
    <t>2.5톤</t>
    <phoneticPr fontId="2" type="noConversion"/>
  </si>
  <si>
    <t>8톤</t>
    <phoneticPr fontId="2" type="noConversion"/>
  </si>
  <si>
    <t>15톤</t>
    <phoneticPr fontId="2" type="noConversion"/>
  </si>
  <si>
    <t>트럭크레인</t>
    <phoneticPr fontId="2" type="noConversion"/>
  </si>
  <si>
    <t>매캐덤롤러(자주식)</t>
    <phoneticPr fontId="2" type="noConversion"/>
  </si>
  <si>
    <t>크레인(트럭)</t>
    <phoneticPr fontId="2" type="noConversion"/>
  </si>
  <si>
    <t>페이브먼트 브레이커</t>
    <phoneticPr fontId="2" type="noConversion"/>
  </si>
  <si>
    <t>60kw</t>
    <phoneticPr fontId="2" type="noConversion"/>
  </si>
  <si>
    <t>라인마커</t>
    <phoneticPr fontId="2" type="noConversion"/>
  </si>
  <si>
    <t>10km/hr</t>
    <phoneticPr fontId="2" type="noConversion"/>
  </si>
  <si>
    <t>건설용펌프</t>
    <phoneticPr fontId="2" type="noConversion"/>
  </si>
  <si>
    <t>가솔린엔진</t>
    <phoneticPr fontId="2" type="noConversion"/>
  </si>
  <si>
    <t>하수관</t>
    <phoneticPr fontId="2" type="noConversion"/>
  </si>
  <si>
    <t>1:2</t>
    <phoneticPr fontId="2" type="noConversion"/>
  </si>
  <si>
    <t>배관공</t>
    <phoneticPr fontId="2" type="noConversion"/>
  </si>
  <si>
    <t>8806-0009</t>
  </si>
  <si>
    <t>8806-0010</t>
  </si>
  <si>
    <t>8806-0012</t>
  </si>
  <si>
    <t>8806-0013</t>
  </si>
  <si>
    <t>9010-0003</t>
  </si>
  <si>
    <t>펌프준설선</t>
  </si>
  <si>
    <t>9010-0006</t>
  </si>
  <si>
    <t>9010-0010</t>
  </si>
  <si>
    <t>9010-0012</t>
  </si>
  <si>
    <t>9010-0020</t>
  </si>
  <si>
    <t>9010-0022</t>
  </si>
  <si>
    <t>9010-0033</t>
  </si>
  <si>
    <t>9010-0040</t>
  </si>
  <si>
    <t>D.T</t>
    <phoneticPr fontId="2" type="noConversion"/>
  </si>
  <si>
    <t>톤   B.H.</t>
    <phoneticPr fontId="2" type="noConversion"/>
  </si>
  <si>
    <t>㎥ 상차</t>
    <phoneticPr fontId="2" type="noConversion"/>
  </si>
  <si>
    <t>DT</t>
    <phoneticPr fontId="2" type="noConversion"/>
  </si>
  <si>
    <t>현장→중간집하장</t>
    <phoneticPr fontId="2" type="noConversion"/>
  </si>
  <si>
    <t>잔재처리</t>
    <phoneticPr fontId="2" type="noConversion"/>
  </si>
  <si>
    <t>지수판</t>
    <phoneticPr fontId="2" type="noConversion"/>
  </si>
  <si>
    <t>연번</t>
  </si>
  <si>
    <t xml:space="preserve"> 품    명</t>
  </si>
  <si>
    <t>규    격</t>
  </si>
  <si>
    <t>단위</t>
  </si>
  <si>
    <t>조달청 단가</t>
  </si>
  <si>
    <t>시멘트(포장)</t>
  </si>
  <si>
    <t>Ton</t>
  </si>
  <si>
    <t>㎥</t>
  </si>
  <si>
    <t>흄관 B형</t>
  </si>
  <si>
    <t>본</t>
  </si>
  <si>
    <t>÷ 1.1 =</t>
    <phoneticPr fontId="2" type="noConversion"/>
  </si>
  <si>
    <t>경비</t>
    <phoneticPr fontId="2" type="noConversion"/>
  </si>
  <si>
    <t>작업명</t>
    <phoneticPr fontId="2" type="noConversion"/>
  </si>
  <si>
    <t>25.4×91.44(10×36)60</t>
  </si>
  <si>
    <t>45.72×60.9(18×24)75</t>
  </si>
  <si>
    <t>45.72×91.44(18×36)110</t>
  </si>
  <si>
    <t>1106-0012</t>
  </si>
  <si>
    <t>1106-0015</t>
  </si>
  <si>
    <t>1206-0008</t>
  </si>
  <si>
    <t>5-8톤</t>
  </si>
  <si>
    <t>1206-0010</t>
  </si>
  <si>
    <t>1206-0014</t>
  </si>
  <si>
    <t>1209-0001</t>
  </si>
  <si>
    <t>1톤</t>
  </si>
  <si>
    <t>1209-0002</t>
  </si>
  <si>
    <t>(진동자주식)</t>
  </si>
  <si>
    <t>1209-0004</t>
  </si>
  <si>
    <t>1209-0006</t>
  </si>
  <si>
    <t>205×250×1000</t>
    <phoneticPr fontId="2" type="noConversion"/>
  </si>
  <si>
    <t>계</t>
    <phoneticPr fontId="2" type="noConversion"/>
  </si>
  <si>
    <t>4108-0180</t>
  </si>
  <si>
    <t>스텐관부설  50mm   m</t>
    <phoneticPr fontId="2" type="noConversion"/>
  </si>
  <si>
    <t>내       역       서</t>
    <phoneticPr fontId="2" type="noConversion"/>
  </si>
  <si>
    <t>합판거푸집 1회사용 m²</t>
    <phoneticPr fontId="2" type="noConversion"/>
  </si>
  <si>
    <t>합판(122*244cm)</t>
    <phoneticPr fontId="2" type="noConversion"/>
  </si>
  <si>
    <t>내수1급 12mm</t>
    <phoneticPr fontId="2" type="noConversion"/>
  </si>
  <si>
    <t>합판,각재의 23%</t>
    <phoneticPr fontId="2" type="noConversion"/>
  </si>
  <si>
    <t>중유,저유황1.0%</t>
    <phoneticPr fontId="2" type="noConversion"/>
  </si>
  <si>
    <t>합판거푸집(소형구조) 1회사용,10m³미만 m²</t>
    <phoneticPr fontId="2" type="noConversion"/>
  </si>
  <si>
    <t>합판거푸집 2회사용 m²</t>
    <phoneticPr fontId="2" type="noConversion"/>
  </si>
  <si>
    <t>1회사용</t>
    <phoneticPr fontId="2" type="noConversion"/>
  </si>
  <si>
    <t>재료비의 57%</t>
    <phoneticPr fontId="2" type="noConversion"/>
  </si>
  <si>
    <t>합판거푸집(소형구조) 2회사용,10m³미만 m²</t>
    <phoneticPr fontId="2" type="noConversion"/>
  </si>
  <si>
    <t>1회사용(소형구조)</t>
    <phoneticPr fontId="2" type="noConversion"/>
  </si>
  <si>
    <t>합판거푸집 3회사용 m²</t>
    <phoneticPr fontId="2" type="noConversion"/>
  </si>
  <si>
    <t>재료비의 46.1%</t>
    <phoneticPr fontId="2" type="noConversion"/>
  </si>
  <si>
    <t>노무비의 47.1%</t>
    <phoneticPr fontId="2" type="noConversion"/>
  </si>
  <si>
    <t>8804-0076</t>
  </si>
  <si>
    <t>8805-0077</t>
  </si>
  <si>
    <t>부함</t>
  </si>
  <si>
    <t>8805-0085</t>
  </si>
  <si>
    <t>8805-0100</t>
  </si>
  <si>
    <t>1307-0002</t>
  </si>
  <si>
    <t>1307-0003</t>
  </si>
  <si>
    <t>1307-0004</t>
  </si>
  <si>
    <t>1307-0005</t>
  </si>
  <si>
    <t>1307-0006</t>
  </si>
  <si>
    <t>1307-0008</t>
  </si>
  <si>
    <t>1307-0009</t>
  </si>
  <si>
    <t>1307-0010</t>
  </si>
  <si>
    <t>1307-0011</t>
  </si>
  <si>
    <t>1406</t>
  </si>
  <si>
    <t>1406-0008</t>
  </si>
  <si>
    <t>1406-0015</t>
  </si>
  <si>
    <t>8－15</t>
  </si>
  <si>
    <t>1406-0025</t>
  </si>
  <si>
    <t>15-25</t>
  </si>
  <si>
    <t>1407</t>
  </si>
  <si>
    <t>1407-0001</t>
  </si>
  <si>
    <t>1407-0002</t>
  </si>
  <si>
    <t>1407-0007</t>
  </si>
  <si>
    <t>1407-0008</t>
  </si>
  <si>
    <t>1407-0010</t>
  </si>
  <si>
    <t>1407-0014</t>
  </si>
  <si>
    <t>1407-0017</t>
  </si>
  <si>
    <t>1407-0018</t>
  </si>
  <si>
    <t>1407-0019</t>
  </si>
  <si>
    <t>1407-0034</t>
  </si>
  <si>
    <t>1506</t>
  </si>
  <si>
    <t>1506-0011</t>
  </si>
  <si>
    <t>11톤</t>
  </si>
  <si>
    <t>양족식로울러</t>
  </si>
  <si>
    <t>1506-0012</t>
  </si>
  <si>
    <t>1506-0015</t>
  </si>
  <si>
    <t>1506-0019</t>
  </si>
  <si>
    <t>1506-0025</t>
  </si>
  <si>
    <t>1506-0030</t>
  </si>
  <si>
    <t>1506-0032</t>
  </si>
  <si>
    <t>1506-0037</t>
  </si>
  <si>
    <t>1507-0003</t>
  </si>
  <si>
    <t>3톤</t>
  </si>
  <si>
    <t>1507-0007</t>
  </si>
  <si>
    <t>1507-0009</t>
  </si>
  <si>
    <t>1507-0011</t>
  </si>
  <si>
    <t>1507-0013</t>
  </si>
  <si>
    <t>1507-0014</t>
  </si>
  <si>
    <t>1507-0020</t>
  </si>
  <si>
    <t>1509-0002</t>
  </si>
  <si>
    <t>2톤</t>
  </si>
  <si>
    <t>양족식진동로울러</t>
  </si>
  <si>
    <t>1509-0003</t>
  </si>
  <si>
    <t>:</t>
    <phoneticPr fontId="2" type="noConversion"/>
  </si>
  <si>
    <t>규격</t>
    <phoneticPr fontId="2" type="noConversion"/>
  </si>
  <si>
    <t>굴삭기(무한궤도)</t>
    <phoneticPr fontId="2" type="noConversion"/>
  </si>
  <si>
    <t>습지굴삭기(무한궤도)</t>
    <phoneticPr fontId="2" type="noConversion"/>
  </si>
  <si>
    <t>a</t>
    <phoneticPr fontId="2" type="noConversion"/>
  </si>
  <si>
    <t>동</t>
    <phoneticPr fontId="2" type="noConversion"/>
  </si>
  <si>
    <t>13~18</t>
  </si>
  <si>
    <t>9010-0200</t>
  </si>
  <si>
    <t>9020-0010</t>
  </si>
  <si>
    <t>9020-0015</t>
  </si>
  <si>
    <t>9020-0016</t>
  </si>
  <si>
    <t>9020-0022</t>
  </si>
  <si>
    <t>9020-0072</t>
  </si>
  <si>
    <t>9020-0160</t>
  </si>
  <si>
    <t>9020-0180</t>
  </si>
  <si>
    <t>#467</t>
    <phoneticPr fontId="2" type="noConversion"/>
  </si>
  <si>
    <t>측시용</t>
    <phoneticPr fontId="2" type="noConversion"/>
  </si>
  <si>
    <t>5115-0055</t>
  </si>
  <si>
    <t>5115-0075</t>
  </si>
  <si>
    <t>5115-0095</t>
  </si>
  <si>
    <t>5116-0001</t>
  </si>
  <si>
    <t>5116-0002</t>
  </si>
  <si>
    <t>5116-0003</t>
  </si>
  <si>
    <t>5116-0004</t>
  </si>
  <si>
    <t>5116-0005</t>
  </si>
  <si>
    <t>5116-0006</t>
  </si>
  <si>
    <t>5116-0007</t>
  </si>
  <si>
    <t>5116-0008</t>
  </si>
  <si>
    <t>5117-0001</t>
  </si>
  <si>
    <t>5117-0002</t>
  </si>
  <si>
    <t>잡유</t>
    <phoneticPr fontId="2" type="noConversion"/>
  </si>
  <si>
    <t>콘크리트펌프차붐타설 철근100~300m³미만 m³</t>
    <phoneticPr fontId="2" type="noConversion"/>
  </si>
  <si>
    <t>포장절단 1차로  m</t>
    <phoneticPr fontId="2" type="noConversion"/>
  </si>
  <si>
    <t>커터(콘크리트및아스팔트)</t>
    <phoneticPr fontId="2" type="noConversion"/>
  </si>
  <si>
    <t>포장절단 2차로  m</t>
    <phoneticPr fontId="2" type="noConversion"/>
  </si>
  <si>
    <t>인력절취 보통토사 m³</t>
    <phoneticPr fontId="2" type="noConversion"/>
  </si>
  <si>
    <t>인력절취 견질토사 m³</t>
    <phoneticPr fontId="2" type="noConversion"/>
  </si>
  <si>
    <t>인력터파기 보통토사 0-1m m³</t>
    <phoneticPr fontId="2" type="noConversion"/>
  </si>
  <si>
    <t>인력터파기 보통토사 1-2m m³</t>
    <phoneticPr fontId="2" type="noConversion"/>
  </si>
  <si>
    <t>인력터파기 견질토사 0-1m m³</t>
    <phoneticPr fontId="2" type="noConversion"/>
  </si>
  <si>
    <t>인력터파기 견질토사 1-2m m³</t>
    <phoneticPr fontId="2" type="noConversion"/>
  </si>
  <si>
    <t>되메우기 인력 m³</t>
    <phoneticPr fontId="2" type="noConversion"/>
  </si>
  <si>
    <t>아스팔트포장깨기 인력 m³</t>
    <phoneticPr fontId="2" type="noConversion"/>
  </si>
  <si>
    <t>노무비의 5%</t>
    <phoneticPr fontId="2" type="noConversion"/>
  </si>
  <si>
    <t>아스팔트포장깨기 소형브레이커+공기압축기 m³</t>
    <phoneticPr fontId="2" type="noConversion"/>
  </si>
  <si>
    <t>공기압축기:이동식</t>
    <phoneticPr fontId="2" type="noConversion"/>
  </si>
  <si>
    <t>노무비의 1%</t>
    <phoneticPr fontId="2" type="noConversion"/>
  </si>
  <si>
    <t>아스팔트포장깨기 BH0.4+브레이커 m³</t>
    <phoneticPr fontId="2" type="noConversion"/>
  </si>
  <si>
    <t>1일8시간,3.91m³/hr</t>
    <phoneticPr fontId="2" type="noConversion"/>
  </si>
  <si>
    <t>0.008본/hr/3.91</t>
    <phoneticPr fontId="2" type="noConversion"/>
  </si>
  <si>
    <t>1일8시간,5.45m³/hr</t>
    <phoneticPr fontId="2" type="noConversion"/>
  </si>
  <si>
    <t>0.01본/hr/5.45</t>
    <phoneticPr fontId="2" type="noConversion"/>
  </si>
  <si>
    <t>콘크리트포장깨기 인력 m³</t>
    <phoneticPr fontId="2" type="noConversion"/>
  </si>
  <si>
    <t>콘크리트포장깨기 소형브레이커+공기압축기 m³</t>
    <phoneticPr fontId="2" type="noConversion"/>
  </si>
  <si>
    <t>보차도경계석철거 20*25*100(인력) m</t>
    <phoneticPr fontId="2" type="noConversion"/>
  </si>
  <si>
    <t>0.45㎥</t>
    <phoneticPr fontId="2" type="noConversion"/>
  </si>
  <si>
    <t>=</t>
    <phoneticPr fontId="2" type="noConversion"/>
  </si>
  <si>
    <t>Cm</t>
    <phoneticPr fontId="2" type="noConversion"/>
  </si>
  <si>
    <t>착암기</t>
    <phoneticPr fontId="2" type="noConversion"/>
  </si>
  <si>
    <t>디젤파일해머</t>
    <phoneticPr fontId="2" type="noConversion"/>
  </si>
  <si>
    <t>1.5톤</t>
    <phoneticPr fontId="2" type="noConversion"/>
  </si>
  <si>
    <t>진동롤러(핸드가이드식)</t>
    <phoneticPr fontId="2" type="noConversion"/>
  </si>
  <si>
    <t>5.5HP</t>
  </si>
  <si>
    <t>휘발유3.38</t>
  </si>
  <si>
    <t>7430-1100</t>
  </si>
  <si>
    <t>1톤(15HP)</t>
  </si>
  <si>
    <t>ㅇ</t>
    <phoneticPr fontId="2" type="noConversion"/>
  </si>
  <si>
    <t>운반거리및 속도</t>
    <phoneticPr fontId="2" type="noConversion"/>
  </si>
  <si>
    <t>L=</t>
    <phoneticPr fontId="2" type="noConversion"/>
  </si>
  <si>
    <t>Km</t>
    <phoneticPr fontId="2" type="noConversion"/>
  </si>
  <si>
    <t>V₁=</t>
    <phoneticPr fontId="2" type="noConversion"/>
  </si>
  <si>
    <t>V₂=</t>
    <phoneticPr fontId="2" type="noConversion"/>
  </si>
  <si>
    <t xml:space="preserve">ㅇ </t>
    <phoneticPr fontId="2" type="noConversion"/>
  </si>
  <si>
    <t xml:space="preserve">  - 1㎥당 상차시간: </t>
    <phoneticPr fontId="2" type="noConversion"/>
  </si>
  <si>
    <t>분</t>
    <phoneticPr fontId="2" type="noConversion"/>
  </si>
  <si>
    <t>∴</t>
    <phoneticPr fontId="2" type="noConversion"/>
  </si>
  <si>
    <t>원 / ㎥</t>
    <phoneticPr fontId="2" type="noConversion"/>
  </si>
  <si>
    <t xml:space="preserve">ㅇ 단위중량 </t>
    <phoneticPr fontId="2" type="noConversion"/>
  </si>
  <si>
    <t>콘크리트포장(레미콘) T=20cm    a</t>
    <phoneticPr fontId="2" type="noConversion"/>
  </si>
  <si>
    <t>레미콘(관급)</t>
    <phoneticPr fontId="2" type="noConversion"/>
  </si>
  <si>
    <t>바닥모래 포설</t>
    <phoneticPr fontId="2" type="noConversion"/>
  </si>
  <si>
    <t>콘크리트 포장(현장타설)  20cm   a</t>
    <phoneticPr fontId="2" type="noConversion"/>
  </si>
  <si>
    <t>콘크리트3종</t>
    <phoneticPr fontId="2" type="noConversion"/>
  </si>
  <si>
    <t>※  건설기계조장은 5대당 1인 소요</t>
    <phoneticPr fontId="2" type="noConversion"/>
  </si>
  <si>
    <t>수팽창고무지수판 (20×10mm)    m</t>
    <phoneticPr fontId="2" type="noConversion"/>
  </si>
  <si>
    <t>못(콘크리트)</t>
    <phoneticPr fontId="2" type="noConversion"/>
  </si>
  <si>
    <t>재료비의 5%</t>
    <phoneticPr fontId="2" type="noConversion"/>
  </si>
  <si>
    <t>도로경계블록설치(기계사용) 150×150×1000   m</t>
    <phoneticPr fontId="2" type="noConversion"/>
  </si>
  <si>
    <t>도로경계블록-별도</t>
    <phoneticPr fontId="2" type="noConversion"/>
  </si>
  <si>
    <t>트럭탑재형 크레인</t>
    <phoneticPr fontId="2" type="noConversion"/>
  </si>
  <si>
    <t>5톤</t>
    <phoneticPr fontId="2" type="noConversion"/>
  </si>
  <si>
    <t>6회</t>
    <phoneticPr fontId="2" type="noConversion"/>
  </si>
  <si>
    <t>도로경계석설치(기계사용) 150×150×1000(화강석)   m</t>
    <phoneticPr fontId="2" type="noConversion"/>
  </si>
  <si>
    <t>도로경계석-별도</t>
    <phoneticPr fontId="2" type="noConversion"/>
  </si>
  <si>
    <t>보차도경계블록설치(기계사용) 205×250×1000   m</t>
    <phoneticPr fontId="2" type="noConversion"/>
  </si>
  <si>
    <t>보차도경계블록-별도</t>
    <phoneticPr fontId="2" type="noConversion"/>
  </si>
  <si>
    <t>0.6㎥</t>
    <phoneticPr fontId="2" type="noConversion"/>
  </si>
  <si>
    <t>노무비의 3%</t>
    <phoneticPr fontId="2" type="noConversion"/>
  </si>
  <si>
    <t>바닥비닐깔기   T=0.03mm    a</t>
    <phoneticPr fontId="2" type="noConversion"/>
  </si>
  <si>
    <t>바닥모래포설   T=3cm    a</t>
    <phoneticPr fontId="2" type="noConversion"/>
  </si>
  <si>
    <t>도착도(할증포함)</t>
    <phoneticPr fontId="2" type="noConversion"/>
  </si>
  <si>
    <t>2104-0015</t>
    <phoneticPr fontId="2" type="noConversion"/>
  </si>
  <si>
    <t>60 × q  ×  E  /  Cm</t>
    <phoneticPr fontId="2" type="noConversion"/>
  </si>
  <si>
    <t>-  노  무  비</t>
    <phoneticPr fontId="2" type="noConversion"/>
  </si>
  <si>
    <t xml:space="preserve">-  노  무  비 </t>
    <phoneticPr fontId="2" type="noConversion"/>
  </si>
  <si>
    <t xml:space="preserve">      =</t>
    <phoneticPr fontId="2" type="noConversion"/>
  </si>
  <si>
    <t>ℓ / hr</t>
    <phoneticPr fontId="2" type="noConversion"/>
  </si>
  <si>
    <t xml:space="preserve">-  경       비 </t>
    <phoneticPr fontId="2" type="noConversion"/>
  </si>
  <si>
    <t>2. 다짐</t>
    <phoneticPr fontId="2" type="noConversion"/>
  </si>
  <si>
    <t>2.</t>
    <phoneticPr fontId="2" type="noConversion"/>
  </si>
  <si>
    <t>ㅇ. 1a당 살포비</t>
    <phoneticPr fontId="2" type="noConversion"/>
  </si>
  <si>
    <t>1) 진동롤러(자주식 10톤)</t>
    <phoneticPr fontId="2" type="noConversion"/>
  </si>
  <si>
    <t>가)</t>
    <phoneticPr fontId="2" type="noConversion"/>
  </si>
  <si>
    <t>머캐덤롤러(8-10톤)</t>
    <phoneticPr fontId="2" type="noConversion"/>
  </si>
  <si>
    <t xml:space="preserve"> 1000 × V  × W ×  E ×  f /  N</t>
    <phoneticPr fontId="2" type="noConversion"/>
  </si>
  <si>
    <t xml:space="preserve"> 1,000 × V  × W ×  E  /  N</t>
    <phoneticPr fontId="2" type="noConversion"/>
  </si>
  <si>
    <t xml:space="preserve">  -  재  료  비 :</t>
    <phoneticPr fontId="2" type="noConversion"/>
  </si>
  <si>
    <t>원/a</t>
    <phoneticPr fontId="2" type="noConversion"/>
  </si>
  <si>
    <t xml:space="preserve">  -  노  무  비 :</t>
    <phoneticPr fontId="2" type="noConversion"/>
  </si>
  <si>
    <t xml:space="preserve">  -  경       비 :</t>
    <phoneticPr fontId="2" type="noConversion"/>
  </si>
  <si>
    <t>인건비</t>
    <phoneticPr fontId="2" type="noConversion"/>
  </si>
  <si>
    <t xml:space="preserve">÷ 100 </t>
    <phoneticPr fontId="2" type="noConversion"/>
  </si>
  <si>
    <t>N  =</t>
    <phoneticPr fontId="2" type="noConversion"/>
  </si>
  <si>
    <t>합      계</t>
    <phoneticPr fontId="2" type="noConversion"/>
  </si>
  <si>
    <t>2) 타이어롤러(8-15톤)</t>
    <phoneticPr fontId="2" type="noConversion"/>
  </si>
  <si>
    <t>나)</t>
    <phoneticPr fontId="2" type="noConversion"/>
  </si>
  <si>
    <t>타이어롤러(8-15톤)</t>
    <phoneticPr fontId="2" type="noConversion"/>
  </si>
  <si>
    <t>시간당 작업면적</t>
    <phoneticPr fontId="2" type="noConversion"/>
  </si>
  <si>
    <t>(다짐속도)</t>
    <phoneticPr fontId="2" type="noConversion"/>
  </si>
  <si>
    <t>(롤러유효폭)</t>
    <phoneticPr fontId="2" type="noConversion"/>
  </si>
  <si>
    <t xml:space="preserve">   □ 아스팔트 살포 (프라임코팅)</t>
    <phoneticPr fontId="2" type="noConversion"/>
  </si>
  <si>
    <t>(작업효율)</t>
    <phoneticPr fontId="2" type="noConversion"/>
  </si>
  <si>
    <t>다)</t>
    <phoneticPr fontId="2" type="noConversion"/>
  </si>
  <si>
    <t>탠덤롤러(10-14톤)</t>
    <phoneticPr fontId="2" type="noConversion"/>
  </si>
  <si>
    <t>3) 살수(물탱크 5,500ℓ)</t>
    <phoneticPr fontId="2" type="noConversion"/>
  </si>
  <si>
    <t>q   =</t>
    <phoneticPr fontId="2" type="noConversion"/>
  </si>
  <si>
    <t xml:space="preserve">  60 × q ×  E  /  Cm</t>
    <phoneticPr fontId="2" type="noConversion"/>
  </si>
  <si>
    <t>E   =</t>
    <phoneticPr fontId="2" type="noConversion"/>
  </si>
  <si>
    <t>min (급수)</t>
    <phoneticPr fontId="2" type="noConversion"/>
  </si>
  <si>
    <t>ton / hr</t>
    <phoneticPr fontId="2" type="noConversion"/>
  </si>
  <si>
    <t>×  2  ×  60  =</t>
    <phoneticPr fontId="2" type="noConversion"/>
  </si>
  <si>
    <t xml:space="preserve">÷ </t>
    <phoneticPr fontId="2" type="noConversion"/>
  </si>
  <si>
    <t>ㅇ 1a  당 살수비</t>
    <phoneticPr fontId="2" type="noConversion"/>
  </si>
  <si>
    <t>× 0.08 × 26/46 =</t>
    <phoneticPr fontId="2" type="noConversion"/>
  </si>
  <si>
    <t>× 0.08</t>
    <phoneticPr fontId="2" type="noConversion"/>
  </si>
  <si>
    <t>포설비</t>
    <phoneticPr fontId="2" type="noConversion"/>
  </si>
  <si>
    <t>머캐덤롤러</t>
    <phoneticPr fontId="2" type="noConversion"/>
  </si>
  <si>
    <t>8~10ton</t>
    <phoneticPr fontId="2" type="noConversion"/>
  </si>
  <si>
    <t>합   계</t>
    <phoneticPr fontId="2" type="noConversion"/>
  </si>
  <si>
    <t>8~15ton</t>
    <phoneticPr fontId="2" type="noConversion"/>
  </si>
  <si>
    <t>10~14ton</t>
    <phoneticPr fontId="2" type="noConversion"/>
  </si>
  <si>
    <t>경   비</t>
    <phoneticPr fontId="2" type="noConversion"/>
  </si>
  <si>
    <t xml:space="preserve">  □ 다짐</t>
    <phoneticPr fontId="2" type="noConversion"/>
  </si>
  <si>
    <t>T=15cm, ㎥당</t>
    <phoneticPr fontId="2" type="noConversion"/>
  </si>
  <si>
    <t>램머 : 80kg</t>
    <phoneticPr fontId="2" type="noConversion"/>
  </si>
  <si>
    <t xml:space="preserve">   □  아스팔트 중층 포설다짐</t>
    <phoneticPr fontId="2" type="noConversion"/>
  </si>
  <si>
    <t>(#467, t=7.5cm)</t>
    <phoneticPr fontId="2" type="noConversion"/>
  </si>
  <si>
    <t>수동식 :</t>
    <phoneticPr fontId="2" type="noConversion"/>
  </si>
  <si>
    <t xml:space="preserve"> A × N  × H ×  E ×  f /  p</t>
    <phoneticPr fontId="2" type="noConversion"/>
  </si>
  <si>
    <t>회/hr</t>
    <phoneticPr fontId="2" type="noConversion"/>
  </si>
  <si>
    <t>f   =</t>
    <phoneticPr fontId="2" type="noConversion"/>
  </si>
  <si>
    <t>p   =</t>
    <phoneticPr fontId="2" type="noConversion"/>
  </si>
  <si>
    <t xml:space="preserve">  □ 혼합기층공 </t>
    <phoneticPr fontId="2" type="noConversion"/>
  </si>
  <si>
    <t>(t=20cm)</t>
    <phoneticPr fontId="2" type="noConversion"/>
  </si>
  <si>
    <t>×  10회</t>
    <phoneticPr fontId="2" type="noConversion"/>
  </si>
  <si>
    <t>진동롤러(자주식 10ton) 1회</t>
    <phoneticPr fontId="2" type="noConversion"/>
  </si>
  <si>
    <t xml:space="preserve"> 1,000 ×  V  ×  W  ×  E  ×  1 / N</t>
    <phoneticPr fontId="2" type="noConversion"/>
  </si>
  <si>
    <t xml:space="preserve">     =</t>
    <phoneticPr fontId="2" type="noConversion"/>
  </si>
  <si>
    <t>W  =</t>
    <phoneticPr fontId="2" type="noConversion"/>
  </si>
  <si>
    <t>ㅇ 1a당 1회 다짐시</t>
    <phoneticPr fontId="2" type="noConversion"/>
  </si>
  <si>
    <t>원 / a</t>
    <phoneticPr fontId="2" type="noConversion"/>
  </si>
  <si>
    <t>타이어롤러(8-15ton) 1회(기층,보조기층)</t>
    <phoneticPr fontId="2" type="noConversion"/>
  </si>
  <si>
    <t xml:space="preserve">  ※  1a당 다짐비(혼합기층)</t>
    <phoneticPr fontId="2" type="noConversion"/>
  </si>
  <si>
    <t xml:space="preserve">   □  아스팔트 다짐(인력 소규모)</t>
    <phoneticPr fontId="2" type="noConversion"/>
  </si>
  <si>
    <t>/ a</t>
    <phoneticPr fontId="2" type="noConversion"/>
  </si>
  <si>
    <t>D=300mm</t>
    <phoneticPr fontId="2" type="noConversion"/>
  </si>
  <si>
    <t>기타잡재료</t>
    <phoneticPr fontId="2" type="noConversion"/>
  </si>
  <si>
    <t>E=</t>
    <phoneticPr fontId="2" type="noConversion"/>
  </si>
  <si>
    <t>cm=</t>
    <phoneticPr fontId="2" type="noConversion"/>
  </si>
  <si>
    <t>1회싸이클 시간  :</t>
    <phoneticPr fontId="2" type="noConversion"/>
  </si>
  <si>
    <t>t₁=</t>
    <phoneticPr fontId="2" type="noConversion"/>
  </si>
  <si>
    <t>적재시간</t>
    <phoneticPr fontId="2" type="noConversion"/>
  </si>
  <si>
    <t xml:space="preserve">분 </t>
    <phoneticPr fontId="2" type="noConversion"/>
  </si>
  <si>
    <t xml:space="preserve">    t₁  = ( </t>
    <phoneticPr fontId="2" type="noConversion"/>
  </si>
  <si>
    <t>수량</t>
    <phoneticPr fontId="2" type="noConversion"/>
  </si>
  <si>
    <t>단위</t>
    <phoneticPr fontId="2" type="noConversion"/>
  </si>
  <si>
    <t>모래</t>
    <phoneticPr fontId="2" type="noConversion"/>
  </si>
  <si>
    <t>굵은골재</t>
    <phoneticPr fontId="2" type="noConversion"/>
  </si>
  <si>
    <t>40mm</t>
    <phoneticPr fontId="2" type="noConversion"/>
  </si>
  <si>
    <t>콘크리트공</t>
    <phoneticPr fontId="2" type="noConversion"/>
  </si>
  <si>
    <t>ton</t>
    <phoneticPr fontId="2" type="noConversion"/>
  </si>
  <si>
    <t>결속선</t>
    <phoneticPr fontId="2" type="noConversion"/>
  </si>
  <si>
    <t>D=0.9m/m</t>
    <phoneticPr fontId="2" type="noConversion"/>
  </si>
  <si>
    <t>철근공</t>
    <phoneticPr fontId="2" type="noConversion"/>
  </si>
  <si>
    <t>가공</t>
    <phoneticPr fontId="2" type="noConversion"/>
  </si>
  <si>
    <t>조립</t>
    <phoneticPr fontId="2" type="noConversion"/>
  </si>
  <si>
    <t>녹막이조합페인트</t>
    <phoneticPr fontId="2" type="noConversion"/>
  </si>
  <si>
    <t>신너</t>
    <phoneticPr fontId="2" type="noConversion"/>
  </si>
  <si>
    <t>연마지</t>
    <phoneticPr fontId="2" type="noConversion"/>
  </si>
  <si>
    <t>매</t>
    <phoneticPr fontId="2" type="noConversion"/>
  </si>
  <si>
    <t>도장공</t>
    <phoneticPr fontId="2" type="noConversion"/>
  </si>
  <si>
    <t>조합페인트</t>
    <phoneticPr fontId="2" type="noConversion"/>
  </si>
  <si>
    <t>KG</t>
    <phoneticPr fontId="2" type="noConversion"/>
  </si>
  <si>
    <t>레미콘</t>
    <phoneticPr fontId="2" type="noConversion"/>
  </si>
  <si>
    <t>200×5mm</t>
    <phoneticPr fontId="2" type="noConversion"/>
  </si>
  <si>
    <t>25mm</t>
    <phoneticPr fontId="2" type="noConversion"/>
  </si>
  <si>
    <t>설치비</t>
    <phoneticPr fontId="2" type="noConversion"/>
  </si>
  <si>
    <t>150×150×1000</t>
  </si>
  <si>
    <t>250-210-80</t>
    <phoneticPr fontId="2" type="noConversion"/>
  </si>
  <si>
    <t>레미콘타설</t>
    <phoneticPr fontId="2" type="noConversion"/>
  </si>
  <si>
    <t>t=6cm</t>
    <phoneticPr fontId="2" type="noConversion"/>
  </si>
  <si>
    <t>잡재료</t>
    <phoneticPr fontId="2" type="noConversion"/>
  </si>
  <si>
    <t>비닐</t>
    <phoneticPr fontId="2" type="noConversion"/>
  </si>
  <si>
    <t>T=0.03mm</t>
    <phoneticPr fontId="2" type="noConversion"/>
  </si>
  <si>
    <t>모래포설</t>
    <phoneticPr fontId="2" type="noConversion"/>
  </si>
  <si>
    <t>도착도</t>
    <phoneticPr fontId="2" type="noConversion"/>
  </si>
  <si>
    <t>바이브레이터</t>
    <phoneticPr fontId="2" type="noConversion"/>
  </si>
  <si>
    <t>봉상후렉시블</t>
    <phoneticPr fontId="2" type="noConversion"/>
  </si>
  <si>
    <t>(1.84cm)×3B×50m</t>
    <phoneticPr fontId="2" type="noConversion"/>
  </si>
  <si>
    <t>공기압축기(이동식)</t>
    <phoneticPr fontId="2" type="noConversion"/>
  </si>
  <si>
    <t>t₁+  t₂+  t₃+  t₄+  t</t>
    <phoneticPr fontId="2" type="noConversion"/>
  </si>
  <si>
    <t>(0.4㎥ 135˚)</t>
    <phoneticPr fontId="2" type="noConversion"/>
  </si>
  <si>
    <t>K =</t>
    <phoneticPr fontId="2" type="noConversion"/>
  </si>
  <si>
    <t>적재시</t>
    <phoneticPr fontId="2" type="noConversion"/>
  </si>
  <si>
    <t>공차시</t>
    <phoneticPr fontId="2" type="noConversion"/>
  </si>
  <si>
    <t>사토장→수도권매립지</t>
    <phoneticPr fontId="2" type="noConversion"/>
  </si>
  <si>
    <t>수도권매립지→행주대교남단</t>
    <phoneticPr fontId="2" type="noConversion"/>
  </si>
  <si>
    <t>행주대교남단→중랑교</t>
    <phoneticPr fontId="2" type="noConversion"/>
  </si>
  <si>
    <t>중랑교→망우역</t>
    <phoneticPr fontId="2" type="noConversion"/>
  </si>
  <si>
    <t>적 재 량:</t>
    <phoneticPr fontId="2" type="noConversion"/>
  </si>
  <si>
    <t>(0.7㎥ 135˚)</t>
    <phoneticPr fontId="2" type="noConversion"/>
  </si>
  <si>
    <t>) +(</t>
    <phoneticPr fontId="2" type="noConversion"/>
  </si>
  <si>
    <t>+ (</t>
    <phoneticPr fontId="2" type="noConversion"/>
  </si>
  <si>
    <t>분(적재장소가넓지않으나목적장소에불편없이진입할수있을때)</t>
    <phoneticPr fontId="2" type="noConversion"/>
  </si>
  <si>
    <t>현장→시계</t>
    <phoneticPr fontId="2" type="noConversion"/>
  </si>
  <si>
    <t>시계→사토장</t>
    <phoneticPr fontId="2" type="noConversion"/>
  </si>
  <si>
    <t xml:space="preserve">  )</t>
    <phoneticPr fontId="2" type="noConversion"/>
  </si>
  <si>
    <t>운반 Con'c잔재 (현장→중간집하장)</t>
    <phoneticPr fontId="2" type="noConversion"/>
  </si>
  <si>
    <t>트레일러 운반(1회-왕복)</t>
    <phoneticPr fontId="2" type="noConversion"/>
  </si>
  <si>
    <t>10km이내</t>
    <phoneticPr fontId="2" type="noConversion"/>
  </si>
  <si>
    <t>t₁+  t₂+  t₃</t>
    <phoneticPr fontId="2" type="noConversion"/>
  </si>
  <si>
    <t>48／68÷</t>
    <phoneticPr fontId="2" type="noConversion"/>
  </si>
  <si>
    <t>×2＝</t>
    <phoneticPr fontId="2" type="noConversion"/>
  </si>
  <si>
    <t>3종(인력)</t>
    <phoneticPr fontId="2" type="noConversion"/>
  </si>
  <si>
    <t>잔토(토사) L=30km 15DT + 0.4BH m³</t>
    <phoneticPr fontId="2" type="noConversion"/>
  </si>
  <si>
    <t>15D.T+0.4BH</t>
    <phoneticPr fontId="2" type="noConversion"/>
  </si>
  <si>
    <t>잔토(토사) L=30km 20DT + 0.4BH m³</t>
    <phoneticPr fontId="2" type="noConversion"/>
  </si>
  <si>
    <t>20D.T+0.4BH</t>
    <phoneticPr fontId="2" type="noConversion"/>
  </si>
  <si>
    <t>잔토(토사) L=30km 24DT + 0.4BH m³</t>
    <phoneticPr fontId="2" type="noConversion"/>
  </si>
  <si>
    <t>24D.T+0.4BH</t>
    <phoneticPr fontId="2" type="noConversion"/>
  </si>
  <si>
    <t>경운기  1,000kg      시간</t>
    <phoneticPr fontId="2" type="noConversion"/>
  </si>
  <si>
    <t>트랙터  3.5톤  타이어      시간</t>
    <phoneticPr fontId="2" type="noConversion"/>
  </si>
  <si>
    <t>트레일러  20톤      시간</t>
    <phoneticPr fontId="2" type="noConversion"/>
  </si>
  <si>
    <t>트레일러  30톤      시간</t>
    <phoneticPr fontId="2" type="noConversion"/>
  </si>
  <si>
    <t>트레일러  40톤      시간</t>
    <phoneticPr fontId="2" type="noConversion"/>
  </si>
  <si>
    <t>트레일러  60톤      시간</t>
    <phoneticPr fontId="2" type="noConversion"/>
  </si>
  <si>
    <t>아스팔트페이버  3m      시간</t>
    <phoneticPr fontId="2" type="noConversion"/>
  </si>
  <si>
    <t>아스팔트디스트리뷰터  3,800ℓ    시간</t>
    <phoneticPr fontId="2" type="noConversion"/>
  </si>
  <si>
    <t>콘크리트믹서  0.45㎥    시간</t>
    <phoneticPr fontId="2" type="noConversion"/>
  </si>
  <si>
    <t>커터  콘크리트 및 아스팔트용    시간</t>
    <phoneticPr fontId="2" type="noConversion"/>
  </si>
  <si>
    <t>콘크리트펌프  80㎥/hr    시간</t>
    <phoneticPr fontId="2" type="noConversion"/>
  </si>
  <si>
    <t>80㎥/hr</t>
    <phoneticPr fontId="2" type="noConversion"/>
  </si>
  <si>
    <t>콘크리트진동기  45￠ 3.5HP    시간</t>
    <phoneticPr fontId="2" type="noConversion"/>
  </si>
  <si>
    <t>엔진식￠45(3.5HP)</t>
    <phoneticPr fontId="2" type="noConversion"/>
  </si>
  <si>
    <t>콘크리트진동기  45￠ 0.75kw    시간</t>
    <phoneticPr fontId="2" type="noConversion"/>
  </si>
  <si>
    <t>전기식￠45(0.75kw)</t>
    <phoneticPr fontId="2" type="noConversion"/>
  </si>
  <si>
    <t>슬래브콘크리트</t>
    <phoneticPr fontId="2" type="noConversion"/>
  </si>
  <si>
    <t>인버트</t>
    <phoneticPr fontId="2" type="noConversion"/>
  </si>
  <si>
    <t>받침고정콘크리트</t>
    <phoneticPr fontId="2" type="noConversion"/>
  </si>
  <si>
    <t>#467, T=20cm</t>
    <phoneticPr fontId="2" type="noConversion"/>
  </si>
  <si>
    <t>콘크리트</t>
    <phoneticPr fontId="2" type="noConversion"/>
  </si>
  <si>
    <t>시멘트</t>
    <phoneticPr fontId="2" type="noConversion"/>
  </si>
  <si>
    <t>대</t>
    <phoneticPr fontId="2" type="noConversion"/>
  </si>
  <si>
    <t>kg</t>
    <phoneticPr fontId="2" type="noConversion"/>
  </si>
  <si>
    <t>본</t>
    <phoneticPr fontId="2" type="noConversion"/>
  </si>
  <si>
    <t>2m</t>
    <phoneticPr fontId="2" type="noConversion"/>
  </si>
  <si>
    <t>2.5t</t>
    <phoneticPr fontId="2" type="noConversion"/>
  </si>
  <si>
    <t>진동롤러(자주식)</t>
    <phoneticPr fontId="2" type="noConversion"/>
  </si>
  <si>
    <t>커터</t>
    <phoneticPr fontId="2" type="noConversion"/>
  </si>
  <si>
    <t>톤/㎥</t>
    <phoneticPr fontId="2" type="noConversion"/>
  </si>
  <si>
    <t>Q =</t>
    <phoneticPr fontId="2" type="noConversion"/>
  </si>
  <si>
    <t>60 × q × F  × E</t>
    <phoneticPr fontId="2" type="noConversion"/>
  </si>
  <si>
    <t>Q=</t>
    <phoneticPr fontId="2" type="noConversion"/>
  </si>
  <si>
    <t>시간당 작업량  (㎥/hr)</t>
    <phoneticPr fontId="2" type="noConversion"/>
  </si>
  <si>
    <t>24톤</t>
    <phoneticPr fontId="2" type="noConversion"/>
  </si>
  <si>
    <t>자동덮개</t>
    <phoneticPr fontId="2" type="noConversion"/>
  </si>
  <si>
    <t>덤프+덮개</t>
    <phoneticPr fontId="2" type="noConversion"/>
  </si>
  <si>
    <t>(자동덮개포함)</t>
    <phoneticPr fontId="2" type="noConversion"/>
  </si>
  <si>
    <t>2105-0003</t>
  </si>
  <si>
    <t>2105-0005</t>
  </si>
  <si>
    <t>2111-0029</t>
  </si>
  <si>
    <t>0.29㎥</t>
  </si>
  <si>
    <t>크레인부수물(셔블)</t>
  </si>
  <si>
    <t>2111-0038</t>
  </si>
  <si>
    <t>2111-0057</t>
  </si>
  <si>
    <t>2111-0076</t>
  </si>
  <si>
    <t>2111-0115</t>
  </si>
  <si>
    <t>2111-0153</t>
  </si>
  <si>
    <t>2111-0191</t>
  </si>
  <si>
    <t>2111-0229</t>
  </si>
  <si>
    <t>2111-0268</t>
  </si>
  <si>
    <t>2112-0029</t>
  </si>
  <si>
    <t>크레인부수물</t>
  </si>
  <si>
    <t>2112-0038</t>
  </si>
  <si>
    <t>(백호)</t>
  </si>
  <si>
    <t>2112-0057</t>
  </si>
  <si>
    <t>2112-0076</t>
  </si>
  <si>
    <t>2112-0115</t>
  </si>
  <si>
    <t>2112-0153</t>
  </si>
  <si>
    <t>2112-0191</t>
  </si>
  <si>
    <t>2112-0229</t>
  </si>
  <si>
    <t>2112-0268</t>
  </si>
  <si>
    <t>2113-0029</t>
  </si>
  <si>
    <t>2113-0038</t>
  </si>
  <si>
    <t>(드래그라인)</t>
  </si>
  <si>
    <t>2113-0057</t>
  </si>
  <si>
    <t>8803-0045</t>
  </si>
  <si>
    <t>150mm×45˚</t>
  </si>
  <si>
    <t>8803-0060</t>
  </si>
  <si>
    <t>8803-0090</t>
  </si>
  <si>
    <t>8804-0031</t>
  </si>
  <si>
    <t>800HP</t>
  </si>
  <si>
    <t>하천골재채취선</t>
  </si>
  <si>
    <t>7991-0050</t>
  </si>
  <si>
    <t>3.73kw/h</t>
  </si>
  <si>
    <t>모르타르펌프</t>
  </si>
  <si>
    <t>7991-0100</t>
  </si>
  <si>
    <t>7.46kw/h</t>
  </si>
  <si>
    <t>7992-0001</t>
  </si>
  <si>
    <t>SET</t>
  </si>
  <si>
    <t>7993-0020</t>
  </si>
  <si>
    <t>2HP</t>
  </si>
  <si>
    <t>1.49kw/h</t>
  </si>
  <si>
    <t>7994-0050</t>
  </si>
  <si>
    <t>휘발유1</t>
  </si>
  <si>
    <t>7995-0050</t>
  </si>
  <si>
    <t>50mm-2.6mφ</t>
  </si>
  <si>
    <t>7996-0310</t>
  </si>
  <si>
    <t>0602-0200</t>
    <phoneticPr fontId="2" type="noConversion"/>
  </si>
  <si>
    <t>0602-0240</t>
    <phoneticPr fontId="2" type="noConversion"/>
  </si>
  <si>
    <t>내수1급</t>
  </si>
  <si>
    <t>▣ 거푸집</t>
  </si>
  <si>
    <t>철             선(보통)</t>
  </si>
  <si>
    <t>결     속     선(보통철선)</t>
  </si>
  <si>
    <t>박    리    제</t>
  </si>
  <si>
    <t>▣ 배관재</t>
  </si>
  <si>
    <t>PVC관</t>
  </si>
  <si>
    <t>PVC접착제</t>
  </si>
  <si>
    <t>▣ 도료(도장재)</t>
  </si>
  <si>
    <t>조합페인트(백색)</t>
  </si>
  <si>
    <t>면90% 上</t>
  </si>
  <si>
    <t>▣ 도로표지재</t>
  </si>
  <si>
    <t>도로표지용도료(백색)</t>
  </si>
  <si>
    <t>융착성도료(백색)</t>
  </si>
  <si>
    <t>2113-0076</t>
  </si>
  <si>
    <t>2113-0115</t>
  </si>
  <si>
    <t>2113-0153</t>
  </si>
  <si>
    <t>2113-0191</t>
  </si>
  <si>
    <t>2113-0229</t>
  </si>
  <si>
    <t>2113-0268</t>
  </si>
  <si>
    <t>2114-0029</t>
  </si>
  <si>
    <t>2114-0038</t>
  </si>
  <si>
    <t>(크램쉘)</t>
  </si>
  <si>
    <t>2114-0057</t>
  </si>
  <si>
    <t>2114-0076</t>
  </si>
  <si>
    <t>2114-0115</t>
  </si>
  <si>
    <t>2114-0153</t>
  </si>
  <si>
    <t>2114-0191</t>
  </si>
  <si>
    <t>2114-0229</t>
  </si>
  <si>
    <t>2114-0268</t>
  </si>
  <si>
    <t>2115-0024</t>
  </si>
  <si>
    <t>24m</t>
  </si>
  <si>
    <t>리더(고정형)</t>
  </si>
  <si>
    <t>2115-0031</t>
  </si>
  <si>
    <t>31</t>
  </si>
  <si>
    <t>2115-0036</t>
  </si>
  <si>
    <t>2116-0031</t>
  </si>
  <si>
    <t>31m</t>
  </si>
  <si>
    <t/>
  </si>
  <si>
    <t>리더(회전형)</t>
  </si>
  <si>
    <t>2116-0036</t>
  </si>
  <si>
    <t>2117-0022</t>
  </si>
  <si>
    <t>22m</t>
  </si>
  <si>
    <t>케이싱</t>
  </si>
  <si>
    <t>2117-0027</t>
  </si>
  <si>
    <t>2118-0010</t>
  </si>
  <si>
    <t>10㎥</t>
  </si>
  <si>
    <t>2119-0004</t>
  </si>
  <si>
    <t>400-1,000mm</t>
  </si>
  <si>
    <t>타워크레인</t>
  </si>
  <si>
    <t>2210-0145</t>
  </si>
  <si>
    <t>1톤×45m</t>
  </si>
  <si>
    <t>2330-0005</t>
  </si>
  <si>
    <t>5톤</t>
  </si>
  <si>
    <t>디젤기관차</t>
  </si>
  <si>
    <t>2330-0007</t>
  </si>
  <si>
    <t>2402-0001</t>
  </si>
  <si>
    <t>1,000kg</t>
  </si>
  <si>
    <t>2502-0020</t>
  </si>
  <si>
    <t>지게차</t>
  </si>
  <si>
    <t>2502-0025</t>
  </si>
  <si>
    <t>2502-0035</t>
  </si>
  <si>
    <t>2502-0050</t>
  </si>
  <si>
    <t>2502-0075</t>
  </si>
  <si>
    <t>7.5</t>
  </si>
  <si>
    <t>2602-0015</t>
  </si>
  <si>
    <t>트랙터(타이어)</t>
  </si>
  <si>
    <t>2602-0025</t>
  </si>
  <si>
    <t>2602-0035</t>
  </si>
  <si>
    <t>2602-0045</t>
  </si>
  <si>
    <t>2702-0020</t>
  </si>
  <si>
    <t>20톤</t>
  </si>
  <si>
    <t>2702-0030</t>
  </si>
  <si>
    <t>2702-0040</t>
  </si>
  <si>
    <t>2702-0060</t>
  </si>
  <si>
    <t>3108-0040</t>
  </si>
  <si>
    <t>40톤(80KW)</t>
  </si>
  <si>
    <t>중유487.2</t>
  </si>
  <si>
    <t>아스팔트믹싱플랜트</t>
  </si>
  <si>
    <t>3108-0060</t>
  </si>
  <si>
    <t xml:space="preserve"> 〃 614.7</t>
  </si>
  <si>
    <t>3108-0080</t>
  </si>
  <si>
    <t xml:space="preserve"> 〃 678.4</t>
  </si>
  <si>
    <t>3108-0100</t>
  </si>
  <si>
    <t xml:space="preserve"> 〃 746.7</t>
  </si>
  <si>
    <t>5113-0009</t>
  </si>
  <si>
    <t>5113-0010</t>
  </si>
  <si>
    <t>5113-0011</t>
  </si>
  <si>
    <t>CCTV적재차</t>
    <phoneticPr fontId="2" type="noConversion"/>
  </si>
  <si>
    <t>0502-0036</t>
  </si>
  <si>
    <t>0503-0036</t>
  </si>
  <si>
    <t>0602</t>
  </si>
  <si>
    <t>0602-0025</t>
  </si>
  <si>
    <t>2.5톤</t>
  </si>
  <si>
    <t>덤프트럭</t>
  </si>
  <si>
    <t>0407-0161</t>
  </si>
  <si>
    <t>16.1㎥</t>
  </si>
  <si>
    <t>0407-0206</t>
  </si>
  <si>
    <t>이음몰탈</t>
    <phoneticPr fontId="2" type="noConversion"/>
  </si>
  <si>
    <t>합판거푸집</t>
    <phoneticPr fontId="2" type="noConversion"/>
  </si>
  <si>
    <t>1:3</t>
    <phoneticPr fontId="2" type="noConversion"/>
  </si>
  <si>
    <t>인력비빔</t>
    <phoneticPr fontId="2" type="noConversion"/>
  </si>
  <si>
    <t>7430-2300</t>
  </si>
  <si>
    <t>7430-2500</t>
  </si>
  <si>
    <t>7431-1100</t>
  </si>
  <si>
    <t>1톤(30HP)</t>
  </si>
  <si>
    <t>윈치(자동식)</t>
  </si>
  <si>
    <t>7431-1300</t>
  </si>
  <si>
    <t>7431-2300</t>
  </si>
  <si>
    <t>7431-2500</t>
  </si>
  <si>
    <t>7505-0025</t>
  </si>
  <si>
    <t>25KW</t>
  </si>
  <si>
    <t>발전기</t>
  </si>
  <si>
    <t>7505-0050</t>
  </si>
  <si>
    <t>7505-0100</t>
  </si>
  <si>
    <t>7505-0125</t>
  </si>
  <si>
    <t>7505-0150</t>
  </si>
  <si>
    <t>노무비의51.5%</t>
    <phoneticPr fontId="2" type="noConversion"/>
  </si>
  <si>
    <t>몰탈(용적비)</t>
    <phoneticPr fontId="2" type="noConversion"/>
  </si>
  <si>
    <t>원심력측구수로관설치  유개, D=300mm  m</t>
    <phoneticPr fontId="2" type="noConversion"/>
  </si>
  <si>
    <t>원심력수로관(별도)</t>
    <phoneticPr fontId="2" type="noConversion"/>
  </si>
  <si>
    <t>원심력측구수로관설치  유개, D=450mm  m</t>
    <phoneticPr fontId="2" type="noConversion"/>
  </si>
  <si>
    <t>하수관기초(부순돌)  0.15×1.3m,D=600mm  m</t>
    <phoneticPr fontId="2" type="noConversion"/>
  </si>
  <si>
    <t>하수관기초(부순돌)  0.25×2.2m,D=1200mm  m</t>
    <phoneticPr fontId="2" type="noConversion"/>
  </si>
  <si>
    <t>하수관기초(부순돌)  0.3×2.45m,D=1500mm  m</t>
    <phoneticPr fontId="2" type="noConversion"/>
  </si>
  <si>
    <t>하수관천공 및 접합 본관450,연결관150  개소</t>
    <phoneticPr fontId="2" type="noConversion"/>
  </si>
  <si>
    <t>하수관천공 및 접합 본관450,연결관250  개소</t>
    <phoneticPr fontId="2" type="noConversion"/>
  </si>
  <si>
    <t>공    종</t>
    <phoneticPr fontId="2" type="noConversion"/>
  </si>
  <si>
    <t>규    격</t>
    <phoneticPr fontId="2" type="noConversion"/>
  </si>
  <si>
    <t>재 료 비</t>
    <phoneticPr fontId="2" type="noConversion"/>
  </si>
  <si>
    <t>노 무 비</t>
    <phoneticPr fontId="2" type="noConversion"/>
  </si>
  <si>
    <t>경    비</t>
    <phoneticPr fontId="2" type="noConversion"/>
  </si>
  <si>
    <t>합    계</t>
    <phoneticPr fontId="2" type="noConversion"/>
  </si>
  <si>
    <t>단  가</t>
    <phoneticPr fontId="2" type="noConversion"/>
  </si>
  <si>
    <t>덤프트럭   20톤          시간</t>
    <phoneticPr fontId="2" type="noConversion"/>
  </si>
  <si>
    <t>덤프트럭   24톤           시간</t>
    <phoneticPr fontId="2" type="noConversion"/>
  </si>
  <si>
    <t>운반(기계,Con'c) - L=53.6km</t>
    <phoneticPr fontId="2" type="noConversion"/>
  </si>
  <si>
    <t>가. 운반비</t>
    <phoneticPr fontId="2" type="noConversion"/>
  </si>
  <si>
    <t>○ 영등포(레일도), L=20km이내, 10ton(구역화물 운임 적용)</t>
    <phoneticPr fontId="2" type="noConversion"/>
  </si>
  <si>
    <t>품   명</t>
    <phoneticPr fontId="2" type="noConversion"/>
  </si>
  <si>
    <t>규   격</t>
    <phoneticPr fontId="2" type="noConversion"/>
  </si>
  <si>
    <t>구역화물
운임</t>
    <phoneticPr fontId="2" type="noConversion"/>
  </si>
  <si>
    <t>적재량</t>
    <phoneticPr fontId="2" type="noConversion"/>
  </si>
  <si>
    <t>경 비</t>
    <phoneticPr fontId="2" type="noConversion"/>
  </si>
  <si>
    <t>상하차</t>
    <phoneticPr fontId="2" type="noConversion"/>
  </si>
  <si>
    <t>합 계</t>
    <phoneticPr fontId="2" type="noConversion"/>
  </si>
  <si>
    <t>- 적 재 량 :</t>
    <phoneticPr fontId="2" type="noConversion"/>
  </si>
  <si>
    <t>KG   =</t>
    <phoneticPr fontId="2" type="noConversion"/>
  </si>
  <si>
    <t>산출근거</t>
    <phoneticPr fontId="2" type="noConversion"/>
  </si>
  <si>
    <t>kg당</t>
    <phoneticPr fontId="2" type="noConversion"/>
  </si>
  <si>
    <t>도로경계블록</t>
    <phoneticPr fontId="2" type="noConversion"/>
  </si>
  <si>
    <t>150×150×1000</t>
    <phoneticPr fontId="2" type="noConversion"/>
  </si>
  <si>
    <t>대/차</t>
    <phoneticPr fontId="2" type="noConversion"/>
  </si>
  <si>
    <t>- 구역화물 거리별 운송요금</t>
    <phoneticPr fontId="2" type="noConversion"/>
  </si>
  <si>
    <t>운반비(경비)</t>
    <phoneticPr fontId="2" type="noConversion"/>
  </si>
  <si>
    <t>÷1.1÷10=</t>
    <phoneticPr fontId="2" type="noConversion"/>
  </si>
  <si>
    <t>÷1000=</t>
    <phoneticPr fontId="2" type="noConversion"/>
  </si>
  <si>
    <t>보차도경계블록</t>
    <phoneticPr fontId="2" type="noConversion"/>
  </si>
  <si>
    <t>거   리</t>
    <phoneticPr fontId="2" type="noConversion"/>
  </si>
  <si>
    <t>운     임</t>
    <phoneticPr fontId="2" type="noConversion"/>
  </si>
  <si>
    <t>산   식</t>
    <phoneticPr fontId="2" type="noConversion"/>
  </si>
  <si>
    <t>횟수</t>
    <phoneticPr fontId="2" type="noConversion"/>
  </si>
  <si>
    <t>자동차구분</t>
    <phoneticPr fontId="2" type="noConversion"/>
  </si>
  <si>
    <t>원/대</t>
    <phoneticPr fontId="2" type="noConversion"/>
  </si>
  <si>
    <t>소형고압블럭</t>
    <phoneticPr fontId="2" type="noConversion"/>
  </si>
  <si>
    <t>적용단가</t>
  </si>
  <si>
    <t>page</t>
  </si>
  <si>
    <t>단가</t>
  </si>
  <si>
    <t>보통</t>
  </si>
  <si>
    <t>ℓ</t>
  </si>
  <si>
    <t>저유황</t>
  </si>
  <si>
    <t>실내용</t>
  </si>
  <si>
    <t>원</t>
  </si>
  <si>
    <t>모래</t>
  </si>
  <si>
    <t>자갈</t>
  </si>
  <si>
    <t>운반(기계,Con'c잔재)</t>
    <phoneticPr fontId="2" type="noConversion"/>
  </si>
  <si>
    <t>운반(인력,Con'c 잔재)</t>
  </si>
  <si>
    <t>윈치(수동식)</t>
  </si>
  <si>
    <t>7430-1300</t>
  </si>
  <si>
    <t>합계</t>
    <phoneticPr fontId="2" type="noConversion"/>
  </si>
  <si>
    <t>5118-0001</t>
  </si>
  <si>
    <t>7.65㎥(10cy)10HP</t>
  </si>
  <si>
    <t>아그리게이트빈</t>
  </si>
  <si>
    <t>5118-0002</t>
  </si>
  <si>
    <t>5118-0003</t>
  </si>
  <si>
    <t>5118-0004</t>
  </si>
  <si>
    <t>5118-0005</t>
  </si>
  <si>
    <t>5118-0006</t>
  </si>
  <si>
    <t>5118-0007</t>
  </si>
  <si>
    <t>5119-0625</t>
  </si>
  <si>
    <t>15kw(62.5m3/hr)</t>
  </si>
  <si>
    <t xml:space="preserve">  〃  3.9</t>
  </si>
  <si>
    <t>4205-0045</t>
  </si>
  <si>
    <t>4304-0060</t>
  </si>
  <si>
    <t>6.03㎥</t>
  </si>
  <si>
    <t>콘크리트믹서트럭</t>
  </si>
  <si>
    <t>4304-0061</t>
  </si>
  <si>
    <t>6.0(L)</t>
  </si>
  <si>
    <t>4430-0400</t>
  </si>
  <si>
    <t>320-440mm</t>
  </si>
  <si>
    <t>휘발유5.6</t>
  </si>
  <si>
    <t>5112-0003</t>
  </si>
  <si>
    <t>5112-0004</t>
  </si>
  <si>
    <t>구벽체거푸집 PE거푸집(150cm)  조</t>
    <phoneticPr fontId="2" type="noConversion"/>
  </si>
  <si>
    <t>Ø600 10회×2개</t>
    <phoneticPr fontId="2" type="noConversion"/>
  </si>
  <si>
    <t>기초슬래브거푸집 PE거푸집(150cm)  조</t>
    <phoneticPr fontId="2" type="noConversion"/>
  </si>
  <si>
    <t>구벽체거푸집 PE거푸집(90cm)  조</t>
    <phoneticPr fontId="2" type="noConversion"/>
  </si>
  <si>
    <t>잡석(부순돌) #467,T=20cm  ㎥</t>
    <phoneticPr fontId="2" type="noConversion"/>
  </si>
  <si>
    <t>현장촬영  1일    일</t>
    <phoneticPr fontId="2" type="noConversion"/>
  </si>
  <si>
    <t>CCTV카메라</t>
    <phoneticPr fontId="2" type="noConversion"/>
  </si>
  <si>
    <t>9인승</t>
    <phoneticPr fontId="2" type="noConversion"/>
  </si>
  <si>
    <t>보고서작성  1일   일</t>
    <phoneticPr fontId="2" type="noConversion"/>
  </si>
  <si>
    <t>스텐관부설  25mm   m</t>
    <phoneticPr fontId="2" type="noConversion"/>
  </si>
  <si>
    <t>4108-0120</t>
  </si>
  <si>
    <t>4108-0150</t>
  </si>
  <si>
    <t>6408-0100</t>
  </si>
  <si>
    <t>6409-0001</t>
  </si>
  <si>
    <t>JSP</t>
  </si>
  <si>
    <t>보링기계(JSP용)</t>
  </si>
  <si>
    <t>6409-0002</t>
  </si>
  <si>
    <t>굴착용(4.2톤)</t>
  </si>
  <si>
    <t>6410-0080</t>
  </si>
  <si>
    <t>80HP</t>
  </si>
  <si>
    <t>오거</t>
  </si>
  <si>
    <t>6410-0100</t>
  </si>
  <si>
    <t>6410-0120</t>
  </si>
  <si>
    <t>6410-0150</t>
  </si>
  <si>
    <t>6410-0200</t>
  </si>
  <si>
    <t>6510-0150</t>
  </si>
  <si>
    <t>1,500mm</t>
  </si>
  <si>
    <t>6515-0090</t>
  </si>
  <si>
    <t>90HP</t>
  </si>
  <si>
    <t>6517-0150</t>
  </si>
  <si>
    <t>6519-0150</t>
  </si>
  <si>
    <t>1,000-1,500mm</t>
  </si>
  <si>
    <t>6530-0030</t>
  </si>
  <si>
    <t>30KW</t>
  </si>
  <si>
    <t>진동파일해머</t>
  </si>
  <si>
    <t>6530-0040</t>
  </si>
  <si>
    <t>6530-0045</t>
  </si>
  <si>
    <t>6530-0060</t>
  </si>
  <si>
    <t>6530-0090</t>
  </si>
  <si>
    <t>6530-0120</t>
  </si>
  <si>
    <t>6532-0220</t>
  </si>
  <si>
    <t>t₂=</t>
    <phoneticPr fontId="2" type="noConversion"/>
  </si>
  <si>
    <t>(</t>
    <phoneticPr fontId="2" type="noConversion"/>
  </si>
  <si>
    <t>)</t>
    <phoneticPr fontId="2" type="noConversion"/>
  </si>
  <si>
    <t>t₃=</t>
    <phoneticPr fontId="2" type="noConversion"/>
  </si>
  <si>
    <t>t₄=</t>
    <phoneticPr fontId="2" type="noConversion"/>
  </si>
  <si>
    <t>1209-0007</t>
  </si>
  <si>
    <t>1209-0008</t>
  </si>
  <si>
    <t>1209-0013</t>
  </si>
  <si>
    <t>1305-0007</t>
  </si>
  <si>
    <t>0.7톤</t>
  </si>
  <si>
    <t>1306-0025</t>
  </si>
  <si>
    <t>(플레이트 콤펙터(m³/hr))</t>
  </si>
  <si>
    <t>1306-0044</t>
  </si>
  <si>
    <t>1306-0060</t>
  </si>
  <si>
    <t>1306-0100</t>
  </si>
  <si>
    <t>1307-0001</t>
  </si>
  <si>
    <t>25</t>
  </si>
  <si>
    <t>2101-0030</t>
  </si>
  <si>
    <t>2101-0035</t>
  </si>
  <si>
    <t>35</t>
  </si>
  <si>
    <t>2101-0040</t>
  </si>
  <si>
    <t>40</t>
  </si>
  <si>
    <t>2101-0050</t>
  </si>
  <si>
    <t>50</t>
  </si>
  <si>
    <t>2101-0070</t>
  </si>
  <si>
    <t>70</t>
  </si>
  <si>
    <t>2101-0080</t>
  </si>
  <si>
    <t>80</t>
  </si>
  <si>
    <t>2101-0100</t>
  </si>
  <si>
    <t>2101-0150</t>
  </si>
  <si>
    <t>2104-0010</t>
  </si>
  <si>
    <t>2104-0015</t>
  </si>
  <si>
    <t>2104-0020</t>
  </si>
  <si>
    <t>2104-0025</t>
  </si>
  <si>
    <t>2104-0030</t>
  </si>
  <si>
    <t>÷1.1 ÷200</t>
    <phoneticPr fontId="2" type="noConversion"/>
  </si>
  <si>
    <t>일    위    대    가    표</t>
    <phoneticPr fontId="2" type="noConversion"/>
  </si>
  <si>
    <t>50.8×91.44(20×36)140</t>
  </si>
  <si>
    <t>63.5×101.6(25×40)150</t>
  </si>
  <si>
    <t>76.2×106.68(30×42)190</t>
  </si>
  <si>
    <t>106.68×121.9(42×48)310</t>
  </si>
  <si>
    <t>40.64cm×40.64cm(16˝×16˝)60HP</t>
  </si>
  <si>
    <t>60.96×40.64(24×16)75</t>
  </si>
  <si>
    <t>76.2×45.72(30×18)150</t>
  </si>
  <si>
    <t>76.2×63.5(30×25)175</t>
  </si>
  <si>
    <t>76.2×76.2(30×30)300</t>
  </si>
  <si>
    <t>101.6×66.04(40×28)200</t>
  </si>
  <si>
    <t>104.14×76.2(41×30)300</t>
  </si>
  <si>
    <t>139.7×76.2(55×30)325</t>
  </si>
  <si>
    <t>60.96cm(2ft)22kw(30HP)</t>
  </si>
  <si>
    <t>91.44(3)40.5(55)</t>
  </si>
  <si>
    <t>121.92(4)55(75)</t>
  </si>
  <si>
    <t>125.94cm(4.25ft)70kw(95HP)</t>
  </si>
  <si>
    <t>91.44cm×243.84cm(3ft×8ft)7.5HP</t>
  </si>
  <si>
    <t>91.44×304.8(3×10)7.5</t>
  </si>
  <si>
    <t>121.91×243.84(4×8)10</t>
  </si>
  <si>
    <t>121.91×304.8(4×10)10</t>
  </si>
  <si>
    <t>잡석(부순돌)</t>
    <phoneticPr fontId="2" type="noConversion"/>
  </si>
  <si>
    <t>현장가공 및 조립</t>
    <phoneticPr fontId="2" type="noConversion"/>
  </si>
  <si>
    <t>맨홀설치(원형)2호P.E (내경120cm)-벽체1m 개소</t>
    <phoneticPr fontId="2" type="noConversion"/>
  </si>
  <si>
    <t>PE거푸집(120cm)</t>
    <phoneticPr fontId="2" type="noConversion"/>
  </si>
  <si>
    <t>맨홀설치(원형)3호P.E (내경150cm)-벽체1m 개소</t>
    <phoneticPr fontId="2" type="noConversion"/>
  </si>
  <si>
    <t>PE거푸집(150cm)</t>
    <phoneticPr fontId="2" type="noConversion"/>
  </si>
  <si>
    <t>맨홀설치(원형)1호 (내경90cm)-벽체1m 개소</t>
    <phoneticPr fontId="2" type="noConversion"/>
  </si>
  <si>
    <t>원형3회</t>
    <phoneticPr fontId="2" type="noConversion"/>
  </si>
  <si>
    <t>기초거푸집(소형)</t>
    <phoneticPr fontId="2" type="noConversion"/>
  </si>
  <si>
    <t>6회사용,10㎥미만</t>
    <phoneticPr fontId="2" type="noConversion"/>
  </si>
  <si>
    <t>3회사용,소형</t>
    <phoneticPr fontId="2" type="noConversion"/>
  </si>
  <si>
    <t>맨홀설치(원형)2호 (내경120cm)-벽체1m 개소</t>
    <phoneticPr fontId="2" type="noConversion"/>
  </si>
  <si>
    <t>맨홀설치(원형)3호 (내경150cm)-벽체1m 개소</t>
    <phoneticPr fontId="2" type="noConversion"/>
  </si>
  <si>
    <t>빗물받이설치 500×395×50mm 개소</t>
    <phoneticPr fontId="2" type="noConversion"/>
  </si>
  <si>
    <t>기초콘크리트(인력)</t>
    <phoneticPr fontId="2" type="noConversion"/>
  </si>
  <si>
    <t>구체콘크리트(인력)</t>
    <phoneticPr fontId="2" type="noConversion"/>
  </si>
  <si>
    <t>4회(소형)</t>
    <phoneticPr fontId="2" type="noConversion"/>
  </si>
  <si>
    <t>6회(소형)</t>
    <phoneticPr fontId="2" type="noConversion"/>
  </si>
  <si>
    <t>빗물받이설치 1010×410×55mm 개소</t>
    <phoneticPr fontId="2" type="noConversion"/>
  </si>
  <si>
    <t>빗물받이설치(1면공제) 1010×410×55mm 개소</t>
    <phoneticPr fontId="2" type="noConversion"/>
  </si>
  <si>
    <t>횡단하수거설치 H=40cm,B=30cm m</t>
    <phoneticPr fontId="2" type="noConversion"/>
  </si>
  <si>
    <t>1일</t>
    <phoneticPr fontId="2" type="noConversion"/>
  </si>
  <si>
    <t>보고서 작성</t>
    <phoneticPr fontId="2" type="noConversion"/>
  </si>
  <si>
    <t>P.P포대제작설치,헐기  물막이용  ㎥</t>
    <phoneticPr fontId="2" type="noConversion"/>
  </si>
  <si>
    <t>P.P포대 만들기</t>
    <phoneticPr fontId="2" type="noConversion"/>
  </si>
  <si>
    <t>P.P포대 쌓기</t>
    <phoneticPr fontId="2" type="noConversion"/>
  </si>
  <si>
    <t>P.P포대 헐기</t>
    <phoneticPr fontId="2" type="noConversion"/>
  </si>
  <si>
    <t>실명제표지판 15×10cm(스테인레스) 개</t>
    <phoneticPr fontId="2" type="noConversion"/>
  </si>
  <si>
    <t>스테판2종</t>
    <phoneticPr fontId="2" type="noConversion"/>
  </si>
  <si>
    <t>15×10cm 2도(0.4mm)</t>
    <phoneticPr fontId="2" type="noConversion"/>
  </si>
  <si>
    <t>실명제표지판 15×10cm(알루마이트) 개</t>
    <phoneticPr fontId="2" type="noConversion"/>
  </si>
  <si>
    <t>가정급수관이설 25mm기준 개소</t>
    <phoneticPr fontId="2" type="noConversion"/>
  </si>
  <si>
    <t>가정급수관이설 50mm기준 개소</t>
    <phoneticPr fontId="2" type="noConversion"/>
  </si>
  <si>
    <t>구벽체거푸집 PE거푸집(120cm)  조</t>
    <phoneticPr fontId="2" type="noConversion"/>
  </si>
  <si>
    <t>PE벽체거푸집</t>
    <phoneticPr fontId="2" type="noConversion"/>
  </si>
  <si>
    <t>Ø450 10회×2개</t>
    <phoneticPr fontId="2" type="noConversion"/>
  </si>
  <si>
    <t>기초슬래브거푸집 PE거푸집(120cm)  조</t>
    <phoneticPr fontId="2" type="noConversion"/>
  </si>
  <si>
    <t>PE기초거푸집</t>
    <phoneticPr fontId="2" type="noConversion"/>
  </si>
  <si>
    <t>10회사용</t>
    <phoneticPr fontId="2" type="noConversion"/>
  </si>
  <si>
    <t>PE슬래브거푸집</t>
    <phoneticPr fontId="2" type="noConversion"/>
  </si>
  <si>
    <t>기초슬래브거푸집 PE거푸집(90cm)  조</t>
    <phoneticPr fontId="2" type="noConversion"/>
  </si>
  <si>
    <t>ㆍ 창고, 자동차간 평균거리    L  =</t>
    <phoneticPr fontId="2" type="noConversion"/>
  </si>
  <si>
    <t>39개/㎡</t>
    <phoneticPr fontId="2" type="noConversion"/>
  </si>
  <si>
    <t>○ 소형고압브럭 상,하차비</t>
    <phoneticPr fontId="2" type="noConversion"/>
  </si>
  <si>
    <t xml:space="preserve">           Q = 60 * 61 * 2 /96 = 72.6 m2 / hr</t>
    <phoneticPr fontId="2" type="noConversion"/>
  </si>
  <si>
    <t>- 하차 : 5ton 리프트 트럭(트럭탑제형)</t>
    <phoneticPr fontId="2" type="noConversion"/>
  </si>
  <si>
    <t xml:space="preserve">상하차비(기계경비 / 작업량) = </t>
    <phoneticPr fontId="2" type="noConversion"/>
  </si>
  <si>
    <t>탠덤롤러</t>
    <phoneticPr fontId="2" type="noConversion"/>
  </si>
  <si>
    <t>진동롤러</t>
    <phoneticPr fontId="2" type="noConversion"/>
  </si>
  <si>
    <t>타이어롤러</t>
    <phoneticPr fontId="2" type="noConversion"/>
  </si>
  <si>
    <t>건설용펌프(자흡식)</t>
    <phoneticPr fontId="2" type="noConversion"/>
  </si>
  <si>
    <t>진동파일해머</t>
    <phoneticPr fontId="2" type="noConversion"/>
  </si>
  <si>
    <t>30kw</t>
    <phoneticPr fontId="2" type="noConversion"/>
  </si>
  <si>
    <t>100mm 5HP</t>
    <phoneticPr fontId="2" type="noConversion"/>
  </si>
  <si>
    <t>7HP</t>
    <phoneticPr fontId="2" type="noConversion"/>
  </si>
  <si>
    <t>1톤</t>
    <phoneticPr fontId="2" type="noConversion"/>
  </si>
  <si>
    <t>콘크리트펌프</t>
    <phoneticPr fontId="2" type="noConversion"/>
  </si>
  <si>
    <t>표층청소비</t>
    <phoneticPr fontId="2" type="noConversion"/>
  </si>
  <si>
    <t>타이어로울러</t>
    <phoneticPr fontId="2" type="noConversion"/>
  </si>
  <si>
    <t>1.6톤</t>
    <phoneticPr fontId="2" type="noConversion"/>
  </si>
  <si>
    <t>3201-0003</t>
  </si>
  <si>
    <t>3m</t>
  </si>
  <si>
    <t>3302-0030</t>
  </si>
  <si>
    <t>3302-0038</t>
  </si>
  <si>
    <t>3302-0047</t>
  </si>
  <si>
    <t>3302-0057</t>
  </si>
  <si>
    <t>3430-0300</t>
  </si>
  <si>
    <t>300ℓ</t>
  </si>
  <si>
    <t>휘발유0.8</t>
  </si>
  <si>
    <t>아스팔트스프레이어</t>
  </si>
  <si>
    <t>3430-0400</t>
  </si>
  <si>
    <t xml:space="preserve">  〃  1.2</t>
  </si>
  <si>
    <t>3450-0642</t>
  </si>
  <si>
    <t>642HP</t>
  </si>
  <si>
    <t>3530-0015</t>
  </si>
  <si>
    <t>1.5m(5)</t>
  </si>
  <si>
    <t>3530-0036</t>
  </si>
  <si>
    <t>3601-0102</t>
  </si>
  <si>
    <t>100HP</t>
  </si>
  <si>
    <t>3601-0202</t>
  </si>
  <si>
    <t>(포장용)</t>
  </si>
  <si>
    <t>3601-0204</t>
  </si>
  <si>
    <t>3601-0402</t>
  </si>
  <si>
    <t>3611-0142</t>
  </si>
  <si>
    <t>142HP</t>
  </si>
  <si>
    <t>3701-0200</t>
  </si>
  <si>
    <t>7.95m</t>
  </si>
  <si>
    <t>3901-0030</t>
  </si>
  <si>
    <t>3.0-3.8m</t>
  </si>
  <si>
    <t>4108-0060</t>
  </si>
  <si>
    <t>5117-0003</t>
  </si>
  <si>
    <t>5117-0004</t>
  </si>
  <si>
    <t>5117-0005</t>
  </si>
  <si>
    <t>5117-0006</t>
  </si>
  <si>
    <t>5117-0007</t>
  </si>
  <si>
    <t>5117-0008</t>
  </si>
  <si>
    <t>Ø300</t>
    <phoneticPr fontId="2" type="noConversion"/>
  </si>
  <si>
    <t>캇타기</t>
    <phoneticPr fontId="2" type="noConversion"/>
  </si>
  <si>
    <t>(단위 : 원)</t>
    <phoneticPr fontId="2" type="noConversion"/>
  </si>
  <si>
    <t>0230-0007</t>
  </si>
  <si>
    <t>-</t>
    <phoneticPr fontId="2" type="noConversion"/>
  </si>
  <si>
    <t>7103-0010</t>
  </si>
  <si>
    <t>수동식</t>
  </si>
  <si>
    <t>7104-0010</t>
  </si>
  <si>
    <t>7106-0035</t>
  </si>
  <si>
    <t>3.5m</t>
  </si>
  <si>
    <t>적    용    기    준</t>
    <phoneticPr fontId="2" type="noConversion"/>
  </si>
  <si>
    <t>2402-0001</t>
    <phoneticPr fontId="2" type="noConversion"/>
  </si>
  <si>
    <t>2602-0035</t>
    <phoneticPr fontId="2" type="noConversion"/>
  </si>
  <si>
    <t>2702-0020</t>
    <phoneticPr fontId="2" type="noConversion"/>
  </si>
  <si>
    <t>2702-0030</t>
    <phoneticPr fontId="2" type="noConversion"/>
  </si>
  <si>
    <t>2702-0040</t>
    <phoneticPr fontId="2" type="noConversion"/>
  </si>
  <si>
    <t>2702-0060</t>
    <phoneticPr fontId="2" type="noConversion"/>
  </si>
  <si>
    <t>규격:7HP</t>
    <phoneticPr fontId="2" type="noConversion"/>
  </si>
  <si>
    <t>1.84cm</t>
    <phoneticPr fontId="2" type="noConversion"/>
  </si>
  <si>
    <t>8801-0019</t>
    <phoneticPr fontId="2" type="noConversion"/>
  </si>
  <si>
    <t>0.6m³</t>
    <phoneticPr fontId="2" type="noConversion"/>
  </si>
  <si>
    <t>1.0m</t>
    <phoneticPr fontId="2" type="noConversion"/>
  </si>
  <si>
    <t>(노면파쇄기(m³/hr))</t>
    <phoneticPr fontId="2" type="noConversion"/>
  </si>
  <si>
    <t>Q = W * V * t * E</t>
    <phoneticPr fontId="2" type="noConversion"/>
  </si>
  <si>
    <t>W</t>
    <phoneticPr fontId="2" type="noConversion"/>
  </si>
  <si>
    <t>기계의 절삭폭(1.0m)</t>
    <phoneticPr fontId="2" type="noConversion"/>
  </si>
  <si>
    <t>V</t>
    <phoneticPr fontId="2" type="noConversion"/>
  </si>
  <si>
    <t>작업속도(60M/hr)</t>
    <phoneticPr fontId="2" type="noConversion"/>
  </si>
  <si>
    <t>t</t>
    <phoneticPr fontId="2" type="noConversion"/>
  </si>
  <si>
    <t>절삭깊이(5cm)</t>
    <phoneticPr fontId="2" type="noConversion"/>
  </si>
  <si>
    <t>작업 효율</t>
    <phoneticPr fontId="2" type="noConversion"/>
  </si>
  <si>
    <t>(노면 파쇄기(m³/hr))</t>
    <phoneticPr fontId="2" type="noConversion"/>
  </si>
  <si>
    <t>아스팔트 포장절단</t>
    <phoneticPr fontId="2" type="noConversion"/>
  </si>
  <si>
    <t>320-400mm</t>
    <phoneticPr fontId="2" type="noConversion"/>
  </si>
  <si>
    <t>(커터(콭크리트 및 아스팔트용)(m³/hr))</t>
    <phoneticPr fontId="2" type="noConversion"/>
  </si>
  <si>
    <t>Q = q</t>
    <phoneticPr fontId="2" type="noConversion"/>
  </si>
  <si>
    <t>Q값</t>
    <phoneticPr fontId="2" type="noConversion"/>
  </si>
  <si>
    <t>플레이트콤펙타</t>
    <phoneticPr fontId="2" type="noConversion"/>
  </si>
  <si>
    <t>1.5Ton</t>
    <phoneticPr fontId="2" type="noConversion"/>
  </si>
  <si>
    <t>(플레이트 콤펙터(m³/hr))</t>
    <phoneticPr fontId="2" type="noConversion"/>
  </si>
  <si>
    <t>평삭잔재청소(2m평삭)</t>
    <phoneticPr fontId="2" type="noConversion"/>
  </si>
  <si>
    <t>로더(미세입자흡입)</t>
    <phoneticPr fontId="2" type="noConversion"/>
  </si>
  <si>
    <t>0.42m³</t>
    <phoneticPr fontId="2" type="noConversion"/>
  </si>
  <si>
    <t>(로더)</t>
    <phoneticPr fontId="2" type="noConversion"/>
  </si>
  <si>
    <t>버킷계수</t>
    <phoneticPr fontId="2" type="noConversion"/>
  </si>
  <si>
    <t>계수(초/m)</t>
    <phoneticPr fontId="2" type="noConversion"/>
  </si>
  <si>
    <t>l</t>
    <phoneticPr fontId="2" type="noConversion"/>
  </si>
  <si>
    <t>편도주행거리(표준을 8m호 한다)</t>
    <phoneticPr fontId="2" type="noConversion"/>
  </si>
  <si>
    <t>t1</t>
    <phoneticPr fontId="2" type="noConversion"/>
  </si>
  <si>
    <t>바케트에 토량 담는데 소요되는 시간(초)</t>
    <phoneticPr fontId="2" type="noConversion"/>
  </si>
  <si>
    <t>t2</t>
    <phoneticPr fontId="2" type="noConversion"/>
  </si>
  <si>
    <t>기본 시간과 다음 운반기계가 도착될 때까지 시간(14초)(초)</t>
    <phoneticPr fontId="2" type="noConversion"/>
  </si>
  <si>
    <t>0+0=</t>
    <phoneticPr fontId="2" type="noConversion"/>
  </si>
  <si>
    <t>평삭잔재청소(1m평삭)</t>
    <phoneticPr fontId="2" type="noConversion"/>
  </si>
  <si>
    <t>미니로더(미세입자흡입)</t>
    <phoneticPr fontId="2" type="noConversion"/>
  </si>
  <si>
    <t>폐기물상차</t>
    <phoneticPr fontId="2" type="noConversion"/>
  </si>
  <si>
    <t>다짐(콤펙타)</t>
    <phoneticPr fontId="2" type="noConversion"/>
  </si>
  <si>
    <t>플레이트콤펙타(다짐)</t>
    <phoneticPr fontId="2" type="noConversion"/>
  </si>
  <si>
    <t>5회(a당)</t>
    <phoneticPr fontId="2" type="noConversion"/>
  </si>
  <si>
    <t>Q = 1000 * v * w * e * d * f / n</t>
    <phoneticPr fontId="2" type="noConversion"/>
  </si>
  <si>
    <t>D</t>
    <phoneticPr fontId="2" type="noConversion"/>
  </si>
  <si>
    <t>F</t>
    <phoneticPr fontId="2" type="noConversion"/>
  </si>
  <si>
    <t>습지굴삭기(무한궤도)</t>
  </si>
  <si>
    <t>대형브레이커용치즐</t>
  </si>
  <si>
    <t>0240유압식진동콤팩터(굴삭기부착용)</t>
  </si>
  <si>
    <t>0250압쇄기(펄버라이저)</t>
  </si>
  <si>
    <t>0260트랜처</t>
  </si>
  <si>
    <t>1630래머</t>
  </si>
  <si>
    <t>1730플레이트콤펙터</t>
  </si>
  <si>
    <t>2118스킵버킷</t>
  </si>
  <si>
    <t>2119크램쉘(연속)</t>
  </si>
  <si>
    <t>2402경운기</t>
  </si>
  <si>
    <t>트럭트랙터</t>
  </si>
  <si>
    <t>및트레일러</t>
  </si>
  <si>
    <t>3450현장가열표층재생기</t>
  </si>
  <si>
    <t>콘크리트피니셔</t>
  </si>
  <si>
    <t>3611콘크리트피니셔(중앙분리대용)</t>
  </si>
  <si>
    <t>3701콘크리트스프레더</t>
  </si>
  <si>
    <t>3801콘크리트조면마무리기</t>
  </si>
  <si>
    <t>3901슬러리실기계</t>
  </si>
  <si>
    <t>4205콘크리트믹서</t>
  </si>
  <si>
    <t>4430커터(콘크리트및아스팔트용)</t>
  </si>
  <si>
    <t>4504콘크리트펌프차</t>
  </si>
  <si>
    <t>4505</t>
  </si>
  <si>
    <t>4506초고압펌프</t>
  </si>
  <si>
    <t>4611콘크리트진동기</t>
  </si>
  <si>
    <t>4711호안블록제작기</t>
  </si>
  <si>
    <t>5111벨트컨베이어</t>
  </si>
  <si>
    <t>5112에이프런피더</t>
  </si>
  <si>
    <t>5113죠크러셔</t>
  </si>
  <si>
    <t>5114롤크러셔</t>
  </si>
  <si>
    <t>5115콘크러셔</t>
  </si>
  <si>
    <t>5116스크린(2단식)</t>
  </si>
  <si>
    <t>5117스크린(3단식)</t>
  </si>
  <si>
    <t>5119골재세척설비</t>
  </si>
  <si>
    <t>5330드릴웨곤</t>
  </si>
  <si>
    <t>(TBM)</t>
  </si>
  <si>
    <t>6106JSP용믹서</t>
  </si>
  <si>
    <t>6202그라우팅펌프</t>
  </si>
  <si>
    <t>6203이수분리기</t>
  </si>
  <si>
    <t>6408보링기계</t>
  </si>
  <si>
    <t>6515유압파워팩</t>
  </si>
  <si>
    <t>6519해머그래브</t>
  </si>
  <si>
    <t>6540워터젯트</t>
  </si>
  <si>
    <t>7103하수관천공기</t>
  </si>
  <si>
    <t>7104상수도관천공기</t>
  </si>
  <si>
    <t>7204</t>
  </si>
  <si>
    <t>7330라인마커</t>
  </si>
  <si>
    <t>7360차선제거기</t>
  </si>
  <si>
    <t>7614알곤용접기</t>
  </si>
  <si>
    <t>7770실사출기</t>
  </si>
  <si>
    <t>7820엔진식도장기</t>
  </si>
  <si>
    <t>8802바이브레이터</t>
  </si>
  <si>
    <t>8806조인트(고무제)</t>
  </si>
  <si>
    <t>9020그래브준설선</t>
  </si>
  <si>
    <t>양묘선</t>
  </si>
  <si>
    <t>7992모르타르믹서</t>
  </si>
  <si>
    <t>7993양수기</t>
  </si>
  <si>
    <t>7994파워트로웰</t>
  </si>
  <si>
    <t>7995배관파이프</t>
  </si>
  <si>
    <t>7996회전날개(개당)</t>
  </si>
  <si>
    <t>60(96KW)</t>
  </si>
  <si>
    <t>90(144)</t>
  </si>
  <si>
    <t>120(160)</t>
  </si>
  <si>
    <t>150(177)</t>
  </si>
  <si>
    <t>180(213)</t>
  </si>
  <si>
    <t>210(233)</t>
  </si>
  <si>
    <t>100(7.0KW)</t>
  </si>
  <si>
    <t>150(7.0)</t>
  </si>
  <si>
    <t>200(7.7)</t>
  </si>
  <si>
    <t>300(7.7)</t>
  </si>
  <si>
    <t>3.6m(일반용)</t>
  </si>
  <si>
    <t>3.6m(사리도)</t>
  </si>
  <si>
    <t>30</t>
  </si>
  <si>
    <t>60(120)</t>
  </si>
  <si>
    <t>80(160)</t>
  </si>
  <si>
    <t>100(200)</t>
  </si>
  <si>
    <t>120(240)</t>
  </si>
  <si>
    <t>3,000ℓ(800G/A)</t>
  </si>
  <si>
    <t>3,800(1,000)</t>
  </si>
  <si>
    <t>4,700(1,250)</t>
  </si>
  <si>
    <t>5,700(1,500)</t>
  </si>
  <si>
    <t>3.6(12)</t>
  </si>
  <si>
    <t>0.1㎥(3.5ft³)</t>
  </si>
  <si>
    <t>0.17(6)</t>
  </si>
  <si>
    <t>잔토운반(토사)-거리 30km적용</t>
    <phoneticPr fontId="2" type="noConversion"/>
  </si>
  <si>
    <t>폐기물(Con'C) 중집 1km 2.5DT + 인력 m³</t>
    <phoneticPr fontId="2" type="noConversion"/>
  </si>
  <si>
    <t>매캐덤롤러  8-10톤 자주식      시간</t>
    <phoneticPr fontId="2" type="noConversion"/>
  </si>
  <si>
    <t>매캐덤롤러  10-12톤 자주식      시간</t>
    <phoneticPr fontId="2" type="noConversion"/>
  </si>
  <si>
    <t>탠덤롤러  1톤 자주식      시간</t>
    <phoneticPr fontId="2" type="noConversion"/>
  </si>
  <si>
    <t>탠덤롤러  5-8톤 자주식      시간</t>
    <phoneticPr fontId="2" type="noConversion"/>
  </si>
  <si>
    <t>탠덤롤러  8-10톤 자주식      시간</t>
    <phoneticPr fontId="2" type="noConversion"/>
  </si>
  <si>
    <t>탠덤롤러  10-14톤 자주식      시간</t>
    <phoneticPr fontId="2" type="noConversion"/>
  </si>
  <si>
    <t>진동롤러  2.5톤 자주식      시간</t>
    <phoneticPr fontId="2" type="noConversion"/>
  </si>
  <si>
    <t>진동롤러  4.4톤 자주식      시간</t>
    <phoneticPr fontId="2" type="noConversion"/>
  </si>
  <si>
    <t>진동롤러  10톤 자주식      시간</t>
    <phoneticPr fontId="2" type="noConversion"/>
  </si>
  <si>
    <t>진동롤러(핸드가이드식) 0.7톤      시간</t>
    <phoneticPr fontId="2" type="noConversion"/>
  </si>
  <si>
    <t>타이어롤러  8-15톤 자주식      시간</t>
    <phoneticPr fontId="2" type="noConversion"/>
  </si>
  <si>
    <t>램머  80kg      시간</t>
    <phoneticPr fontId="2" type="noConversion"/>
  </si>
  <si>
    <t>크레인  10톤 무한궤도      시간</t>
    <phoneticPr fontId="2" type="noConversion"/>
  </si>
  <si>
    <t>크레인  20톤 무한궤도      시간</t>
    <phoneticPr fontId="2" type="noConversion"/>
  </si>
  <si>
    <t>크레인  30톤 무한궤도      시간</t>
    <phoneticPr fontId="2" type="noConversion"/>
  </si>
  <si>
    <t>크레인  50톤 무한궤도      시간</t>
    <phoneticPr fontId="2" type="noConversion"/>
  </si>
  <si>
    <t>50톤</t>
    <phoneticPr fontId="2" type="noConversion"/>
  </si>
  <si>
    <t>기초콘크리트</t>
    <phoneticPr fontId="2" type="noConversion"/>
  </si>
  <si>
    <t>9010-0044</t>
  </si>
  <si>
    <t>9010-0120</t>
  </si>
  <si>
    <t>탠덤롤러(자주식)</t>
    <phoneticPr fontId="2" type="noConversion"/>
  </si>
  <si>
    <t>5-8톤</t>
    <phoneticPr fontId="2" type="noConversion"/>
  </si>
  <si>
    <t>8-10톤</t>
    <phoneticPr fontId="2" type="noConversion"/>
  </si>
  <si>
    <t>4.4톤</t>
    <phoneticPr fontId="2" type="noConversion"/>
  </si>
  <si>
    <t>10톤</t>
    <phoneticPr fontId="2" type="noConversion"/>
  </si>
  <si>
    <t>8-15톤</t>
    <phoneticPr fontId="2" type="noConversion"/>
  </si>
  <si>
    <t>크레인(무한궤도)</t>
    <phoneticPr fontId="2" type="noConversion"/>
  </si>
  <si>
    <t>10HP</t>
  </si>
  <si>
    <t>(앵커버지)</t>
  </si>
  <si>
    <t>250HP</t>
  </si>
  <si>
    <t>SD15톤달기(75HP)</t>
  </si>
  <si>
    <t>기중기선</t>
  </si>
  <si>
    <t>W30㎥적</t>
  </si>
  <si>
    <t>토운선</t>
  </si>
  <si>
    <t>S60㎥</t>
  </si>
  <si>
    <t>S100</t>
  </si>
  <si>
    <t>S200</t>
  </si>
  <si>
    <t>S300</t>
  </si>
  <si>
    <t>S500</t>
  </si>
  <si>
    <t>크롤러드릴</t>
    <phoneticPr fontId="2" type="noConversion"/>
  </si>
  <si>
    <t>아스팔트피니셔</t>
    <phoneticPr fontId="2" type="noConversion"/>
  </si>
  <si>
    <t>10-12톤</t>
    <phoneticPr fontId="2" type="noConversion"/>
  </si>
  <si>
    <t>유화아스팔트</t>
    <phoneticPr fontId="2" type="noConversion"/>
  </si>
  <si>
    <t>130톤</t>
  </si>
  <si>
    <t>6330-0022</t>
  </si>
  <si>
    <t>6330-0032</t>
  </si>
  <si>
    <t>6330-0040</t>
  </si>
  <si>
    <t>6408-0015</t>
  </si>
  <si>
    <t>hr/Q</t>
    <phoneticPr fontId="2" type="noConversion"/>
  </si>
  <si>
    <t>25kg</t>
    <phoneticPr fontId="2" type="noConversion"/>
  </si>
  <si>
    <t>3.5m³/min</t>
    <phoneticPr fontId="2" type="noConversion"/>
  </si>
  <si>
    <t>경유(저유황0.2% 차량용)</t>
    <phoneticPr fontId="2" type="noConversion"/>
  </si>
  <si>
    <t>재</t>
  </si>
  <si>
    <t>매</t>
  </si>
  <si>
    <t>(t=12m/m)</t>
  </si>
  <si>
    <t>㎡</t>
  </si>
  <si>
    <t>판재</t>
  </si>
  <si>
    <t>각재</t>
  </si>
  <si>
    <t>kg</t>
  </si>
  <si>
    <t>못</t>
  </si>
  <si>
    <t>N75</t>
  </si>
  <si>
    <t>#20,Φ0.9mm</t>
  </si>
  <si>
    <t>VG1,D50mm</t>
  </si>
  <si>
    <t>M</t>
  </si>
  <si>
    <t>VG1,D150mm</t>
  </si>
  <si>
    <t>VG1,D200mm</t>
  </si>
  <si>
    <t>KG</t>
  </si>
  <si>
    <t>녹막이페인트</t>
  </si>
  <si>
    <t>연마지</t>
  </si>
  <si>
    <t>넝마</t>
  </si>
  <si>
    <t>퍼티</t>
  </si>
  <si>
    <t>신너</t>
  </si>
  <si>
    <t>대</t>
  </si>
  <si>
    <t>병</t>
  </si>
  <si>
    <t>알곤가스</t>
  </si>
  <si>
    <t>Kwh</t>
  </si>
  <si>
    <t>D/M</t>
  </si>
  <si>
    <t>물</t>
  </si>
  <si>
    <t>에폭시수지</t>
  </si>
  <si>
    <t>Φ48.6, 6*2.3</t>
  </si>
  <si>
    <t>B.R</t>
  </si>
  <si>
    <t>동</t>
  </si>
  <si>
    <t>기초거푸집</t>
  </si>
  <si>
    <t>스라브거푸집</t>
  </si>
  <si>
    <t>벽체거푸집</t>
  </si>
  <si>
    <t>Φ900(H=1.2)</t>
  </si>
  <si>
    <t>조</t>
  </si>
  <si>
    <t>Φ900(H=0.6)</t>
  </si>
  <si>
    <t>Φ1200(H=1.2)</t>
  </si>
  <si>
    <t>Φ1200(H=0.6)</t>
  </si>
  <si>
    <t>Φ1500(H=1.2)</t>
  </si>
  <si>
    <t>Φ1500(H=0.6)</t>
  </si>
  <si>
    <t>200×5t</t>
  </si>
  <si>
    <t>m</t>
  </si>
  <si>
    <t>D=300mm</t>
  </si>
  <si>
    <t>수밀벨트</t>
  </si>
  <si>
    <t>D=450mm</t>
  </si>
  <si>
    <t>D=600mm</t>
  </si>
  <si>
    <t>D=700mm</t>
  </si>
  <si>
    <t>D=800mm</t>
  </si>
  <si>
    <t>D=900mm</t>
  </si>
  <si>
    <t>D=1000mm</t>
  </si>
  <si>
    <t>D=1100mm</t>
  </si>
  <si>
    <t>D=1200mm</t>
  </si>
  <si>
    <t>卷</t>
  </si>
  <si>
    <t>고압호스</t>
  </si>
  <si>
    <t>Φ100(30m)</t>
  </si>
  <si>
    <t>롤</t>
  </si>
  <si>
    <t>Φ50(50m)</t>
  </si>
  <si>
    <t>촬영장비차량</t>
  </si>
  <si>
    <t>아스팔트기층  7.5cm   a</t>
    <phoneticPr fontId="2" type="noConversion"/>
  </si>
  <si>
    <t>45φ(3.5HP)엔진식후렉시블형</t>
  </si>
  <si>
    <t>40.64cm×15.24m(16˝×50ft)5HP</t>
  </si>
  <si>
    <t>45.72×15.24(18×50)7.5</t>
  </si>
  <si>
    <t>60.96×15.24(24×50)10</t>
  </si>
  <si>
    <t>76.20×15.24(30×50)15</t>
  </si>
  <si>
    <t>91.44×15.24(36×50)20</t>
  </si>
  <si>
    <t>76.20cm×243.84cm(30˝8ft)3HP</t>
  </si>
  <si>
    <t>91.44×243.84(30×8)5</t>
  </si>
  <si>
    <t>91.44×365.76(30×12)5</t>
  </si>
  <si>
    <t>106.68×304.86(42×10)10</t>
  </si>
  <si>
    <t>106.68×426.72(42×14)10</t>
  </si>
  <si>
    <t>25.4cm×40.64cm(10˝×16˝)25HP</t>
  </si>
  <si>
    <t>25.4×50.80(10×20)30</t>
  </si>
  <si>
    <t>25.4×60.96(10×24)40</t>
  </si>
  <si>
    <t>7430-1500</t>
  </si>
  <si>
    <t>0231</t>
  </si>
  <si>
    <t>0231-0004</t>
  </si>
  <si>
    <t>0231-0007</t>
  </si>
  <si>
    <t>0240-0007</t>
  </si>
  <si>
    <t>0.7㎥</t>
  </si>
  <si>
    <t>0250-0100</t>
  </si>
  <si>
    <t>1.0㎥용</t>
  </si>
  <si>
    <t>0260-0355</t>
  </si>
  <si>
    <t>3.55톤</t>
  </si>
  <si>
    <t>0301</t>
  </si>
  <si>
    <t>0301-0057</t>
  </si>
  <si>
    <t>0.57㎥</t>
  </si>
  <si>
    <t>0301-0076</t>
  </si>
  <si>
    <t>0301-0095</t>
  </si>
  <si>
    <t>0301-0115</t>
  </si>
  <si>
    <t>0301-0134</t>
  </si>
  <si>
    <t>0301-0153</t>
  </si>
  <si>
    <t>0301-0172</t>
  </si>
  <si>
    <t>0302</t>
  </si>
  <si>
    <t>0302-0025</t>
  </si>
  <si>
    <t>0.25㎥</t>
  </si>
  <si>
    <t>0302-0057</t>
  </si>
  <si>
    <t>0302-0095</t>
  </si>
  <si>
    <t>0302-0134</t>
  </si>
  <si>
    <t>0302-0172</t>
  </si>
  <si>
    <t>0302-0229</t>
  </si>
  <si>
    <t>0302-0287</t>
  </si>
  <si>
    <t>㎥</t>
    <phoneticPr fontId="2" type="noConversion"/>
  </si>
  <si>
    <t>몰탈</t>
    <phoneticPr fontId="2" type="noConversion"/>
  </si>
  <si>
    <t>1:5</t>
    <phoneticPr fontId="2" type="noConversion"/>
  </si>
  <si>
    <t>인력비빔</t>
    <phoneticPr fontId="2" type="noConversion"/>
  </si>
  <si>
    <t>인력비빔 소형(3m³)</t>
    <phoneticPr fontId="2" type="noConversion"/>
  </si>
  <si>
    <t>간단가공</t>
    <phoneticPr fontId="2" type="noConversion"/>
  </si>
  <si>
    <t>톤</t>
    <phoneticPr fontId="2" type="noConversion"/>
  </si>
  <si>
    <t>보통가공</t>
    <phoneticPr fontId="2" type="noConversion"/>
  </si>
  <si>
    <t>복잡가공</t>
    <phoneticPr fontId="2" type="noConversion"/>
  </si>
  <si>
    <t>매우복잡</t>
    <phoneticPr fontId="2" type="noConversion"/>
  </si>
  <si>
    <t>톤</t>
    <phoneticPr fontId="2" type="noConversion"/>
  </si>
  <si>
    <t>철근가공(공장)</t>
    <phoneticPr fontId="2" type="noConversion"/>
  </si>
  <si>
    <t>간단가공</t>
    <phoneticPr fontId="2" type="noConversion"/>
  </si>
  <si>
    <t>보통가공</t>
    <phoneticPr fontId="2" type="noConversion"/>
  </si>
  <si>
    <t>복잡한가공</t>
    <phoneticPr fontId="2" type="noConversion"/>
  </si>
  <si>
    <t>매우복잡</t>
    <phoneticPr fontId="2" type="noConversion"/>
  </si>
  <si>
    <t>합판거푸집</t>
    <phoneticPr fontId="2" type="noConversion"/>
  </si>
  <si>
    <t>1회사용</t>
    <phoneticPr fontId="2" type="noConversion"/>
  </si>
  <si>
    <t>㎡</t>
    <phoneticPr fontId="2" type="noConversion"/>
  </si>
  <si>
    <t>합판거푸집(소형구조)</t>
    <phoneticPr fontId="2" type="noConversion"/>
  </si>
  <si>
    <t>1회사용,10m³미만</t>
    <phoneticPr fontId="2" type="noConversion"/>
  </si>
  <si>
    <t>2회사용</t>
    <phoneticPr fontId="2" type="noConversion"/>
  </si>
  <si>
    <t>㎡</t>
    <phoneticPr fontId="2" type="noConversion"/>
  </si>
  <si>
    <t>합판거푸집(소형구조)</t>
    <phoneticPr fontId="2" type="noConversion"/>
  </si>
  <si>
    <t>2회사용,10m³미만</t>
    <phoneticPr fontId="2" type="noConversion"/>
  </si>
  <si>
    <t>합판거푸집</t>
    <phoneticPr fontId="2" type="noConversion"/>
  </si>
  <si>
    <t>3회사용</t>
    <phoneticPr fontId="2" type="noConversion"/>
  </si>
  <si>
    <t>3회사용,10m³미만</t>
    <phoneticPr fontId="2" type="noConversion"/>
  </si>
  <si>
    <t>4회사용</t>
    <phoneticPr fontId="2" type="noConversion"/>
  </si>
  <si>
    <t>4회사용,10m³미만</t>
    <phoneticPr fontId="2" type="noConversion"/>
  </si>
  <si>
    <t>5회사용</t>
    <phoneticPr fontId="2" type="noConversion"/>
  </si>
  <si>
    <t>5회사용,10m³미만</t>
    <phoneticPr fontId="2" type="noConversion"/>
  </si>
  <si>
    <t>6회사용</t>
    <phoneticPr fontId="2" type="noConversion"/>
  </si>
  <si>
    <t>6회사용,10m³미만</t>
    <phoneticPr fontId="2" type="noConversion"/>
  </si>
  <si>
    <t>목재거푸집</t>
    <phoneticPr fontId="2" type="noConversion"/>
  </si>
  <si>
    <t>1회사용</t>
    <phoneticPr fontId="2" type="noConversion"/>
  </si>
  <si>
    <t>목재거푸집(소형구조)</t>
    <phoneticPr fontId="2" type="noConversion"/>
  </si>
  <si>
    <t>1회사용,10m³미만</t>
    <phoneticPr fontId="2" type="noConversion"/>
  </si>
  <si>
    <t>2회사용</t>
    <phoneticPr fontId="2" type="noConversion"/>
  </si>
  <si>
    <t>녹막이페인트</t>
    <phoneticPr fontId="2" type="noConversion"/>
  </si>
  <si>
    <t>조합페인트칠</t>
    <phoneticPr fontId="2" type="noConversion"/>
  </si>
  <si>
    <t>철재면2회칠</t>
    <phoneticPr fontId="2" type="noConversion"/>
  </si>
  <si>
    <t>목재면2회칠</t>
    <phoneticPr fontId="2" type="noConversion"/>
  </si>
  <si>
    <t>레미콘타설(인력)</t>
    <phoneticPr fontId="2" type="noConversion"/>
  </si>
  <si>
    <t>토목,무근구조물</t>
    <phoneticPr fontId="2" type="noConversion"/>
  </si>
  <si>
    <t>㎥</t>
    <phoneticPr fontId="2" type="noConversion"/>
  </si>
  <si>
    <t>토목,무근(소형구조물)</t>
    <phoneticPr fontId="2" type="noConversion"/>
  </si>
  <si>
    <t>토목,철근구조물</t>
    <phoneticPr fontId="2" type="noConversion"/>
  </si>
  <si>
    <t>콘크리트펌프차붐타설</t>
    <phoneticPr fontId="2" type="noConversion"/>
  </si>
  <si>
    <t>무근50m³미만</t>
    <phoneticPr fontId="2" type="noConversion"/>
  </si>
  <si>
    <t>무근50~100m³미만</t>
    <phoneticPr fontId="2" type="noConversion"/>
  </si>
  <si>
    <t>무근100~300m³이상</t>
    <phoneticPr fontId="2" type="noConversion"/>
  </si>
  <si>
    <t>철근50m³미만</t>
    <phoneticPr fontId="2" type="noConversion"/>
  </si>
  <si>
    <t>철근50~100m³미만</t>
    <phoneticPr fontId="2" type="noConversion"/>
  </si>
  <si>
    <t>철근100~300m³이상</t>
    <phoneticPr fontId="2" type="noConversion"/>
  </si>
  <si>
    <t>포장절단</t>
    <phoneticPr fontId="2" type="noConversion"/>
  </si>
  <si>
    <t>1차로</t>
    <phoneticPr fontId="2" type="noConversion"/>
  </si>
  <si>
    <t>m</t>
    <phoneticPr fontId="2" type="noConversion"/>
  </si>
  <si>
    <t>2차로</t>
    <phoneticPr fontId="2" type="noConversion"/>
  </si>
  <si>
    <t>계</t>
    <phoneticPr fontId="2" type="noConversion"/>
  </si>
  <si>
    <t>인력절취</t>
    <phoneticPr fontId="2" type="noConversion"/>
  </si>
  <si>
    <t>보통토사</t>
    <phoneticPr fontId="2" type="noConversion"/>
  </si>
  <si>
    <t>견질토사</t>
    <phoneticPr fontId="2" type="noConversion"/>
  </si>
  <si>
    <t>인력터파기</t>
    <phoneticPr fontId="2" type="noConversion"/>
  </si>
  <si>
    <t>보통토사 0-1m</t>
    <phoneticPr fontId="2" type="noConversion"/>
  </si>
  <si>
    <t>보통토사 1-2m</t>
    <phoneticPr fontId="2" type="noConversion"/>
  </si>
  <si>
    <t>견질토사 0-1m</t>
    <phoneticPr fontId="2" type="noConversion"/>
  </si>
  <si>
    <t>견질토사 1-2m</t>
    <phoneticPr fontId="2" type="noConversion"/>
  </si>
  <si>
    <t>되메우기</t>
    <phoneticPr fontId="2" type="noConversion"/>
  </si>
  <si>
    <t>인력</t>
    <phoneticPr fontId="2" type="noConversion"/>
  </si>
  <si>
    <t>되메우기 및 다짐</t>
    <phoneticPr fontId="2" type="noConversion"/>
  </si>
  <si>
    <t>아스팔트포장깨기</t>
    <phoneticPr fontId="2" type="noConversion"/>
  </si>
  <si>
    <t>소형브레이커+공기압축기</t>
    <phoneticPr fontId="2" type="noConversion"/>
  </si>
  <si>
    <t>BH0.4+브레이커</t>
    <phoneticPr fontId="2" type="noConversion"/>
  </si>
  <si>
    <t>㎥</t>
    <phoneticPr fontId="2" type="noConversion"/>
  </si>
  <si>
    <t>콘크리트포장깨기</t>
    <phoneticPr fontId="2" type="noConversion"/>
  </si>
  <si>
    <t>인력</t>
    <phoneticPr fontId="2" type="noConversion"/>
  </si>
  <si>
    <t>소형브레이커+공기압축기</t>
    <phoneticPr fontId="2" type="noConversion"/>
  </si>
  <si>
    <t>콘크리트깨기(무근)</t>
    <phoneticPr fontId="2" type="noConversion"/>
  </si>
  <si>
    <t>보차도경계석철거</t>
    <phoneticPr fontId="2" type="noConversion"/>
  </si>
  <si>
    <t>200*250*1000(인력)</t>
    <phoneticPr fontId="2" type="noConversion"/>
  </si>
  <si>
    <t>m</t>
    <phoneticPr fontId="2" type="noConversion"/>
  </si>
  <si>
    <t>벽돌헐기</t>
    <phoneticPr fontId="2" type="noConversion"/>
  </si>
  <si>
    <t>㎡</t>
    <phoneticPr fontId="2" type="noConversion"/>
  </si>
  <si>
    <t>석축헐기(찰쌓기)</t>
    <phoneticPr fontId="2" type="noConversion"/>
  </si>
  <si>
    <t>석축헐기(메쌓기)</t>
    <phoneticPr fontId="2" type="noConversion"/>
  </si>
  <si>
    <t>인력(45-60cm)</t>
    <phoneticPr fontId="2" type="noConversion"/>
  </si>
  <si>
    <t>기계터파기(토사)</t>
    <phoneticPr fontId="2" type="noConversion"/>
  </si>
  <si>
    <t>B.H 0.2m³</t>
    <phoneticPr fontId="2" type="noConversion"/>
  </si>
  <si>
    <t>㎥</t>
    <phoneticPr fontId="2" type="noConversion"/>
  </si>
  <si>
    <t>B.H 0.4m³</t>
    <phoneticPr fontId="2" type="noConversion"/>
  </si>
  <si>
    <t>기계되메우기(토사)</t>
    <phoneticPr fontId="2" type="noConversion"/>
  </si>
  <si>
    <t>B.H 0.2m³</t>
    <phoneticPr fontId="2" type="noConversion"/>
  </si>
  <si>
    <t>되메우기및다짐(토사)</t>
    <phoneticPr fontId="2" type="noConversion"/>
  </si>
  <si>
    <t>B.H 0.4m³</t>
    <phoneticPr fontId="2" type="noConversion"/>
  </si>
  <si>
    <t>인력상차</t>
    <phoneticPr fontId="2" type="noConversion"/>
  </si>
  <si>
    <t>토사</t>
    <phoneticPr fontId="2" type="noConversion"/>
  </si>
  <si>
    <t>Con'c</t>
    <phoneticPr fontId="2" type="noConversion"/>
  </si>
  <si>
    <t>기계상차(토사)</t>
    <phoneticPr fontId="2" type="noConversion"/>
  </si>
  <si>
    <t>기계상차(폐기물)</t>
    <phoneticPr fontId="2" type="noConversion"/>
  </si>
  <si>
    <t>인력절취(토사)</t>
    <phoneticPr fontId="2" type="noConversion"/>
  </si>
  <si>
    <t>견질토,자갈섞인점토</t>
    <phoneticPr fontId="2" type="noConversion"/>
  </si>
  <si>
    <t>기계절취(토사)</t>
    <phoneticPr fontId="2" type="noConversion"/>
  </si>
  <si>
    <t>기계절취(Con'c)</t>
    <phoneticPr fontId="2" type="noConversion"/>
  </si>
  <si>
    <t>구조물헐기(무근)</t>
    <phoneticPr fontId="2" type="noConversion"/>
  </si>
  <si>
    <t>구조물헐기(30cm미만)</t>
    <phoneticPr fontId="2" type="noConversion"/>
  </si>
  <si>
    <t>0.4BH+대형브레이커</t>
    <phoneticPr fontId="2" type="noConversion"/>
  </si>
  <si>
    <t>구조물헐기(30cm이상)</t>
    <phoneticPr fontId="2" type="noConversion"/>
  </si>
  <si>
    <t>잔토(토사) 중집 1km</t>
    <phoneticPr fontId="2" type="noConversion"/>
  </si>
  <si>
    <t>2.5DT + 인력</t>
    <phoneticPr fontId="2" type="noConversion"/>
  </si>
  <si>
    <t>4.5DT + 인력</t>
    <phoneticPr fontId="2" type="noConversion"/>
  </si>
  <si>
    <t>2.5DT + 0.2BH</t>
    <phoneticPr fontId="2" type="noConversion"/>
  </si>
  <si>
    <t>4.5DT + 0.2BH</t>
    <phoneticPr fontId="2" type="noConversion"/>
  </si>
  <si>
    <t>4.5DT + 0.4BH</t>
    <phoneticPr fontId="2" type="noConversion"/>
  </si>
  <si>
    <t>잔토(토사) 운반 L=30km</t>
    <phoneticPr fontId="2" type="noConversion"/>
  </si>
  <si>
    <t>15DT + 0.4BH</t>
    <phoneticPr fontId="2" type="noConversion"/>
  </si>
  <si>
    <t>잔토(토사) 운반 L=30km</t>
    <phoneticPr fontId="2" type="noConversion"/>
  </si>
  <si>
    <t>20DT + 0.4BH</t>
    <phoneticPr fontId="2" type="noConversion"/>
  </si>
  <si>
    <t>24DT + 0.4BH</t>
    <phoneticPr fontId="2" type="noConversion"/>
  </si>
  <si>
    <t>폐기물(Con'C) 중집 1km</t>
    <phoneticPr fontId="2" type="noConversion"/>
  </si>
  <si>
    <t>2.5DT + 인력</t>
    <phoneticPr fontId="2" type="noConversion"/>
  </si>
  <si>
    <t>4.5DT + 인력</t>
    <phoneticPr fontId="2" type="noConversion"/>
  </si>
  <si>
    <t>2.5DT + 0.2BH</t>
    <phoneticPr fontId="2" type="noConversion"/>
  </si>
  <si>
    <t>4.5DT + 0.2BH</t>
    <phoneticPr fontId="2" type="noConversion"/>
  </si>
  <si>
    <t>4.5DT + 0.4BH</t>
    <phoneticPr fontId="2" type="noConversion"/>
  </si>
  <si>
    <t>폐기물(Con'C) 운반 L=30km</t>
    <phoneticPr fontId="2" type="noConversion"/>
  </si>
  <si>
    <t>계</t>
    <phoneticPr fontId="2" type="noConversion"/>
  </si>
  <si>
    <t>상수도맨홀인상</t>
    <phoneticPr fontId="2" type="noConversion"/>
  </si>
  <si>
    <t>Ø648 개소당</t>
    <phoneticPr fontId="2" type="noConversion"/>
  </si>
  <si>
    <t>개소</t>
    <phoneticPr fontId="2" type="noConversion"/>
  </si>
  <si>
    <t>60×40 개소당</t>
    <phoneticPr fontId="2" type="noConversion"/>
  </si>
  <si>
    <t>상수도소형맨홀인상</t>
    <phoneticPr fontId="2" type="noConversion"/>
  </si>
  <si>
    <t>개소당</t>
    <phoneticPr fontId="2" type="noConversion"/>
  </si>
  <si>
    <t>체신맨홀인상</t>
    <phoneticPr fontId="2" type="noConversion"/>
  </si>
  <si>
    <t>Ø766 개소당</t>
    <phoneticPr fontId="2" type="noConversion"/>
  </si>
  <si>
    <t>하수도맨홀인상</t>
    <phoneticPr fontId="2" type="noConversion"/>
  </si>
  <si>
    <t>Ø750 개소당 BOX구간</t>
    <phoneticPr fontId="2" type="noConversion"/>
  </si>
  <si>
    <t>맨홀뚜껑교체</t>
    <phoneticPr fontId="2" type="noConversion"/>
  </si>
  <si>
    <t>수팽창고무지수판</t>
    <phoneticPr fontId="2" type="noConversion"/>
  </si>
  <si>
    <t>(20×10mm)</t>
    <phoneticPr fontId="2" type="noConversion"/>
  </si>
  <si>
    <t>m</t>
    <phoneticPr fontId="2" type="noConversion"/>
  </si>
  <si>
    <t>도로경계블록설치(기계)</t>
    <phoneticPr fontId="2" type="noConversion"/>
  </si>
  <si>
    <t>150×150×1000</t>
    <phoneticPr fontId="2" type="noConversion"/>
  </si>
  <si>
    <t>도로경계석설치(기계)</t>
    <phoneticPr fontId="2" type="noConversion"/>
  </si>
  <si>
    <t>150×150×1000(화강석)</t>
    <phoneticPr fontId="2" type="noConversion"/>
  </si>
  <si>
    <t>보차도경계블록설치(기계)</t>
    <phoneticPr fontId="2" type="noConversion"/>
  </si>
  <si>
    <t>205×250×1000</t>
    <phoneticPr fontId="2" type="noConversion"/>
  </si>
  <si>
    <t>보차도경계석설치(기계)</t>
    <phoneticPr fontId="2" type="noConversion"/>
  </si>
  <si>
    <t>200×250×1000(화강석)</t>
    <phoneticPr fontId="2" type="noConversion"/>
  </si>
  <si>
    <t>보차도경계측구설치</t>
    <phoneticPr fontId="2" type="noConversion"/>
  </si>
  <si>
    <t>인력  B=45cm</t>
    <phoneticPr fontId="2" type="noConversion"/>
  </si>
  <si>
    <t>인력  B=50cm</t>
    <phoneticPr fontId="2" type="noConversion"/>
  </si>
  <si>
    <t>레미콘  B=45cm</t>
    <phoneticPr fontId="2" type="noConversion"/>
  </si>
  <si>
    <t>레미콘  B=50cm</t>
    <phoneticPr fontId="2" type="noConversion"/>
  </si>
  <si>
    <t>소형고압블록걷기</t>
    <phoneticPr fontId="2" type="noConversion"/>
  </si>
  <si>
    <t>소형고압블록포장</t>
    <phoneticPr fontId="2" type="noConversion"/>
  </si>
  <si>
    <t>a</t>
    <phoneticPr fontId="2" type="noConversion"/>
  </si>
  <si>
    <t>바닥비닐깔기</t>
    <phoneticPr fontId="2" type="noConversion"/>
  </si>
  <si>
    <t>T=0.03mm</t>
    <phoneticPr fontId="2" type="noConversion"/>
  </si>
  <si>
    <t>바닥모래포설</t>
    <phoneticPr fontId="2" type="noConversion"/>
  </si>
  <si>
    <t>T=3cm</t>
    <phoneticPr fontId="2" type="noConversion"/>
  </si>
  <si>
    <t>콘크리트포장(레미콘)</t>
    <phoneticPr fontId="2" type="noConversion"/>
  </si>
  <si>
    <t>T=20cm</t>
    <phoneticPr fontId="2" type="noConversion"/>
  </si>
  <si>
    <t>콘크리트포장(현장타설)</t>
    <phoneticPr fontId="2" type="noConversion"/>
  </si>
  <si>
    <t>동상방지층</t>
    <phoneticPr fontId="2" type="noConversion"/>
  </si>
  <si>
    <t>인력식 소규모 장비사용 30cm</t>
    <phoneticPr fontId="2" type="noConversion"/>
  </si>
  <si>
    <t>a</t>
    <phoneticPr fontId="2" type="noConversion"/>
  </si>
  <si>
    <t>동상방지층</t>
    <phoneticPr fontId="2" type="noConversion"/>
  </si>
  <si>
    <t>T=30cm  길어깨</t>
    <phoneticPr fontId="2" type="noConversion"/>
  </si>
  <si>
    <t>T=30cm  본선포장</t>
    <phoneticPr fontId="2" type="noConversion"/>
  </si>
  <si>
    <t>보조기층</t>
    <phoneticPr fontId="2" type="noConversion"/>
  </si>
  <si>
    <t>인력식 소규모 장비사용 30cm</t>
    <phoneticPr fontId="2" type="noConversion"/>
  </si>
  <si>
    <t>T=30cm  길어깨</t>
    <phoneticPr fontId="2" type="noConversion"/>
  </si>
  <si>
    <t>입도조정기층</t>
    <phoneticPr fontId="2" type="noConversion"/>
  </si>
  <si>
    <t>인력식 소규모 장비사용 20cm</t>
    <phoneticPr fontId="2" type="noConversion"/>
  </si>
  <si>
    <t>T=20cm  길어깨</t>
    <phoneticPr fontId="2" type="noConversion"/>
  </si>
  <si>
    <t>T=20cm  본선포장</t>
    <phoneticPr fontId="2" type="noConversion"/>
  </si>
  <si>
    <t>아스팔트기층</t>
    <phoneticPr fontId="2" type="noConversion"/>
  </si>
  <si>
    <t>인력식 소규모 장비사용 7.5cm</t>
    <phoneticPr fontId="2" type="noConversion"/>
  </si>
  <si>
    <t>7.5cm</t>
    <phoneticPr fontId="2" type="noConversion"/>
  </si>
  <si>
    <t>프라임코팅</t>
    <phoneticPr fontId="2" type="noConversion"/>
  </si>
  <si>
    <t>RSC-3:75ℓ/a</t>
    <phoneticPr fontId="2" type="noConversion"/>
  </si>
  <si>
    <t>텍코팅</t>
    <phoneticPr fontId="2" type="noConversion"/>
  </si>
  <si>
    <t>RSC-4:30ℓ/a</t>
    <phoneticPr fontId="2" type="noConversion"/>
  </si>
  <si>
    <t>아스팔트표층</t>
    <phoneticPr fontId="2" type="noConversion"/>
  </si>
  <si>
    <t>인력식 소규모 장비사용 5cm</t>
    <phoneticPr fontId="2" type="noConversion"/>
  </si>
  <si>
    <t>아스팔트표층(기계)</t>
    <phoneticPr fontId="2" type="noConversion"/>
  </si>
  <si>
    <t>1.4m≤시공폭≤3m 5cm</t>
    <phoneticPr fontId="2" type="noConversion"/>
  </si>
  <si>
    <t>3m≤시공폭  5cm</t>
    <phoneticPr fontId="2" type="noConversion"/>
  </si>
  <si>
    <t>아스팔트 덧씌우기</t>
    <phoneticPr fontId="2" type="noConversion"/>
  </si>
  <si>
    <t>절삭후 아스팔트 덧씌우기</t>
    <phoneticPr fontId="2" type="noConversion"/>
  </si>
  <si>
    <t>불연속구간</t>
    <phoneticPr fontId="2" type="noConversion"/>
  </si>
  <si>
    <t>소규모 포장복구</t>
    <phoneticPr fontId="2" type="noConversion"/>
  </si>
  <si>
    <t>소파보수</t>
    <phoneticPr fontId="2" type="noConversion"/>
  </si>
  <si>
    <t>소파보수, 10m2 미만</t>
    <phoneticPr fontId="2" type="noConversion"/>
  </si>
  <si>
    <t>소규모 도로긴급복구</t>
    <phoneticPr fontId="2" type="noConversion"/>
  </si>
  <si>
    <t>긴급 도로보수</t>
    <phoneticPr fontId="2" type="noConversion"/>
  </si>
  <si>
    <t>표층청소비</t>
    <phoneticPr fontId="2" type="noConversion"/>
  </si>
  <si>
    <t>과속방지턱설치</t>
    <phoneticPr fontId="2" type="noConversion"/>
  </si>
  <si>
    <t>3.6×0.08×1m</t>
    <phoneticPr fontId="2" type="noConversion"/>
  </si>
  <si>
    <t>공사안내현수막설치</t>
    <phoneticPr fontId="2" type="noConversion"/>
  </si>
  <si>
    <t>6.0m×0.9m</t>
    <phoneticPr fontId="2" type="noConversion"/>
  </si>
  <si>
    <t>개</t>
    <phoneticPr fontId="2" type="noConversion"/>
  </si>
  <si>
    <t>공사안내간판설치</t>
    <phoneticPr fontId="2" type="noConversion"/>
  </si>
  <si>
    <t>1.8m×0.9m</t>
    <phoneticPr fontId="2" type="noConversion"/>
  </si>
  <si>
    <t>방진막 설치</t>
    <phoneticPr fontId="2" type="noConversion"/>
  </si>
  <si>
    <t>기존비계사용</t>
    <phoneticPr fontId="2" type="noConversion"/>
  </si>
  <si>
    <t>낙하물방지망설치</t>
    <phoneticPr fontId="2" type="noConversion"/>
  </si>
  <si>
    <t>3개월</t>
    <phoneticPr fontId="2" type="noConversion"/>
  </si>
  <si>
    <t>6개월</t>
    <phoneticPr fontId="2" type="noConversion"/>
  </si>
  <si>
    <t>12개월</t>
    <phoneticPr fontId="2" type="noConversion"/>
  </si>
  <si>
    <t>콘테이너형가설사무실</t>
    <phoneticPr fontId="2" type="noConversion"/>
  </si>
  <si>
    <t>3.0×3.0   3개월</t>
    <phoneticPr fontId="2" type="noConversion"/>
  </si>
  <si>
    <t>동</t>
    <phoneticPr fontId="2" type="noConversion"/>
  </si>
  <si>
    <t>3.0×6.0   3개월</t>
    <phoneticPr fontId="2" type="noConversion"/>
  </si>
  <si>
    <t>3.0×3.0   6개월</t>
    <phoneticPr fontId="2" type="noConversion"/>
  </si>
  <si>
    <t>3.0×6.0   6개월</t>
    <phoneticPr fontId="2" type="noConversion"/>
  </si>
  <si>
    <t>3.0×9.0   6개월</t>
    <phoneticPr fontId="2" type="noConversion"/>
  </si>
  <si>
    <t>3.0×3.0  12개월</t>
    <phoneticPr fontId="2" type="noConversion"/>
  </si>
  <si>
    <t>3.0×6.0  12개월</t>
    <phoneticPr fontId="2" type="noConversion"/>
  </si>
  <si>
    <t>3.0×9.0  12개월</t>
    <phoneticPr fontId="2" type="noConversion"/>
  </si>
  <si>
    <t>콘테이너형가설창고</t>
    <phoneticPr fontId="2" type="noConversion"/>
  </si>
  <si>
    <t>P.E안전휀스</t>
    <phoneticPr fontId="2" type="noConversion"/>
  </si>
  <si>
    <t>1,510cm×910cm</t>
    <phoneticPr fontId="2" type="noConversion"/>
  </si>
  <si>
    <t>P.E안전휀스 3개월</t>
    <phoneticPr fontId="2" type="noConversion"/>
  </si>
  <si>
    <t>P.E안전휀스 6개월</t>
    <phoneticPr fontId="2" type="noConversion"/>
  </si>
  <si>
    <t>P.E안전휀스 12개월</t>
    <phoneticPr fontId="2" type="noConversion"/>
  </si>
  <si>
    <t>불도저</t>
    <phoneticPr fontId="2" type="noConversion"/>
  </si>
  <si>
    <t>19톤  무한궤도</t>
    <phoneticPr fontId="2" type="noConversion"/>
  </si>
  <si>
    <t>시간</t>
    <phoneticPr fontId="2" type="noConversion"/>
  </si>
  <si>
    <t>32톤  무한궤도</t>
    <phoneticPr fontId="2" type="noConversion"/>
  </si>
  <si>
    <t>유압식 리퍼</t>
    <phoneticPr fontId="2" type="noConversion"/>
  </si>
  <si>
    <t>굴삭기(무한궤도)</t>
    <phoneticPr fontId="2" type="noConversion"/>
  </si>
  <si>
    <t>0.4㎥</t>
    <phoneticPr fontId="2" type="noConversion"/>
  </si>
  <si>
    <t>시간</t>
    <phoneticPr fontId="2" type="noConversion"/>
  </si>
  <si>
    <t>굴삭기(무한궤도)</t>
    <phoneticPr fontId="2" type="noConversion"/>
  </si>
  <si>
    <t>0.7㎥</t>
    <phoneticPr fontId="2" type="noConversion"/>
  </si>
  <si>
    <t>1.0㎥</t>
    <phoneticPr fontId="2" type="noConversion"/>
  </si>
  <si>
    <t>습지굴삭기(무한궤도)</t>
    <phoneticPr fontId="2" type="noConversion"/>
  </si>
  <si>
    <t>0.4㎥</t>
    <phoneticPr fontId="2" type="noConversion"/>
  </si>
  <si>
    <t>대형브레이커</t>
    <phoneticPr fontId="2" type="noConversion"/>
  </si>
  <si>
    <t>0.2㎥</t>
    <phoneticPr fontId="2" type="noConversion"/>
  </si>
  <si>
    <t>로더(무한궤도)</t>
    <phoneticPr fontId="2" type="noConversion"/>
  </si>
  <si>
    <t>1.34㎥</t>
    <phoneticPr fontId="2" type="noConversion"/>
  </si>
  <si>
    <t>1.72㎥</t>
    <phoneticPr fontId="2" type="noConversion"/>
  </si>
  <si>
    <t>시간</t>
    <phoneticPr fontId="2" type="noConversion"/>
  </si>
  <si>
    <t>로더(타이어)</t>
    <phoneticPr fontId="2" type="noConversion"/>
  </si>
  <si>
    <t>0.57㎥</t>
    <phoneticPr fontId="2" type="noConversion"/>
  </si>
  <si>
    <t>1.34㎥</t>
    <phoneticPr fontId="2" type="noConversion"/>
  </si>
  <si>
    <t>1.72㎥</t>
    <phoneticPr fontId="2" type="noConversion"/>
  </si>
  <si>
    <t>모터 그레이더</t>
    <phoneticPr fontId="2" type="noConversion"/>
  </si>
  <si>
    <t>3.6m(일반용)</t>
    <phoneticPr fontId="2" type="noConversion"/>
  </si>
  <si>
    <t>덤프트럭</t>
    <phoneticPr fontId="2" type="noConversion"/>
  </si>
  <si>
    <t>2.5톤</t>
    <phoneticPr fontId="2" type="noConversion"/>
  </si>
  <si>
    <t>4.5톤</t>
    <phoneticPr fontId="2" type="noConversion"/>
  </si>
  <si>
    <t>8톤</t>
    <phoneticPr fontId="2" type="noConversion"/>
  </si>
  <si>
    <t>15톤</t>
    <phoneticPr fontId="2" type="noConversion"/>
  </si>
  <si>
    <t>20톤</t>
    <phoneticPr fontId="2" type="noConversion"/>
  </si>
  <si>
    <t>24톤</t>
    <phoneticPr fontId="2" type="noConversion"/>
  </si>
  <si>
    <t>매캐덤롤러</t>
    <phoneticPr fontId="2" type="noConversion"/>
  </si>
  <si>
    <t>8-10톤 자주식</t>
    <phoneticPr fontId="2" type="noConversion"/>
  </si>
  <si>
    <t>10-12톤 자주식</t>
    <phoneticPr fontId="2" type="noConversion"/>
  </si>
  <si>
    <t>탠덤롤러</t>
    <phoneticPr fontId="2" type="noConversion"/>
  </si>
  <si>
    <t>1톤 자주식</t>
    <phoneticPr fontId="2" type="noConversion"/>
  </si>
  <si>
    <t>5-8톤 자주식</t>
    <phoneticPr fontId="2" type="noConversion"/>
  </si>
  <si>
    <t>10-14톤 자주식</t>
    <phoneticPr fontId="2" type="noConversion"/>
  </si>
  <si>
    <t>진동롤러</t>
    <phoneticPr fontId="2" type="noConversion"/>
  </si>
  <si>
    <t>2.5톤 자주식</t>
    <phoneticPr fontId="2" type="noConversion"/>
  </si>
  <si>
    <t>4.4톤 자주식</t>
    <phoneticPr fontId="2" type="noConversion"/>
  </si>
  <si>
    <t>10톤 자주식</t>
    <phoneticPr fontId="2" type="noConversion"/>
  </si>
  <si>
    <t>진동롤러(핸드가이드식)</t>
    <phoneticPr fontId="2" type="noConversion"/>
  </si>
  <si>
    <t>0.7톤</t>
    <phoneticPr fontId="2" type="noConversion"/>
  </si>
  <si>
    <t>타이어롤러</t>
    <phoneticPr fontId="2" type="noConversion"/>
  </si>
  <si>
    <t>8-15톤 자주식</t>
    <phoneticPr fontId="2" type="noConversion"/>
  </si>
  <si>
    <t>램머</t>
    <phoneticPr fontId="2" type="noConversion"/>
  </si>
  <si>
    <t>80kg</t>
    <phoneticPr fontId="2" type="noConversion"/>
  </si>
  <si>
    <t>크레인</t>
    <phoneticPr fontId="2" type="noConversion"/>
  </si>
  <si>
    <t>10톤 무한궤도</t>
    <phoneticPr fontId="2" type="noConversion"/>
  </si>
  <si>
    <t>20톤 무한궤도</t>
    <phoneticPr fontId="2" type="noConversion"/>
  </si>
  <si>
    <t>30톤 무한궤도</t>
    <phoneticPr fontId="2" type="noConversion"/>
  </si>
  <si>
    <t>50톤 무한궤도</t>
    <phoneticPr fontId="2" type="noConversion"/>
  </si>
  <si>
    <t>70톤 무한궤도</t>
    <phoneticPr fontId="2" type="noConversion"/>
  </si>
  <si>
    <t>80톤 무한궤도</t>
    <phoneticPr fontId="2" type="noConversion"/>
  </si>
  <si>
    <t>트럭탑재형 크레인</t>
    <phoneticPr fontId="2" type="noConversion"/>
  </si>
  <si>
    <t>경운기</t>
    <phoneticPr fontId="2" type="noConversion"/>
  </si>
  <si>
    <t>1,000kg</t>
    <phoneticPr fontId="2" type="noConversion"/>
  </si>
  <si>
    <t>트랙터</t>
    <phoneticPr fontId="2" type="noConversion"/>
  </si>
  <si>
    <t>3.5톤  타이어</t>
    <phoneticPr fontId="2" type="noConversion"/>
  </si>
  <si>
    <t>트레일러</t>
    <phoneticPr fontId="2" type="noConversion"/>
  </si>
  <si>
    <t>30톤</t>
    <phoneticPr fontId="2" type="noConversion"/>
  </si>
  <si>
    <t>40톤</t>
    <phoneticPr fontId="2" type="noConversion"/>
  </si>
  <si>
    <t>60톤</t>
    <phoneticPr fontId="2" type="noConversion"/>
  </si>
  <si>
    <t>아스팔트페이버</t>
    <phoneticPr fontId="2" type="noConversion"/>
  </si>
  <si>
    <t>3m</t>
    <phoneticPr fontId="2" type="noConversion"/>
  </si>
  <si>
    <t>아스팔트디스트리뷰터</t>
    <phoneticPr fontId="2" type="noConversion"/>
  </si>
  <si>
    <t>3,800ℓ</t>
    <phoneticPr fontId="2" type="noConversion"/>
  </si>
  <si>
    <t>콘크리트믹서</t>
    <phoneticPr fontId="2" type="noConversion"/>
  </si>
  <si>
    <t>0.45㎥</t>
    <phoneticPr fontId="2" type="noConversion"/>
  </si>
  <si>
    <t>커터</t>
    <phoneticPr fontId="2" type="noConversion"/>
  </si>
  <si>
    <t>콘크리트 및 아스팔트용</t>
    <phoneticPr fontId="2" type="noConversion"/>
  </si>
  <si>
    <t>콘크리트펌프</t>
    <phoneticPr fontId="2" type="noConversion"/>
  </si>
  <si>
    <t>80㎥/hr</t>
    <phoneticPr fontId="2" type="noConversion"/>
  </si>
  <si>
    <t>콘크리트진동기</t>
    <phoneticPr fontId="2" type="noConversion"/>
  </si>
  <si>
    <t>45Ø 3.5HP</t>
    <phoneticPr fontId="2" type="noConversion"/>
  </si>
  <si>
    <t>45Ø 0.75kw</t>
    <phoneticPr fontId="2" type="noConversion"/>
  </si>
  <si>
    <t>공기압축기(이동식)</t>
    <phoneticPr fontId="2" type="noConversion"/>
  </si>
  <si>
    <t>3.5㎥/min</t>
    <phoneticPr fontId="2" type="noConversion"/>
  </si>
  <si>
    <t>10.3㎥/min</t>
    <phoneticPr fontId="2" type="noConversion"/>
  </si>
  <si>
    <t>17㎥/min</t>
    <phoneticPr fontId="2" type="noConversion"/>
  </si>
  <si>
    <t>페이브먼트 브레이커</t>
    <phoneticPr fontId="2" type="noConversion"/>
  </si>
  <si>
    <t>25kg</t>
    <phoneticPr fontId="2" type="noConversion"/>
  </si>
  <si>
    <t>크롤러드릴</t>
    <phoneticPr fontId="2" type="noConversion"/>
  </si>
  <si>
    <t>착암기</t>
    <phoneticPr fontId="2" type="noConversion"/>
  </si>
  <si>
    <t>2.7㎥/min</t>
    <phoneticPr fontId="2" type="noConversion"/>
  </si>
  <si>
    <t xml:space="preserve">에어호스 </t>
    <phoneticPr fontId="2" type="noConversion"/>
  </si>
  <si>
    <t>(1.84cm)×3B×50m</t>
    <phoneticPr fontId="2" type="noConversion"/>
  </si>
  <si>
    <t>노면파쇄기</t>
    <phoneticPr fontId="2" type="noConversion"/>
  </si>
  <si>
    <t>2.0m, T=5cm</t>
    <phoneticPr fontId="2" type="noConversion"/>
  </si>
  <si>
    <t>디젤파일해머</t>
    <phoneticPr fontId="2" type="noConversion"/>
  </si>
  <si>
    <t>1.5톤</t>
    <phoneticPr fontId="2" type="noConversion"/>
  </si>
  <si>
    <t>2.2톤</t>
    <phoneticPr fontId="2" type="noConversion"/>
  </si>
  <si>
    <t>진동파일해머</t>
    <phoneticPr fontId="2" type="noConversion"/>
  </si>
  <si>
    <t>30kw</t>
    <phoneticPr fontId="2" type="noConversion"/>
  </si>
  <si>
    <t>60kw</t>
    <phoneticPr fontId="2" type="noConversion"/>
  </si>
  <si>
    <t>물탱크(살수차)</t>
    <phoneticPr fontId="2" type="noConversion"/>
  </si>
  <si>
    <t>5,500ℓ</t>
    <phoneticPr fontId="2" type="noConversion"/>
  </si>
  <si>
    <t>물탱크(살수차)</t>
    <phoneticPr fontId="2" type="noConversion"/>
  </si>
  <si>
    <t>1.6톤</t>
    <phoneticPr fontId="2" type="noConversion"/>
  </si>
  <si>
    <t>라인마커</t>
    <phoneticPr fontId="2" type="noConversion"/>
  </si>
  <si>
    <t>10km/hr</t>
    <phoneticPr fontId="2" type="noConversion"/>
  </si>
  <si>
    <t>건설용펌프(자흡식)</t>
    <phoneticPr fontId="2" type="noConversion"/>
  </si>
  <si>
    <t>100mm 5HP</t>
    <phoneticPr fontId="2" type="noConversion"/>
  </si>
  <si>
    <t>아스팔트스프레이어</t>
    <phoneticPr fontId="2" type="noConversion"/>
  </si>
  <si>
    <t>400ℓ</t>
    <phoneticPr fontId="2" type="noConversion"/>
  </si>
  <si>
    <t>플레이트콤펙터</t>
    <phoneticPr fontId="2" type="noConversion"/>
  </si>
  <si>
    <t>1.5톤</t>
    <phoneticPr fontId="2" type="noConversion"/>
  </si>
  <si>
    <t>7. 배 수 공</t>
    <phoneticPr fontId="2" type="noConversion"/>
  </si>
  <si>
    <t>원형거푸집</t>
    <phoneticPr fontId="2" type="noConversion"/>
  </si>
  <si>
    <t>1회</t>
    <phoneticPr fontId="2" type="noConversion"/>
  </si>
  <si>
    <t>3회</t>
    <phoneticPr fontId="2" type="noConversion"/>
  </si>
  <si>
    <t>하수관부설(관급)</t>
    <phoneticPr fontId="2" type="noConversion"/>
  </si>
  <si>
    <t>원심력측구수로관설치</t>
    <phoneticPr fontId="2" type="noConversion"/>
  </si>
  <si>
    <t>유개, D=300mm</t>
    <phoneticPr fontId="2" type="noConversion"/>
  </si>
  <si>
    <t>유개, D=450mm</t>
    <phoneticPr fontId="2" type="noConversion"/>
  </si>
  <si>
    <t>하수관기초(부순돌)</t>
    <phoneticPr fontId="2" type="noConversion"/>
  </si>
  <si>
    <t>0.10×1.1m,D=450mm</t>
    <phoneticPr fontId="2" type="noConversion"/>
  </si>
  <si>
    <t>0.15×1.3m,D=600mm</t>
    <phoneticPr fontId="2" type="noConversion"/>
  </si>
  <si>
    <t>0.15×1.4m,D=700mm</t>
    <phoneticPr fontId="2" type="noConversion"/>
  </si>
  <si>
    <t>0.2×1.5m,D=800mm</t>
    <phoneticPr fontId="2" type="noConversion"/>
  </si>
  <si>
    <t>0.2×1.65m,D=900mm</t>
    <phoneticPr fontId="2" type="noConversion"/>
  </si>
  <si>
    <t>0.2×1.70m,D=1000mm</t>
    <phoneticPr fontId="2" type="noConversion"/>
  </si>
  <si>
    <t>0.25×2.2m,D=1200mm</t>
    <phoneticPr fontId="2" type="noConversion"/>
  </si>
  <si>
    <t>0.3×2.45m,D=1500mm</t>
    <phoneticPr fontId="2" type="noConversion"/>
  </si>
  <si>
    <t>하수관천공 및 접합</t>
    <phoneticPr fontId="2" type="noConversion"/>
  </si>
  <si>
    <t>본관450,연결관150</t>
    <phoneticPr fontId="2" type="noConversion"/>
  </si>
  <si>
    <t>본관450,연결관250</t>
    <phoneticPr fontId="2" type="noConversion"/>
  </si>
  <si>
    <t>본관600,연결관150</t>
    <phoneticPr fontId="2" type="noConversion"/>
  </si>
  <si>
    <t>본관600,연결관300</t>
    <phoneticPr fontId="2" type="noConversion"/>
  </si>
  <si>
    <t>본관700,연결관150</t>
    <phoneticPr fontId="2" type="noConversion"/>
  </si>
  <si>
    <t>본관700,연결관300</t>
    <phoneticPr fontId="2" type="noConversion"/>
  </si>
  <si>
    <t>본관800,연결관150</t>
    <phoneticPr fontId="2" type="noConversion"/>
  </si>
  <si>
    <t>본관800,연결관300</t>
    <phoneticPr fontId="2" type="noConversion"/>
  </si>
  <si>
    <t>본관900,연결관150</t>
    <phoneticPr fontId="2" type="noConversion"/>
  </si>
  <si>
    <t>본관900,연결관300</t>
    <phoneticPr fontId="2" type="noConversion"/>
  </si>
  <si>
    <t>본관1000,연결관150</t>
    <phoneticPr fontId="2" type="noConversion"/>
  </si>
  <si>
    <t>본관1000,연결관300</t>
    <phoneticPr fontId="2" type="noConversion"/>
  </si>
  <si>
    <t>본관1200,연결관150</t>
    <phoneticPr fontId="2" type="noConversion"/>
  </si>
  <si>
    <t>본관1200,연결관300</t>
    <phoneticPr fontId="2" type="noConversion"/>
  </si>
  <si>
    <t>천공 및 접합(단지관)</t>
    <phoneticPr fontId="2" type="noConversion"/>
  </si>
  <si>
    <t>빗물받이인상교체</t>
    <phoneticPr fontId="2" type="noConversion"/>
  </si>
  <si>
    <t>395×495mm</t>
    <phoneticPr fontId="2" type="noConversion"/>
  </si>
  <si>
    <t>410×1010×60mm</t>
    <phoneticPr fontId="2" type="noConversion"/>
  </si>
  <si>
    <t>물푸기</t>
    <phoneticPr fontId="2" type="noConversion"/>
  </si>
  <si>
    <t>50m기준</t>
    <phoneticPr fontId="2" type="noConversion"/>
  </si>
  <si>
    <t>가정하수도복구공</t>
    <phoneticPr fontId="2" type="noConversion"/>
  </si>
  <si>
    <t>P.V.C 150mm기준</t>
    <phoneticPr fontId="2" type="noConversion"/>
  </si>
  <si>
    <t>맨홀설치(원형)1호P.E</t>
    <phoneticPr fontId="2" type="noConversion"/>
  </si>
  <si>
    <t>(내경90cm)-벽체1m</t>
    <phoneticPr fontId="2" type="noConversion"/>
  </si>
  <si>
    <t>맨홀설치(원형)2호P.E</t>
    <phoneticPr fontId="2" type="noConversion"/>
  </si>
  <si>
    <t>(내경120cm)-벽체1m</t>
    <phoneticPr fontId="2" type="noConversion"/>
  </si>
  <si>
    <t>맨홀설치(원형)3호P.E</t>
    <phoneticPr fontId="2" type="noConversion"/>
  </si>
  <si>
    <t>(내경150cm)-벽체1m</t>
    <phoneticPr fontId="2" type="noConversion"/>
  </si>
  <si>
    <t>맨홀설치(원형)1호</t>
    <phoneticPr fontId="2" type="noConversion"/>
  </si>
  <si>
    <t>맨홀설치(원형)2호</t>
    <phoneticPr fontId="2" type="noConversion"/>
  </si>
  <si>
    <t>맨홀설치(원형)3호</t>
    <phoneticPr fontId="2" type="noConversion"/>
  </si>
  <si>
    <t>빗물받이설치</t>
    <phoneticPr fontId="2" type="noConversion"/>
  </si>
  <si>
    <t>500×395×50mm</t>
    <phoneticPr fontId="2" type="noConversion"/>
  </si>
  <si>
    <t>빗물받이설치(1면공제)</t>
    <phoneticPr fontId="2" type="noConversion"/>
  </si>
  <si>
    <t>1010×410×55mm</t>
    <phoneticPr fontId="2" type="noConversion"/>
  </si>
  <si>
    <t>횡단하수거설치</t>
    <phoneticPr fontId="2" type="noConversion"/>
  </si>
  <si>
    <t>H=40cm,B=30cm</t>
    <phoneticPr fontId="2" type="noConversion"/>
  </si>
  <si>
    <t>관내T.V조사공</t>
    <phoneticPr fontId="2" type="noConversion"/>
  </si>
  <si>
    <t>m</t>
    <phoneticPr fontId="2" type="noConversion"/>
  </si>
  <si>
    <t>P.P포대제작설치,헐기</t>
    <phoneticPr fontId="2" type="noConversion"/>
  </si>
  <si>
    <t>물막이용</t>
    <phoneticPr fontId="2" type="noConversion"/>
  </si>
  <si>
    <t>㎥</t>
    <phoneticPr fontId="2" type="noConversion"/>
  </si>
  <si>
    <t>실명제표지판</t>
    <phoneticPr fontId="2" type="noConversion"/>
  </si>
  <si>
    <t>15×10cm(스테인레스)</t>
    <phoneticPr fontId="2" type="noConversion"/>
  </si>
  <si>
    <t>실명제표지판</t>
    <phoneticPr fontId="2" type="noConversion"/>
  </si>
  <si>
    <t>15×10cm(알루마이트)</t>
    <phoneticPr fontId="2" type="noConversion"/>
  </si>
  <si>
    <t>가정급수관이설</t>
    <phoneticPr fontId="2" type="noConversion"/>
  </si>
  <si>
    <t>25mm기준</t>
    <phoneticPr fontId="2" type="noConversion"/>
  </si>
  <si>
    <t>50mm기준</t>
    <phoneticPr fontId="2" type="noConversion"/>
  </si>
  <si>
    <t>총     계</t>
    <phoneticPr fontId="2" type="noConversion"/>
  </si>
  <si>
    <t>Q = A * N * H * f * E / p</t>
    <phoneticPr fontId="2" type="noConversion"/>
  </si>
  <si>
    <t>1회당 유효 다짐면적(㎡)</t>
    <phoneticPr fontId="2" type="noConversion"/>
  </si>
  <si>
    <t>1시간당 타격회수 : 80kg -&gt; 36000 (회/hr)</t>
    <phoneticPr fontId="2" type="noConversion"/>
  </si>
  <si>
    <t>다짐 두께(M) (성토-15cm : 점토-10cm) (m)</t>
    <phoneticPr fontId="2" type="noConversion"/>
  </si>
  <si>
    <t>작업 효율(0.3~0.7)</t>
    <phoneticPr fontId="2" type="noConversion"/>
  </si>
  <si>
    <t>중복 다짐 회수(57회)</t>
    <phoneticPr fontId="2" type="noConversion"/>
  </si>
  <si>
    <r>
      <t>(10</t>
    </r>
    <r>
      <rPr>
        <vertAlign val="superscript"/>
        <sz val="10"/>
        <rFont val="08서울남산체 L"/>
        <family val="1"/>
        <charset val="129"/>
      </rPr>
      <t>-7</t>
    </r>
    <r>
      <rPr>
        <sz val="10"/>
        <rFont val="08서울남산체 L"/>
        <family val="1"/>
        <charset val="129"/>
      </rPr>
      <t>)</t>
    </r>
    <phoneticPr fontId="2" type="noConversion"/>
  </si>
  <si>
    <r>
      <t>×10</t>
    </r>
    <r>
      <rPr>
        <vertAlign val="superscript"/>
        <sz val="10"/>
        <rFont val="08서울남산체 L"/>
        <family val="1"/>
        <charset val="129"/>
      </rPr>
      <t>-7</t>
    </r>
    <phoneticPr fontId="2" type="noConversion"/>
  </si>
  <si>
    <t>=</t>
    <phoneticPr fontId="2" type="noConversion"/>
  </si>
  <si>
    <t>ton / hr</t>
    <phoneticPr fontId="2" type="noConversion"/>
  </si>
  <si>
    <t>×  2  ×  60  =</t>
    <phoneticPr fontId="2" type="noConversion"/>
  </si>
  <si>
    <t>min</t>
    <phoneticPr fontId="2" type="noConversion"/>
  </si>
  <si>
    <t xml:space="preserve">  =</t>
    <phoneticPr fontId="2" type="noConversion"/>
  </si>
  <si>
    <t>W =</t>
    <phoneticPr fontId="2" type="noConversion"/>
  </si>
  <si>
    <t>t₃=</t>
    <phoneticPr fontId="2" type="noConversion"/>
  </si>
  <si>
    <t xml:space="preserve">÷ </t>
    <phoneticPr fontId="2" type="noConversion"/>
  </si>
  <si>
    <t>=</t>
    <phoneticPr fontId="2" type="noConversion"/>
  </si>
  <si>
    <t>E  =</t>
    <phoneticPr fontId="2" type="noConversion"/>
  </si>
  <si>
    <t>t₄=</t>
    <phoneticPr fontId="2" type="noConversion"/>
  </si>
  <si>
    <t>용수비</t>
    <phoneticPr fontId="2" type="noConversion"/>
  </si>
  <si>
    <t>Cm =</t>
    <phoneticPr fontId="2" type="noConversion"/>
  </si>
  <si>
    <t>min</t>
    <phoneticPr fontId="2" type="noConversion"/>
  </si>
  <si>
    <t xml:space="preserve">÷ 100 </t>
    <phoneticPr fontId="2" type="noConversion"/>
  </si>
  <si>
    <t>N  =</t>
    <phoneticPr fontId="2" type="noConversion"/>
  </si>
  <si>
    <t>회</t>
    <phoneticPr fontId="2" type="noConversion"/>
  </si>
  <si>
    <t>원/㎥</t>
    <phoneticPr fontId="2" type="noConversion"/>
  </si>
  <si>
    <t>=</t>
    <phoneticPr fontId="2" type="noConversion"/>
  </si>
  <si>
    <t>a / hr</t>
    <phoneticPr fontId="2" type="noConversion"/>
  </si>
  <si>
    <t>ㅇ 1a  당 살수비</t>
    <phoneticPr fontId="2" type="noConversion"/>
  </si>
  <si>
    <t xml:space="preserve">-  재  료  비 </t>
    <phoneticPr fontId="2" type="noConversion"/>
  </si>
  <si>
    <t>÷</t>
    <phoneticPr fontId="2" type="noConversion"/>
  </si>
  <si>
    <t>원 / 회</t>
    <phoneticPr fontId="2" type="noConversion"/>
  </si>
  <si>
    <t>× 2 × 26/46 =</t>
    <phoneticPr fontId="2" type="noConversion"/>
  </si>
  <si>
    <t>원</t>
    <phoneticPr fontId="2" type="noConversion"/>
  </si>
  <si>
    <t>합      계</t>
    <phoneticPr fontId="2" type="noConversion"/>
  </si>
  <si>
    <t xml:space="preserve">-  노  무  비 </t>
    <phoneticPr fontId="2" type="noConversion"/>
  </si>
  <si>
    <t>× 2</t>
    <phoneticPr fontId="2" type="noConversion"/>
  </si>
  <si>
    <t xml:space="preserve">-  경       비 </t>
    <phoneticPr fontId="2" type="noConversion"/>
  </si>
  <si>
    <t xml:space="preserve">  -  노  무  비 :</t>
    <phoneticPr fontId="2" type="noConversion"/>
  </si>
  <si>
    <t>합       계</t>
    <phoneticPr fontId="2" type="noConversion"/>
  </si>
  <si>
    <t xml:space="preserve">  -  경       비 :</t>
    <phoneticPr fontId="2" type="noConversion"/>
  </si>
  <si>
    <t xml:space="preserve">  □ 보조기층공 </t>
    <phoneticPr fontId="2" type="noConversion"/>
  </si>
  <si>
    <t>(t=30cm)</t>
    <phoneticPr fontId="2" type="noConversion"/>
  </si>
  <si>
    <t>모터그레이더</t>
    <phoneticPr fontId="2" type="noConversion"/>
  </si>
  <si>
    <t xml:space="preserve">   □  혼합기층 포설 및 다짐(인력 10cm)</t>
    <phoneticPr fontId="2" type="noConversion"/>
  </si>
  <si>
    <t>/ a</t>
    <phoneticPr fontId="2" type="noConversion"/>
  </si>
  <si>
    <t>Q  =</t>
    <phoneticPr fontId="2" type="noConversion"/>
  </si>
  <si>
    <t>1시간당 작업량</t>
    <phoneticPr fontId="2" type="noConversion"/>
  </si>
  <si>
    <t xml:space="preserve">  1. 플레이트 콤펙터 다짐 - (2회)</t>
    <phoneticPr fontId="2" type="noConversion"/>
  </si>
  <si>
    <t>Q  =</t>
    <phoneticPr fontId="2" type="noConversion"/>
  </si>
  <si>
    <t xml:space="preserve">  60 ×  ℓ  ×  D  ×  H  ×  f  ×  E  /  (PㆍCm)</t>
    <phoneticPr fontId="2" type="noConversion"/>
  </si>
  <si>
    <t>D  =</t>
    <phoneticPr fontId="2" type="noConversion"/>
  </si>
  <si>
    <t xml:space="preserve"> 1,000 × V  × W ×  E  /  N</t>
    <phoneticPr fontId="2" type="noConversion"/>
  </si>
  <si>
    <t>V  =</t>
    <phoneticPr fontId="2" type="noConversion"/>
  </si>
  <si>
    <t xml:space="preserve">    </t>
    <phoneticPr fontId="2" type="noConversion"/>
  </si>
  <si>
    <t>f  =</t>
    <phoneticPr fontId="2" type="noConversion"/>
  </si>
  <si>
    <t xml:space="preserve">  =</t>
    <phoneticPr fontId="2" type="noConversion"/>
  </si>
  <si>
    <t>ℓ  =</t>
    <phoneticPr fontId="2" type="noConversion"/>
  </si>
  <si>
    <t>(60˚)</t>
    <phoneticPr fontId="2" type="noConversion"/>
  </si>
  <si>
    <t>W =</t>
    <phoneticPr fontId="2" type="noConversion"/>
  </si>
  <si>
    <t>P  =</t>
    <phoneticPr fontId="2" type="noConversion"/>
  </si>
  <si>
    <t>회</t>
    <phoneticPr fontId="2" type="noConversion"/>
  </si>
  <si>
    <t>㎥/ hr</t>
    <phoneticPr fontId="2" type="noConversion"/>
  </si>
  <si>
    <t>H  =</t>
    <phoneticPr fontId="2" type="noConversion"/>
  </si>
  <si>
    <t>E  =</t>
    <phoneticPr fontId="2" type="noConversion"/>
  </si>
  <si>
    <t>A  =</t>
    <phoneticPr fontId="2" type="noConversion"/>
  </si>
  <si>
    <t xml:space="preserve">÷ 100 </t>
    <phoneticPr fontId="2" type="noConversion"/>
  </si>
  <si>
    <t>N  =</t>
    <phoneticPr fontId="2" type="noConversion"/>
  </si>
  <si>
    <t>Cm  =</t>
    <phoneticPr fontId="2" type="noConversion"/>
  </si>
  <si>
    <t>a / hr</t>
    <phoneticPr fontId="2" type="noConversion"/>
  </si>
  <si>
    <t>0.06×(D/V₁+D/V²)+2t</t>
    <phoneticPr fontId="2" type="noConversion"/>
  </si>
  <si>
    <t>V₁=</t>
    <phoneticPr fontId="2" type="noConversion"/>
  </si>
  <si>
    <t>Km/hr</t>
    <phoneticPr fontId="2" type="noConversion"/>
  </si>
  <si>
    <t>V₂=</t>
    <phoneticPr fontId="2" type="noConversion"/>
  </si>
  <si>
    <t>Km/hr</t>
    <phoneticPr fontId="2" type="noConversion"/>
  </si>
  <si>
    <t>ㅇ 1a 당 1회 다짐시</t>
    <phoneticPr fontId="2" type="noConversion"/>
  </si>
  <si>
    <t>t  =</t>
    <phoneticPr fontId="2" type="noConversion"/>
  </si>
  <si>
    <t>분</t>
    <phoneticPr fontId="2" type="noConversion"/>
  </si>
  <si>
    <t>-  재  료  비</t>
    <phoneticPr fontId="2" type="noConversion"/>
  </si>
  <si>
    <t>×  10회</t>
    <phoneticPr fontId="2" type="noConversion"/>
  </si>
  <si>
    <t>-  노  무  비</t>
    <phoneticPr fontId="2" type="noConversion"/>
  </si>
  <si>
    <t xml:space="preserve">  2. 혼합기층 살수비 (인력)</t>
    <phoneticPr fontId="2" type="noConversion"/>
  </si>
  <si>
    <t>○ 인력살수</t>
    <phoneticPr fontId="2" type="noConversion"/>
  </si>
  <si>
    <t>보통인부</t>
    <phoneticPr fontId="2" type="noConversion"/>
  </si>
  <si>
    <t>원 / a</t>
    <phoneticPr fontId="2" type="noConversion"/>
  </si>
  <si>
    <t>진동롤러(자주식 10ton) 1회</t>
    <phoneticPr fontId="2" type="noConversion"/>
  </si>
  <si>
    <t xml:space="preserve">   □  혼합기층 포설 및 다짐(인력 20cm)</t>
    <phoneticPr fontId="2" type="noConversion"/>
  </si>
  <si>
    <t xml:space="preserve">  1. 플레이트 콤펙터 다짐 - (6회)</t>
    <phoneticPr fontId="2" type="noConversion"/>
  </si>
  <si>
    <t>A  =</t>
    <phoneticPr fontId="2" type="noConversion"/>
  </si>
  <si>
    <t xml:space="preserve"> 1,000 ×  V  ×  W  ×  E  ×  1 / N</t>
    <phoneticPr fontId="2" type="noConversion"/>
  </si>
  <si>
    <t>V  =</t>
    <phoneticPr fontId="2" type="noConversion"/>
  </si>
  <si>
    <t xml:space="preserve"> 1,000 × V  × W ×  E  /  N</t>
    <phoneticPr fontId="2" type="noConversion"/>
  </si>
  <si>
    <t xml:space="preserve">    </t>
    <phoneticPr fontId="2" type="noConversion"/>
  </si>
  <si>
    <t xml:space="preserve">     =</t>
    <phoneticPr fontId="2" type="noConversion"/>
  </si>
  <si>
    <t>W  =</t>
    <phoneticPr fontId="2" type="noConversion"/>
  </si>
  <si>
    <t xml:space="preserve">  =</t>
    <phoneticPr fontId="2" type="noConversion"/>
  </si>
  <si>
    <t>W =</t>
    <phoneticPr fontId="2" type="noConversion"/>
  </si>
  <si>
    <t>㎡ / hr</t>
    <phoneticPr fontId="2" type="noConversion"/>
  </si>
  <si>
    <t>E  =</t>
    <phoneticPr fontId="2" type="noConversion"/>
  </si>
  <si>
    <t>N  =</t>
    <phoneticPr fontId="2" type="noConversion"/>
  </si>
  <si>
    <t>회</t>
    <phoneticPr fontId="2" type="noConversion"/>
  </si>
  <si>
    <t xml:space="preserve">÷ 100 </t>
    <phoneticPr fontId="2" type="noConversion"/>
  </si>
  <si>
    <t>ㅇ 1a당 1회 다짐시</t>
    <phoneticPr fontId="2" type="noConversion"/>
  </si>
  <si>
    <t>타이어롤러(8-15ton) 1회(기층,보조기층)</t>
    <phoneticPr fontId="2" type="noConversion"/>
  </si>
  <si>
    <t xml:space="preserve">  ※  1a당 다짐비(보조기층)</t>
    <phoneticPr fontId="2" type="noConversion"/>
  </si>
  <si>
    <t>구분</t>
    <phoneticPr fontId="2" type="noConversion"/>
  </si>
  <si>
    <t>재료비</t>
    <phoneticPr fontId="2" type="noConversion"/>
  </si>
  <si>
    <t>노무비</t>
    <phoneticPr fontId="2" type="noConversion"/>
  </si>
  <si>
    <t>경비</t>
    <phoneticPr fontId="2" type="noConversion"/>
  </si>
  <si>
    <t>비고</t>
    <phoneticPr fontId="2" type="noConversion"/>
  </si>
  <si>
    <t>진동롤러</t>
    <phoneticPr fontId="2" type="noConversion"/>
  </si>
  <si>
    <t>10ton</t>
    <phoneticPr fontId="2" type="noConversion"/>
  </si>
  <si>
    <t>타이어롤러</t>
    <phoneticPr fontId="2" type="noConversion"/>
  </si>
  <si>
    <t>8~15ton</t>
    <phoneticPr fontId="2" type="noConversion"/>
  </si>
  <si>
    <t>□ 보조기층 살수비(t=30cm), (물탱크 5,500ℓ)</t>
    <phoneticPr fontId="2" type="noConversion"/>
  </si>
  <si>
    <t>q   =</t>
    <phoneticPr fontId="2" type="noConversion"/>
  </si>
  <si>
    <t>ℓ</t>
    <phoneticPr fontId="2" type="noConversion"/>
  </si>
  <si>
    <t xml:space="preserve">  60 × q ×  E  /  Cm</t>
    <phoneticPr fontId="2" type="noConversion"/>
  </si>
  <si>
    <t>E   =</t>
    <phoneticPr fontId="2" type="noConversion"/>
  </si>
  <si>
    <t>t₁=</t>
    <phoneticPr fontId="2" type="noConversion"/>
  </si>
  <si>
    <t>min (급수)</t>
    <phoneticPr fontId="2" type="noConversion"/>
  </si>
  <si>
    <t>t₂=</t>
    <phoneticPr fontId="2" type="noConversion"/>
  </si>
  <si>
    <t xml:space="preserve">min </t>
    <phoneticPr fontId="2" type="noConversion"/>
  </si>
  <si>
    <t>(</t>
    <phoneticPr fontId="2" type="noConversion"/>
  </si>
  <si>
    <t>)</t>
    <phoneticPr fontId="2" type="noConversion"/>
  </si>
  <si>
    <t>ton / hr</t>
    <phoneticPr fontId="2" type="noConversion"/>
  </si>
  <si>
    <t>×  2  ×  60  =</t>
    <phoneticPr fontId="2" type="noConversion"/>
  </si>
  <si>
    <t>min</t>
    <phoneticPr fontId="2" type="noConversion"/>
  </si>
  <si>
    <t>t₃=</t>
    <phoneticPr fontId="2" type="noConversion"/>
  </si>
  <si>
    <t xml:space="preserve">÷ </t>
    <phoneticPr fontId="2" type="noConversion"/>
  </si>
  <si>
    <t>t₄=</t>
    <phoneticPr fontId="2" type="noConversion"/>
  </si>
  <si>
    <t>Cm =</t>
    <phoneticPr fontId="2" type="noConversion"/>
  </si>
  <si>
    <t>× 3 × 26/46 =</t>
    <phoneticPr fontId="2" type="noConversion"/>
  </si>
  <si>
    <t>× 3</t>
    <phoneticPr fontId="2" type="noConversion"/>
  </si>
  <si>
    <r>
      <t>t₁+  t₂+  t₃+  t₄+  t</t>
    </r>
    <r>
      <rPr>
        <vertAlign val="subscript"/>
        <sz val="10"/>
        <rFont val="08서울남산체 L"/>
        <family val="1"/>
        <charset val="129"/>
      </rPr>
      <t>5</t>
    </r>
    <phoneticPr fontId="2" type="noConversion"/>
  </si>
  <si>
    <r>
      <t>t</t>
    </r>
    <r>
      <rPr>
        <vertAlign val="subscript"/>
        <sz val="10"/>
        <rFont val="08서울남산체 L"/>
        <family val="1"/>
        <charset val="129"/>
      </rPr>
      <t xml:space="preserve">5 </t>
    </r>
    <r>
      <rPr>
        <sz val="10"/>
        <rFont val="08서울남산체 L"/>
        <family val="1"/>
        <charset val="129"/>
      </rPr>
      <t xml:space="preserve"> =</t>
    </r>
    <phoneticPr fontId="2" type="noConversion"/>
  </si>
  <si>
    <r>
      <t>L</t>
    </r>
    <r>
      <rPr>
        <vertAlign val="subscript"/>
        <sz val="10"/>
        <rFont val="08서울남산체 L"/>
        <family val="1"/>
        <charset val="129"/>
      </rPr>
      <t>1</t>
    </r>
    <r>
      <rPr>
        <sz val="10"/>
        <rFont val="08서울남산체 L"/>
        <family val="1"/>
        <charset val="129"/>
      </rPr>
      <t>=</t>
    </r>
    <phoneticPr fontId="2" type="noConversion"/>
  </si>
  <si>
    <r>
      <t>V</t>
    </r>
    <r>
      <rPr>
        <vertAlign val="subscript"/>
        <sz val="10"/>
        <rFont val="08서울남산체 L"/>
        <family val="1"/>
        <charset val="129"/>
      </rPr>
      <t>1</t>
    </r>
    <r>
      <rPr>
        <sz val="10"/>
        <rFont val="08서울남산체 L"/>
        <family val="1"/>
        <charset val="129"/>
      </rPr>
      <t>=</t>
    </r>
    <phoneticPr fontId="2" type="noConversion"/>
  </si>
  <si>
    <r>
      <t>L</t>
    </r>
    <r>
      <rPr>
        <vertAlign val="subscript"/>
        <sz val="10"/>
        <rFont val="08서울남산체 L"/>
        <family val="1"/>
        <charset val="129"/>
      </rPr>
      <t>2</t>
    </r>
    <r>
      <rPr>
        <sz val="10"/>
        <rFont val="08서울남산체 L"/>
        <family val="1"/>
        <charset val="129"/>
      </rPr>
      <t>=</t>
    </r>
    <phoneticPr fontId="2" type="noConversion"/>
  </si>
  <si>
    <r>
      <t>V</t>
    </r>
    <r>
      <rPr>
        <vertAlign val="subscript"/>
        <sz val="10"/>
        <rFont val="08서울남산체 L"/>
        <family val="1"/>
        <charset val="129"/>
      </rPr>
      <t>2</t>
    </r>
    <r>
      <rPr>
        <sz val="10"/>
        <rFont val="08서울남산체 L"/>
        <family val="1"/>
        <charset val="129"/>
      </rPr>
      <t>=</t>
    </r>
    <phoneticPr fontId="2" type="noConversion"/>
  </si>
  <si>
    <r>
      <t>L</t>
    </r>
    <r>
      <rPr>
        <vertAlign val="subscript"/>
        <sz val="10"/>
        <rFont val="08서울남산체 L"/>
        <family val="1"/>
        <charset val="129"/>
      </rPr>
      <t>3</t>
    </r>
    <r>
      <rPr>
        <sz val="10"/>
        <rFont val="08서울남산체 L"/>
        <family val="1"/>
        <charset val="129"/>
      </rPr>
      <t>=</t>
    </r>
    <phoneticPr fontId="2" type="noConversion"/>
  </si>
  <si>
    <r>
      <t>V</t>
    </r>
    <r>
      <rPr>
        <vertAlign val="subscript"/>
        <sz val="10"/>
        <rFont val="08서울남산체 L"/>
        <family val="1"/>
        <charset val="129"/>
      </rPr>
      <t>3</t>
    </r>
    <r>
      <rPr>
        <sz val="10"/>
        <rFont val="08서울남산체 L"/>
        <family val="1"/>
        <charset val="129"/>
      </rPr>
      <t>=</t>
    </r>
    <phoneticPr fontId="2" type="noConversion"/>
  </si>
  <si>
    <r>
      <t>L</t>
    </r>
    <r>
      <rPr>
        <vertAlign val="subscript"/>
        <sz val="10"/>
        <rFont val="08서울남산체 L"/>
        <family val="1"/>
        <charset val="129"/>
      </rPr>
      <t>4</t>
    </r>
    <r>
      <rPr>
        <sz val="10"/>
        <rFont val="08서울남산체 L"/>
        <family val="1"/>
        <charset val="129"/>
      </rPr>
      <t>=</t>
    </r>
    <phoneticPr fontId="2" type="noConversion"/>
  </si>
  <si>
    <r>
      <t>V</t>
    </r>
    <r>
      <rPr>
        <vertAlign val="subscript"/>
        <sz val="10"/>
        <rFont val="08서울남산체 L"/>
        <family val="1"/>
        <charset val="129"/>
      </rPr>
      <t>4</t>
    </r>
    <r>
      <rPr>
        <sz val="10"/>
        <rFont val="08서울남산체 L"/>
        <family val="1"/>
        <charset val="129"/>
      </rPr>
      <t>=</t>
    </r>
    <phoneticPr fontId="2" type="noConversion"/>
  </si>
  <si>
    <r>
      <t>t₁+  t₂+  t₃+  t₄+  t</t>
    </r>
    <r>
      <rPr>
        <vertAlign val="subscript"/>
        <sz val="10"/>
        <rFont val="08서울남산체 L"/>
        <family val="1"/>
        <charset val="129"/>
      </rPr>
      <t>5</t>
    </r>
    <r>
      <rPr>
        <sz val="10"/>
        <rFont val="08서울남산체 L"/>
        <family val="1"/>
        <charset val="129"/>
      </rPr>
      <t xml:space="preserve"> </t>
    </r>
    <phoneticPr fontId="2" type="noConversion"/>
  </si>
  <si>
    <r>
      <t>t</t>
    </r>
    <r>
      <rPr>
        <vertAlign val="subscript"/>
        <sz val="10"/>
        <rFont val="08서울남산체 L"/>
        <family val="1"/>
        <charset val="129"/>
      </rPr>
      <t>5</t>
    </r>
    <r>
      <rPr>
        <sz val="10"/>
        <rFont val="08서울남산체 L"/>
        <family val="1"/>
        <charset val="129"/>
      </rPr>
      <t xml:space="preserve"> =</t>
    </r>
    <phoneticPr fontId="2" type="noConversion"/>
  </si>
  <si>
    <t>환율적용</t>
    <phoneticPr fontId="2" type="noConversion"/>
  </si>
  <si>
    <t>0502</t>
    <phoneticPr fontId="2" type="noConversion"/>
  </si>
  <si>
    <t>50t×8m</t>
    <phoneticPr fontId="2" type="noConversion"/>
  </si>
  <si>
    <t>50t×12m</t>
    <phoneticPr fontId="2" type="noConversion"/>
  </si>
  <si>
    <t>50t×16m</t>
    <phoneticPr fontId="2" type="noConversion"/>
  </si>
  <si>
    <t>50t×20m</t>
    <phoneticPr fontId="2" type="noConversion"/>
  </si>
  <si>
    <t>2210건설용리프트(인화물용)</t>
    <phoneticPr fontId="2" type="noConversion"/>
  </si>
  <si>
    <t>3201아스팔트페이버(피니셔)</t>
    <phoneticPr fontId="2" type="noConversion"/>
  </si>
  <si>
    <t>3302아스팔트디스트리뷰터</t>
    <phoneticPr fontId="2" type="noConversion"/>
  </si>
  <si>
    <t>73.7+
휘발유54.5</t>
    <phoneticPr fontId="2" type="noConversion"/>
  </si>
  <si>
    <t>3801-0795</t>
    <phoneticPr fontId="2" type="noConversion"/>
  </si>
  <si>
    <t>크롤러드릴(공기식)</t>
    <phoneticPr fontId="2" type="noConversion"/>
  </si>
  <si>
    <t>5630착암기(래그해머)</t>
    <phoneticPr fontId="2" type="noConversion"/>
  </si>
  <si>
    <t>6107안정액믹서(벤토나이트믹서)</t>
    <phoneticPr fontId="2" type="noConversion"/>
  </si>
  <si>
    <t>6517리버스써큘레이션드릴</t>
    <phoneticPr fontId="2" type="noConversion"/>
  </si>
  <si>
    <t>6532진동파일해머(유압식)</t>
    <phoneticPr fontId="2" type="noConversion"/>
  </si>
  <si>
    <t>6601유압회전식굴착기(지하연속벽용)</t>
    <phoneticPr fontId="2" type="noConversion"/>
  </si>
  <si>
    <t>6602유압식무한궤도크레인(지하연속벽용)</t>
    <phoneticPr fontId="2" type="noConversion"/>
  </si>
  <si>
    <t>7101고성능착정기</t>
    <phoneticPr fontId="2" type="noConversion"/>
  </si>
  <si>
    <t>7106골재살포기(자주식)</t>
    <phoneticPr fontId="2" type="noConversion"/>
  </si>
  <si>
    <t>7205이동식임목파쇄기</t>
    <phoneticPr fontId="2" type="noConversion"/>
  </si>
  <si>
    <t>93.25kW</t>
    <phoneticPr fontId="2" type="noConversion"/>
  </si>
  <si>
    <t>7206부착용집게</t>
    <phoneticPr fontId="2" type="noConversion"/>
  </si>
  <si>
    <t>7621프라즈마절단기</t>
    <phoneticPr fontId="2" type="noConversion"/>
  </si>
  <si>
    <t>7730-0100</t>
    <phoneticPr fontId="2" type="noConversion"/>
  </si>
  <si>
    <t>7740-0100</t>
    <phoneticPr fontId="2" type="noConversion"/>
  </si>
  <si>
    <t>7740-0150</t>
    <phoneticPr fontId="2" type="noConversion"/>
  </si>
  <si>
    <t>비항SD 224kW</t>
    <phoneticPr fontId="2" type="noConversion"/>
  </si>
  <si>
    <t>9010-0060</t>
    <phoneticPr fontId="2" type="noConversion"/>
  </si>
  <si>
    <t>9010-0080</t>
    <phoneticPr fontId="2" type="noConversion"/>
  </si>
  <si>
    <t>번호</t>
  </si>
  <si>
    <t>직종</t>
  </si>
  <si>
    <t>*1045</t>
  </si>
  <si>
    <t>-</t>
  </si>
  <si>
    <t>*1053</t>
  </si>
  <si>
    <t>*1055</t>
  </si>
  <si>
    <t>*1059</t>
  </si>
  <si>
    <t>*1065</t>
  </si>
  <si>
    <t>*3008</t>
  </si>
  <si>
    <t>*3010</t>
  </si>
  <si>
    <t>*1068</t>
  </si>
  <si>
    <t>*3012</t>
  </si>
  <si>
    <t>*5007</t>
  </si>
  <si>
    <t>소프트웨어</t>
    <phoneticPr fontId="2" type="noConversion"/>
  </si>
  <si>
    <t>건설및기타</t>
    <phoneticPr fontId="2" type="noConversion"/>
  </si>
  <si>
    <t>측량</t>
    <phoneticPr fontId="2" type="noConversion"/>
  </si>
  <si>
    <t>기술사(SW)</t>
    <phoneticPr fontId="2" type="noConversion"/>
  </si>
  <si>
    <t>기술사(건)</t>
    <phoneticPr fontId="2" type="noConversion"/>
  </si>
  <si>
    <t>기
술
계</t>
    <phoneticPr fontId="2" type="noConversion"/>
  </si>
  <si>
    <t>기술사(측기)</t>
    <phoneticPr fontId="2" type="noConversion"/>
  </si>
  <si>
    <t>특급기술자(SW)</t>
    <phoneticPr fontId="2" type="noConversion"/>
  </si>
  <si>
    <t>특급기술자(건)</t>
    <phoneticPr fontId="2" type="noConversion"/>
  </si>
  <si>
    <t>특급기술자(측기)</t>
    <phoneticPr fontId="2" type="noConversion"/>
  </si>
  <si>
    <t>고급기술자(SW)</t>
    <phoneticPr fontId="2" type="noConversion"/>
  </si>
  <si>
    <t>고급기술자(건)</t>
    <phoneticPr fontId="2" type="noConversion"/>
  </si>
  <si>
    <t>고급기술자(측기)</t>
    <phoneticPr fontId="2" type="noConversion"/>
  </si>
  <si>
    <t>중급기술자(건)</t>
    <phoneticPr fontId="2" type="noConversion"/>
  </si>
  <si>
    <t>중급기술자(측기)</t>
    <phoneticPr fontId="2" type="noConversion"/>
  </si>
  <si>
    <t>초급기술자(SW)</t>
    <phoneticPr fontId="2" type="noConversion"/>
  </si>
  <si>
    <t>초급기술자(건)</t>
    <phoneticPr fontId="2" type="noConversion"/>
  </si>
  <si>
    <t>초급기술자(측기)</t>
    <phoneticPr fontId="2" type="noConversion"/>
  </si>
  <si>
    <t>고급기능사(SW)</t>
    <phoneticPr fontId="2" type="noConversion"/>
  </si>
  <si>
    <t>고급기능사(건)</t>
    <phoneticPr fontId="2" type="noConversion"/>
  </si>
  <si>
    <t>측
량</t>
    <phoneticPr fontId="2" type="noConversion"/>
  </si>
  <si>
    <t>고급기술자(측)</t>
    <phoneticPr fontId="2" type="noConversion"/>
  </si>
  <si>
    <t>중급기능사(SW)</t>
    <phoneticPr fontId="2" type="noConversion"/>
  </si>
  <si>
    <t>중급기능사(건)</t>
    <phoneticPr fontId="2" type="noConversion"/>
  </si>
  <si>
    <t>중급기술자(측)</t>
    <phoneticPr fontId="2" type="noConversion"/>
  </si>
  <si>
    <t>초급기능사(SW)</t>
    <phoneticPr fontId="2" type="noConversion"/>
  </si>
  <si>
    <t>초급기능사(건)</t>
    <phoneticPr fontId="2" type="noConversion"/>
  </si>
  <si>
    <t>초급기술자(측)</t>
    <phoneticPr fontId="2" type="noConversion"/>
  </si>
  <si>
    <t>보통인부</t>
    <phoneticPr fontId="2" type="noConversion"/>
  </si>
  <si>
    <t>건설기계운전사</t>
    <phoneticPr fontId="2" type="noConversion"/>
  </si>
  <si>
    <t>화물차운전사</t>
  </si>
  <si>
    <t>일반기계운전사</t>
    <phoneticPr fontId="2" type="noConversion"/>
  </si>
  <si>
    <t>일반기계운전사</t>
    <phoneticPr fontId="2" type="noConversion"/>
  </si>
  <si>
    <t>일반기계운전사</t>
    <phoneticPr fontId="2" type="noConversion"/>
  </si>
  <si>
    <t>상차5인1조/m³</t>
    <phoneticPr fontId="2" type="noConversion"/>
  </si>
  <si>
    <t>중급기술자(SW)</t>
    <phoneticPr fontId="2" type="noConversion"/>
  </si>
  <si>
    <t>○ 경계블록 및 경계석 상·하차비 : 1/적재량×대당운반시간/450×7인(</t>
    <phoneticPr fontId="2" type="noConversion"/>
  </si>
  <si>
    <t>) *</t>
    <phoneticPr fontId="2" type="noConversion"/>
  </si>
  <si>
    <t>개</t>
    <phoneticPr fontId="5" type="noConversion"/>
  </si>
  <si>
    <t>공사안내현수막</t>
    <phoneticPr fontId="5" type="noConversion"/>
  </si>
  <si>
    <t>6m * 0.9m</t>
    <phoneticPr fontId="5" type="noConversion"/>
  </si>
  <si>
    <t>애드</t>
    <phoneticPr fontId="5" type="noConversion"/>
  </si>
  <si>
    <t>김스</t>
    <phoneticPr fontId="5" type="noConversion"/>
  </si>
  <si>
    <t>동현</t>
    <phoneticPr fontId="5" type="noConversion"/>
  </si>
  <si>
    <t>공사안내간판</t>
    <phoneticPr fontId="5" type="noConversion"/>
  </si>
  <si>
    <t>1.8m * 0.9</t>
    <phoneticPr fontId="5" type="noConversion"/>
  </si>
  <si>
    <t>실명제표지판</t>
    <phoneticPr fontId="5" type="noConversion"/>
  </si>
  <si>
    <t>알루마이트 15×10</t>
    <phoneticPr fontId="5" type="noConversion"/>
  </si>
  <si>
    <t>EA</t>
    <phoneticPr fontId="5" type="noConversion"/>
  </si>
  <si>
    <t>스텐레스 15×10</t>
    <phoneticPr fontId="5" type="noConversion"/>
  </si>
  <si>
    <t>부설공</t>
    <phoneticPr fontId="2" type="noConversion"/>
  </si>
  <si>
    <t>구역화물운반비</t>
    <phoneticPr fontId="5" type="noConversion"/>
  </si>
  <si>
    <t>8톤, 10km</t>
    <phoneticPr fontId="5" type="noConversion"/>
  </si>
  <si>
    <t>8톤, 20km</t>
    <phoneticPr fontId="5" type="noConversion"/>
  </si>
  <si>
    <t>10톤, 10km</t>
    <phoneticPr fontId="5" type="noConversion"/>
  </si>
  <si>
    <t>10톤, 20km</t>
    <phoneticPr fontId="5" type="noConversion"/>
  </si>
  <si>
    <t>10톤, 40km</t>
    <phoneticPr fontId="5" type="noConversion"/>
  </si>
  <si>
    <t>5,500L</t>
    <phoneticPr fontId="2" type="noConversion"/>
  </si>
  <si>
    <t>D=800mm</t>
    <phoneticPr fontId="2" type="noConversion"/>
  </si>
  <si>
    <t>수정</t>
    <phoneticPr fontId="2" type="noConversion"/>
  </si>
  <si>
    <t>관내T.V조사공(신설관)  L=420m/일   m</t>
    <phoneticPr fontId="2" type="noConversion"/>
  </si>
  <si>
    <t>관내T.V조사공(기존관)  L=280m/일   m</t>
    <phoneticPr fontId="2" type="noConversion"/>
  </si>
  <si>
    <t>품의 5%</t>
    <phoneticPr fontId="2" type="noConversion"/>
  </si>
  <si>
    <t>유류 및 잡재료</t>
    <phoneticPr fontId="2" type="noConversion"/>
  </si>
  <si>
    <t>콘크리트깨기(무근) 인력 m³</t>
    <phoneticPr fontId="2" type="noConversion"/>
  </si>
  <si>
    <t>콘크리트깨기(무근) 소형브레이커+공기압축기 m³</t>
    <phoneticPr fontId="2" type="noConversion"/>
  </si>
  <si>
    <t>(타이어)</t>
    <phoneticPr fontId="2" type="noConversion"/>
  </si>
  <si>
    <t>0610</t>
    <phoneticPr fontId="2" type="noConversion"/>
  </si>
  <si>
    <t>덤프트럭자동덮개시설</t>
  </si>
  <si>
    <t>0610-0240</t>
    <phoneticPr fontId="2" type="noConversion"/>
  </si>
  <si>
    <t>0610-0200</t>
    <phoneticPr fontId="2" type="noConversion"/>
  </si>
  <si>
    <t>20톤용</t>
    <phoneticPr fontId="2" type="noConversion"/>
  </si>
  <si>
    <t>24톤용</t>
    <phoneticPr fontId="2" type="noConversion"/>
  </si>
  <si>
    <t>주철관절단기</t>
    <phoneticPr fontId="2" type="noConversion"/>
  </si>
  <si>
    <t>7620-0003</t>
    <phoneticPr fontId="2" type="noConversion"/>
  </si>
  <si>
    <t>5.08~15.24cm</t>
    <phoneticPr fontId="2" type="noConversion"/>
  </si>
  <si>
    <t>60.64cm</t>
    <phoneticPr fontId="2" type="noConversion"/>
  </si>
  <si>
    <t>굴삭기(타이어)</t>
    <phoneticPr fontId="2" type="noConversion"/>
  </si>
  <si>
    <t>0.18㎥</t>
    <phoneticPr fontId="2" type="noConversion"/>
  </si>
  <si>
    <t>규격 : 9인승</t>
    <phoneticPr fontId="2" type="noConversion"/>
  </si>
  <si>
    <t>0.18m³</t>
    <phoneticPr fontId="2" type="noConversion"/>
  </si>
  <si>
    <t>0211-0018</t>
    <phoneticPr fontId="2" type="noConversion"/>
  </si>
  <si>
    <t>크레인(타이어)</t>
    <phoneticPr fontId="2" type="noConversion"/>
  </si>
  <si>
    <t>흄관절단(300mm)  개소</t>
    <phoneticPr fontId="2" type="noConversion"/>
  </si>
  <si>
    <t>절단기</t>
    <phoneticPr fontId="2" type="noConversion"/>
  </si>
  <si>
    <t>300mm</t>
    <phoneticPr fontId="2" type="noConversion"/>
  </si>
  <si>
    <t>흄관절단(250mm)  개소</t>
    <phoneticPr fontId="2" type="noConversion"/>
  </si>
  <si>
    <t>목록</t>
    <phoneticPr fontId="2" type="noConversion"/>
  </si>
  <si>
    <t>소계</t>
    <phoneticPr fontId="2" type="noConversion"/>
  </si>
  <si>
    <t>흄관절단</t>
    <phoneticPr fontId="2" type="noConversion"/>
  </si>
  <si>
    <t>10톤 타이어</t>
    <phoneticPr fontId="2" type="noConversion"/>
  </si>
  <si>
    <t>20톤 타이어</t>
    <phoneticPr fontId="2" type="noConversion"/>
  </si>
  <si>
    <t>30톤 타이어</t>
    <phoneticPr fontId="2" type="noConversion"/>
  </si>
  <si>
    <t>50톤 타이어</t>
    <phoneticPr fontId="2" type="noConversion"/>
  </si>
  <si>
    <t>60톤 타이어</t>
    <phoneticPr fontId="2" type="noConversion"/>
  </si>
  <si>
    <t>80톤 타이어</t>
    <phoneticPr fontId="2" type="noConversion"/>
  </si>
  <si>
    <t>5톤</t>
    <phoneticPr fontId="2" type="noConversion"/>
  </si>
  <si>
    <t>크레인  10톤 타이어      시간</t>
    <phoneticPr fontId="2" type="noConversion"/>
  </si>
  <si>
    <t>크레인  20톤 타이어      시간</t>
    <phoneticPr fontId="2" type="noConversion"/>
  </si>
  <si>
    <t>크레인  30톤 타이어      시간</t>
    <phoneticPr fontId="2" type="noConversion"/>
  </si>
  <si>
    <t>크레인  50톤 타이어      시간</t>
    <phoneticPr fontId="2" type="noConversion"/>
  </si>
  <si>
    <t>크레인  60톤 타이어      시간</t>
    <phoneticPr fontId="2" type="noConversion"/>
  </si>
  <si>
    <t>크레인  80톤 타이어      시간</t>
    <phoneticPr fontId="2" type="noConversion"/>
  </si>
  <si>
    <t>트럭탑재형 크레인  5톤       시간</t>
    <phoneticPr fontId="2" type="noConversion"/>
  </si>
  <si>
    <t>기존관절단  25mm  개소</t>
    <phoneticPr fontId="2" type="noConversion"/>
  </si>
  <si>
    <t>구벽체거푸집</t>
    <phoneticPr fontId="2" type="noConversion"/>
  </si>
  <si>
    <t>PE거푸집(120cm)</t>
    <phoneticPr fontId="2" type="noConversion"/>
  </si>
  <si>
    <t>조</t>
    <phoneticPr fontId="2" type="noConversion"/>
  </si>
  <si>
    <t>기초슬래브거푸집</t>
    <phoneticPr fontId="2" type="noConversion"/>
  </si>
  <si>
    <t>PE거푸집(90cm)</t>
    <phoneticPr fontId="2" type="noConversion"/>
  </si>
  <si>
    <t>PE거푸집(150cm)</t>
    <phoneticPr fontId="2" type="noConversion"/>
  </si>
  <si>
    <t>잡석(부순돌)</t>
    <phoneticPr fontId="2" type="noConversion"/>
  </si>
  <si>
    <t>#467, T=20</t>
    <phoneticPr fontId="2" type="noConversion"/>
  </si>
  <si>
    <t>㎥</t>
    <phoneticPr fontId="2" type="noConversion"/>
  </si>
  <si>
    <t>현장촬영</t>
    <phoneticPr fontId="2" type="noConversion"/>
  </si>
  <si>
    <t>1일</t>
    <phoneticPr fontId="2" type="noConversion"/>
  </si>
  <si>
    <t>일</t>
    <phoneticPr fontId="2" type="noConversion"/>
  </si>
  <si>
    <t>보고서작성</t>
    <phoneticPr fontId="2" type="noConversion"/>
  </si>
  <si>
    <t>기존관절단</t>
    <phoneticPr fontId="2" type="noConversion"/>
  </si>
  <si>
    <t>25mm</t>
    <phoneticPr fontId="2" type="noConversion"/>
  </si>
  <si>
    <t>개소</t>
    <phoneticPr fontId="2" type="noConversion"/>
  </si>
  <si>
    <t>스텐관부설</t>
    <phoneticPr fontId="2" type="noConversion"/>
  </si>
  <si>
    <t>50mm</t>
    <phoneticPr fontId="2" type="noConversion"/>
  </si>
  <si>
    <t>m</t>
    <phoneticPr fontId="2" type="noConversion"/>
  </si>
  <si>
    <t>하수관수밀시험</t>
    <phoneticPr fontId="2" type="noConversion"/>
  </si>
  <si>
    <t>초속경 인력 소형(3m³)</t>
    <phoneticPr fontId="2" type="noConversion"/>
  </si>
  <si>
    <t>신설관 L=420m/일</t>
    <phoneticPr fontId="2" type="noConversion"/>
  </si>
  <si>
    <t>기존관 L=280m/일</t>
    <phoneticPr fontId="2" type="noConversion"/>
  </si>
  <si>
    <t>소규모 포장복구(소파보수, 10㎡ 미만) a</t>
    <phoneticPr fontId="2" type="noConversion"/>
  </si>
  <si>
    <t>수정</t>
    <phoneticPr fontId="2" type="noConversion"/>
  </si>
  <si>
    <t>뚜껑및받침-별도</t>
    <phoneticPr fontId="2" type="noConversion"/>
  </si>
  <si>
    <t>500×395mm-별도</t>
    <phoneticPr fontId="2" type="noConversion"/>
  </si>
  <si>
    <t>995×400mm-별도</t>
    <phoneticPr fontId="2" type="noConversion"/>
  </si>
  <si>
    <t>250mm</t>
    <phoneticPr fontId="2" type="noConversion"/>
  </si>
  <si>
    <t>300mm</t>
    <phoneticPr fontId="2" type="noConversion"/>
  </si>
  <si>
    <t>개소</t>
    <phoneticPr fontId="2" type="noConversion"/>
  </si>
  <si>
    <t>6. 중     기</t>
    <phoneticPr fontId="2" type="noConversion"/>
  </si>
  <si>
    <t>5. 부 대 공</t>
    <phoneticPr fontId="2" type="noConversion"/>
  </si>
  <si>
    <t>4. 포 장 공</t>
    <phoneticPr fontId="2" type="noConversion"/>
  </si>
  <si>
    <t>3. 구조물공</t>
    <phoneticPr fontId="2" type="noConversion"/>
  </si>
  <si>
    <t>2. 토    공</t>
    <phoneticPr fontId="2" type="noConversion"/>
  </si>
  <si>
    <t>1. 기본대가</t>
    <phoneticPr fontId="2" type="noConversion"/>
  </si>
  <si>
    <t>648mm(주철)-별도</t>
    <phoneticPr fontId="2" type="noConversion"/>
  </si>
  <si>
    <t>제목</t>
    <phoneticPr fontId="2" type="noConversion"/>
  </si>
  <si>
    <t>포장공</t>
    <phoneticPr fontId="2" type="noConversion"/>
  </si>
  <si>
    <t>보통인부</t>
    <phoneticPr fontId="2" type="noConversion"/>
  </si>
  <si>
    <t>잔토운반(토사)      인력상차  +</t>
    <phoneticPr fontId="2" type="noConversion"/>
  </si>
  <si>
    <t>D.T</t>
    <phoneticPr fontId="2" type="noConversion"/>
  </si>
  <si>
    <t>톤</t>
    <phoneticPr fontId="2" type="noConversion"/>
  </si>
  <si>
    <t>현장→중간집하장</t>
    <phoneticPr fontId="2" type="noConversion"/>
  </si>
  <si>
    <t>제목</t>
    <phoneticPr fontId="2" type="noConversion"/>
  </si>
  <si>
    <t>운반(인력,Con'c 잔재)</t>
    <phoneticPr fontId="2" type="noConversion"/>
  </si>
  <si>
    <t>현장 → 중간 집하장</t>
    <phoneticPr fontId="2" type="noConversion"/>
  </si>
  <si>
    <t>현장 → 중간집하장</t>
    <phoneticPr fontId="2" type="noConversion"/>
  </si>
  <si>
    <t>250mm</t>
    <phoneticPr fontId="2" type="noConversion"/>
  </si>
  <si>
    <t>철근</t>
    <phoneticPr fontId="2" type="noConversion"/>
  </si>
  <si>
    <t>개</t>
    <phoneticPr fontId="2" type="noConversion"/>
  </si>
  <si>
    <t>간단가공</t>
    <phoneticPr fontId="2" type="noConversion"/>
  </si>
  <si>
    <t>수동식 400ℓ</t>
    <phoneticPr fontId="2" type="noConversion"/>
  </si>
  <si>
    <t>10-14톤</t>
    <phoneticPr fontId="2" type="noConversion"/>
  </si>
  <si>
    <t>크레인</t>
    <phoneticPr fontId="2" type="noConversion"/>
  </si>
  <si>
    <t>덤프트럭</t>
    <phoneticPr fontId="2" type="noConversion"/>
  </si>
  <si>
    <t>20톤</t>
    <phoneticPr fontId="2" type="noConversion"/>
  </si>
  <si>
    <t>24톤</t>
    <phoneticPr fontId="2" type="noConversion"/>
  </si>
  <si>
    <r>
      <rPr>
        <sz val="9"/>
        <rFont val="08서울남산체 L"/>
        <family val="1"/>
        <charset val="129"/>
      </rPr>
      <t>재</t>
    </r>
    <r>
      <rPr>
        <sz val="9"/>
        <rFont val="Arial Narrow"/>
        <family val="2"/>
      </rPr>
      <t xml:space="preserve"> </t>
    </r>
    <r>
      <rPr>
        <sz val="9"/>
        <rFont val="08서울남산체 L"/>
        <family val="1"/>
        <charset val="129"/>
      </rPr>
      <t>료</t>
    </r>
    <r>
      <rPr>
        <sz val="9"/>
        <rFont val="Arial Narrow"/>
        <family val="2"/>
      </rPr>
      <t xml:space="preserve"> </t>
    </r>
    <r>
      <rPr>
        <sz val="9"/>
        <rFont val="08서울남산체 L"/>
        <family val="1"/>
        <charset val="129"/>
      </rPr>
      <t>비</t>
    </r>
    <phoneticPr fontId="2" type="noConversion"/>
  </si>
  <si>
    <r>
      <rPr>
        <sz val="9"/>
        <rFont val="08서울남산체 L"/>
        <family val="1"/>
        <charset val="129"/>
      </rPr>
      <t>노</t>
    </r>
    <r>
      <rPr>
        <sz val="9"/>
        <rFont val="Arial Narrow"/>
        <family val="2"/>
      </rPr>
      <t xml:space="preserve"> </t>
    </r>
    <r>
      <rPr>
        <sz val="9"/>
        <rFont val="08서울남산체 L"/>
        <family val="1"/>
        <charset val="129"/>
      </rPr>
      <t>무</t>
    </r>
    <r>
      <rPr>
        <sz val="9"/>
        <rFont val="Arial Narrow"/>
        <family val="2"/>
      </rPr>
      <t xml:space="preserve"> </t>
    </r>
    <r>
      <rPr>
        <sz val="9"/>
        <rFont val="08서울남산체 L"/>
        <family val="1"/>
        <charset val="129"/>
      </rPr>
      <t>비</t>
    </r>
    <phoneticPr fontId="2" type="noConversion"/>
  </si>
  <si>
    <r>
      <rPr>
        <sz val="9"/>
        <rFont val="08서울남산체 L"/>
        <family val="1"/>
        <charset val="129"/>
      </rPr>
      <t>경</t>
    </r>
    <r>
      <rPr>
        <sz val="9"/>
        <rFont val="Arial Narrow"/>
        <family val="2"/>
      </rPr>
      <t xml:space="preserve">    </t>
    </r>
    <r>
      <rPr>
        <sz val="9"/>
        <rFont val="08서울남산체 L"/>
        <family val="1"/>
        <charset val="129"/>
      </rPr>
      <t>비</t>
    </r>
    <phoneticPr fontId="2" type="noConversion"/>
  </si>
  <si>
    <r>
      <rPr>
        <sz val="9"/>
        <rFont val="08서울남산체 L"/>
        <family val="1"/>
        <charset val="129"/>
      </rPr>
      <t>합</t>
    </r>
    <r>
      <rPr>
        <sz val="9"/>
        <rFont val="Arial Narrow"/>
        <family val="2"/>
      </rPr>
      <t xml:space="preserve">    </t>
    </r>
    <r>
      <rPr>
        <sz val="9"/>
        <rFont val="08서울남산체 L"/>
        <family val="1"/>
        <charset val="129"/>
      </rPr>
      <t>계</t>
    </r>
    <phoneticPr fontId="2" type="noConversion"/>
  </si>
  <si>
    <r>
      <rPr>
        <sz val="9"/>
        <rFont val="08서울남산체 L"/>
        <family val="1"/>
        <charset val="129"/>
      </rPr>
      <t>단</t>
    </r>
    <r>
      <rPr>
        <sz val="9"/>
        <rFont val="Arial Narrow"/>
        <family val="2"/>
      </rPr>
      <t xml:space="preserve">  </t>
    </r>
    <r>
      <rPr>
        <sz val="9"/>
        <rFont val="08서울남산체 L"/>
        <family val="1"/>
        <charset val="129"/>
      </rPr>
      <t>가</t>
    </r>
    <phoneticPr fontId="2" type="noConversion"/>
  </si>
  <si>
    <r>
      <rPr>
        <sz val="9"/>
        <rFont val="08서울남산체 L"/>
        <family val="1"/>
        <charset val="129"/>
      </rPr>
      <t>금</t>
    </r>
    <r>
      <rPr>
        <sz val="9"/>
        <rFont val="Arial Narrow"/>
        <family val="2"/>
      </rPr>
      <t xml:space="preserve">  </t>
    </r>
    <r>
      <rPr>
        <sz val="9"/>
        <rFont val="08서울남산체 L"/>
        <family val="1"/>
        <charset val="129"/>
      </rPr>
      <t>액</t>
    </r>
    <phoneticPr fontId="2" type="noConversion"/>
  </si>
  <si>
    <t>견  적  가  격</t>
    <phoneticPr fontId="5" type="noConversion"/>
  </si>
  <si>
    <r>
      <t>SW기술자</t>
    </r>
    <r>
      <rPr>
        <b/>
        <sz val="12"/>
        <rFont val="Arial Narrow"/>
        <family val="2"/>
      </rPr>
      <t xml:space="preserve"> </t>
    </r>
    <r>
      <rPr>
        <b/>
        <sz val="12"/>
        <rFont val="돋움"/>
        <family val="3"/>
        <charset val="129"/>
      </rPr>
      <t>노임단가</t>
    </r>
    <phoneticPr fontId="2" type="noConversion"/>
  </si>
  <si>
    <r>
      <t>측량기술자</t>
    </r>
    <r>
      <rPr>
        <b/>
        <sz val="12"/>
        <rFont val="Arial Narrow"/>
        <family val="2"/>
      </rPr>
      <t xml:space="preserve"> </t>
    </r>
    <r>
      <rPr>
        <b/>
        <sz val="12"/>
        <rFont val="돋움"/>
        <family val="3"/>
        <charset val="129"/>
      </rPr>
      <t>노임</t>
    </r>
    <r>
      <rPr>
        <b/>
        <sz val="12"/>
        <rFont val="Arial Narrow"/>
        <family val="2"/>
      </rPr>
      <t xml:space="preserve"> </t>
    </r>
    <r>
      <rPr>
        <b/>
        <sz val="12"/>
        <rFont val="돋움"/>
        <family val="3"/>
        <charset val="129"/>
      </rPr>
      <t>단가</t>
    </r>
    <phoneticPr fontId="2" type="noConversion"/>
  </si>
  <si>
    <t>작 업 과 정  및  Q 산 출</t>
    <phoneticPr fontId="2" type="noConversion"/>
  </si>
  <si>
    <t>D=300~400 t=3.2mm</t>
    <phoneticPr fontId="2" type="noConversion"/>
  </si>
  <si>
    <t>도로,하수분야</t>
    <phoneticPr fontId="2" type="noConversion"/>
  </si>
  <si>
    <t>kg</t>
    <phoneticPr fontId="2" type="noConversion"/>
  </si>
  <si>
    <r>
      <rPr>
        <sz val="8"/>
        <rFont val="맑은 고딕"/>
        <family val="3"/>
        <charset val="129"/>
      </rPr>
      <t>ℓ</t>
    </r>
    <phoneticPr fontId="2" type="noConversion"/>
  </si>
  <si>
    <r>
      <rPr>
        <sz val="8"/>
        <rFont val="맑은 고딕"/>
        <family val="3"/>
        <charset val="129"/>
      </rPr>
      <t>인</t>
    </r>
    <phoneticPr fontId="2" type="noConversion"/>
  </si>
  <si>
    <t>접착제바르기     ㎡</t>
    <phoneticPr fontId="2" type="noConversion"/>
  </si>
  <si>
    <t>품명</t>
    <phoneticPr fontId="5" type="noConversion"/>
  </si>
  <si>
    <t>규걱</t>
    <phoneticPr fontId="5" type="noConversion"/>
  </si>
  <si>
    <t>수량</t>
    <phoneticPr fontId="5" type="noConversion"/>
  </si>
  <si>
    <t>단위</t>
    <phoneticPr fontId="5" type="noConversion"/>
  </si>
  <si>
    <t>단가</t>
    <phoneticPr fontId="5" type="noConversion"/>
  </si>
  <si>
    <t>적용단가</t>
    <phoneticPr fontId="5" type="noConversion"/>
  </si>
  <si>
    <t>접착제바르기</t>
    <phoneticPr fontId="2" type="noConversion"/>
  </si>
  <si>
    <t>㎡</t>
    <phoneticPr fontId="2" type="noConversion"/>
  </si>
  <si>
    <t>휘발유(서울시평균, 부가세제외)</t>
  </si>
  <si>
    <t>경유(서울시평균가, 부가세제외)</t>
  </si>
  <si>
    <t>등유(서울시평균가, 부가세제외)</t>
  </si>
  <si>
    <t>중유(조달청,부가세제외)</t>
  </si>
  <si>
    <t>한강사(세사),도착도</t>
  </si>
  <si>
    <t>#467(40mm),도착도</t>
  </si>
  <si>
    <t>혼합골재(도착도)</t>
  </si>
  <si>
    <t>보조기층재(도착도)</t>
  </si>
  <si>
    <t>75mm이하보조기층용</t>
  </si>
  <si>
    <t>원목(미송)</t>
  </si>
  <si>
    <t>합         판     
(91×182cm)</t>
  </si>
  <si>
    <t>합         판                            (122×244cm)</t>
  </si>
  <si>
    <t>외송 
장(3.6m*3.0cm)</t>
  </si>
  <si>
    <t>외송
장(3.6m*3.0cm)</t>
  </si>
  <si>
    <t>#8,Φ4mm</t>
  </si>
  <si>
    <t>목재.합판용(수성)</t>
  </si>
  <si>
    <t>KSM 6030 2종</t>
  </si>
  <si>
    <t>KSM 6020  2급</t>
  </si>
  <si>
    <t>KSM 6060  (2종)</t>
  </si>
  <si>
    <t>도로표지용도료(황색)</t>
  </si>
  <si>
    <t>도로용(SB-TN-34)</t>
  </si>
  <si>
    <t>포</t>
  </si>
  <si>
    <t>백색시멘트</t>
  </si>
  <si>
    <t>보통포틀랜드시멘트</t>
  </si>
  <si>
    <t>4mm</t>
  </si>
  <si>
    <t>산소</t>
  </si>
  <si>
    <t>120kg/㎠ ,  6㎥</t>
  </si>
  <si>
    <t>33(하)</t>
  </si>
  <si>
    <t>(대기압시 4800ℓ 이상)</t>
  </si>
  <si>
    <t>아세틸렌(1kg=853ℓ)</t>
  </si>
  <si>
    <t>용접용(98%)</t>
  </si>
  <si>
    <t>전력비(가정용)</t>
  </si>
  <si>
    <t>100kwh까지</t>
  </si>
  <si>
    <t>유화아스팔트  
 (프라임코팅)</t>
  </si>
  <si>
    <t>RSC-3</t>
  </si>
  <si>
    <t>유화아스팔트 
 (택코팅)</t>
  </si>
  <si>
    <t>RSC-4</t>
  </si>
  <si>
    <t>KSM-2270(200ℓ)</t>
  </si>
  <si>
    <t>도로청소용</t>
  </si>
  <si>
    <t xml:space="preserve"> 30㎏</t>
  </si>
  <si>
    <t>신구콘크리트접착제</t>
  </si>
  <si>
    <t>Φ150(6")</t>
  </si>
  <si>
    <t>Φ200(8")</t>
  </si>
  <si>
    <t>Φ250(10")</t>
  </si>
  <si>
    <t>Φ300(12")</t>
  </si>
  <si>
    <t>Φ350(14")</t>
  </si>
  <si>
    <t>비계파이프(6m)</t>
  </si>
  <si>
    <t>단관비계</t>
  </si>
  <si>
    <t>조임철물(클램프)</t>
  </si>
  <si>
    <t>받침판</t>
  </si>
  <si>
    <t>강관비계브라켓</t>
  </si>
  <si>
    <t>PE 안전망</t>
  </si>
  <si>
    <t>90합</t>
  </si>
  <si>
    <t>#10  58*58</t>
  </si>
  <si>
    <t>Φ900(T200)</t>
  </si>
  <si>
    <t>Φ1200(T250)</t>
  </si>
  <si>
    <t>Φ1500(T250)</t>
  </si>
  <si>
    <t>연결관링</t>
  </si>
  <si>
    <t>T250 Φ450</t>
  </si>
  <si>
    <t>T250 Φ600</t>
  </si>
  <si>
    <t>내산석션호스</t>
  </si>
  <si>
    <t>수밀시험기</t>
  </si>
  <si>
    <r>
      <t>물막이용, Ø</t>
    </r>
    <r>
      <rPr>
        <sz val="9"/>
        <rFont val="08서울남산체 L"/>
        <family val="1"/>
        <charset val="129"/>
      </rPr>
      <t>300</t>
    </r>
  </si>
  <si>
    <t>물막이용, Ø450</t>
  </si>
  <si>
    <t>물막이용, Ø500</t>
  </si>
  <si>
    <t>물막이용, Ø600</t>
  </si>
  <si>
    <t>물막이용, Ø700</t>
  </si>
  <si>
    <t>물막이용, Ø800</t>
  </si>
  <si>
    <t>공기방출형, Ø300</t>
  </si>
  <si>
    <t>공기방출형, Ø450</t>
  </si>
  <si>
    <t>공기방출형, Ø500</t>
  </si>
  <si>
    <t>공기방출형, Ø600</t>
  </si>
  <si>
    <t>공기방출형, Ø700</t>
  </si>
  <si>
    <t>공기방출형, Ø800</t>
  </si>
  <si>
    <t>스타렉스</t>
  </si>
  <si>
    <t>탐사장비</t>
  </si>
  <si>
    <t>모니터(LCD)</t>
  </si>
  <si>
    <t>비닐(P.E필름)
 KSM-3503</t>
  </si>
  <si>
    <t>T=0.04mm,
1.8*91m</t>
  </si>
  <si>
    <t>와이어 매쉬(용접철망)</t>
  </si>
  <si>
    <t>32(하)</t>
  </si>
  <si>
    <t>못(콘크리트)</t>
  </si>
  <si>
    <t>25m/m</t>
  </si>
  <si>
    <t>P.E안전휀스</t>
  </si>
  <si>
    <t>1500*900*410</t>
  </si>
  <si>
    <t>스텐엘보(나사식)</t>
  </si>
  <si>
    <t>스텐관</t>
  </si>
  <si>
    <t>0.3×0.3 개구율27%</t>
  </si>
  <si>
    <t>하수연결 단지관</t>
  </si>
  <si>
    <t>150A PVC</t>
  </si>
  <si>
    <t>CD-R</t>
  </si>
  <si>
    <t>700MB</t>
  </si>
  <si>
    <t>장</t>
  </si>
  <si>
    <t>77(하)</t>
  </si>
  <si>
    <t>연결관링 거푸집</t>
  </si>
  <si>
    <r>
      <t>T=250 Ø</t>
    </r>
    <r>
      <rPr>
        <sz val="8.5"/>
        <rFont val="08서울남산체 L"/>
        <family val="1"/>
        <charset val="129"/>
      </rPr>
      <t>450</t>
    </r>
  </si>
  <si>
    <r>
      <t>T=250 Ø60</t>
    </r>
    <r>
      <rPr>
        <sz val="8.5"/>
        <rFont val="08서울남산체 L"/>
        <family val="1"/>
        <charset val="129"/>
      </rPr>
      <t>0</t>
    </r>
  </si>
  <si>
    <r>
      <rPr>
        <sz val="10"/>
        <color indexed="8"/>
        <rFont val="돋움"/>
        <family val="3"/>
        <charset val="129"/>
      </rPr>
      <t>작업반장</t>
    </r>
  </si>
  <si>
    <r>
      <rPr>
        <sz val="10"/>
        <color indexed="8"/>
        <rFont val="돋움"/>
        <family val="3"/>
        <charset val="129"/>
      </rPr>
      <t>플랜트특별인부</t>
    </r>
  </si>
  <si>
    <t>보통인부</t>
  </si>
  <si>
    <r>
      <rPr>
        <sz val="10"/>
        <color indexed="8"/>
        <rFont val="돋움"/>
        <family val="3"/>
        <charset val="129"/>
      </rPr>
      <t>플랜트케이블전공</t>
    </r>
  </si>
  <si>
    <r>
      <rPr>
        <sz val="10"/>
        <color indexed="8"/>
        <rFont val="돋움"/>
        <family val="3"/>
        <charset val="129"/>
      </rPr>
      <t>특별인부</t>
    </r>
  </si>
  <si>
    <r>
      <rPr>
        <sz val="10"/>
        <color indexed="8"/>
        <rFont val="돋움"/>
        <family val="3"/>
        <charset val="129"/>
      </rPr>
      <t>플랜트계장공</t>
    </r>
  </si>
  <si>
    <r>
      <rPr>
        <sz val="10"/>
        <color indexed="8"/>
        <rFont val="돋움"/>
        <family val="3"/>
        <charset val="129"/>
      </rPr>
      <t>조력공</t>
    </r>
  </si>
  <si>
    <r>
      <rPr>
        <sz val="10"/>
        <color indexed="8"/>
        <rFont val="돋움"/>
        <family val="3"/>
        <charset val="129"/>
      </rPr>
      <t>플랜트덕트공</t>
    </r>
  </si>
  <si>
    <r>
      <rPr>
        <sz val="10"/>
        <color indexed="8"/>
        <rFont val="돋움"/>
        <family val="3"/>
        <charset val="129"/>
      </rPr>
      <t>제도사</t>
    </r>
  </si>
  <si>
    <r>
      <rPr>
        <sz val="10"/>
        <color indexed="8"/>
        <rFont val="돋움"/>
        <family val="3"/>
        <charset val="129"/>
      </rPr>
      <t>플랜트보온공</t>
    </r>
  </si>
  <si>
    <r>
      <rPr>
        <sz val="10"/>
        <color indexed="8"/>
        <rFont val="돋움"/>
        <family val="3"/>
        <charset val="129"/>
      </rPr>
      <t>비계공</t>
    </r>
  </si>
  <si>
    <r>
      <rPr>
        <sz val="10"/>
        <color indexed="8"/>
        <rFont val="돋움"/>
        <family val="3"/>
        <charset val="129"/>
      </rPr>
      <t>제철축로공</t>
    </r>
  </si>
  <si>
    <r>
      <rPr>
        <sz val="10"/>
        <color indexed="8"/>
        <rFont val="돋움"/>
        <family val="3"/>
        <charset val="129"/>
      </rPr>
      <t>형틀목공</t>
    </r>
  </si>
  <si>
    <r>
      <rPr>
        <sz val="10"/>
        <color indexed="8"/>
        <rFont val="돋움"/>
        <family val="3"/>
        <charset val="129"/>
      </rPr>
      <t>비파괴시험공</t>
    </r>
  </si>
  <si>
    <r>
      <rPr>
        <sz val="10"/>
        <color indexed="8"/>
        <rFont val="돋움"/>
        <family val="3"/>
        <charset val="129"/>
      </rPr>
      <t>철근공</t>
    </r>
  </si>
  <si>
    <r>
      <rPr>
        <sz val="10"/>
        <color indexed="8"/>
        <rFont val="돋움"/>
        <family val="3"/>
        <charset val="129"/>
      </rPr>
      <t>특급품질관리원</t>
    </r>
  </si>
  <si>
    <r>
      <rPr>
        <sz val="10"/>
        <color indexed="8"/>
        <rFont val="돋움"/>
        <family val="3"/>
        <charset val="129"/>
      </rPr>
      <t>철공</t>
    </r>
  </si>
  <si>
    <r>
      <rPr>
        <sz val="10"/>
        <color indexed="8"/>
        <rFont val="돋움"/>
        <family val="3"/>
        <charset val="129"/>
      </rPr>
      <t>고급품질관리원</t>
    </r>
  </si>
  <si>
    <r>
      <rPr>
        <sz val="10"/>
        <color indexed="8"/>
        <rFont val="돋움"/>
        <family val="3"/>
        <charset val="129"/>
      </rPr>
      <t>철판공</t>
    </r>
  </si>
  <si>
    <r>
      <rPr>
        <sz val="10"/>
        <color indexed="8"/>
        <rFont val="돋움"/>
        <family val="3"/>
        <charset val="129"/>
      </rPr>
      <t>중급품질관리원</t>
    </r>
  </si>
  <si>
    <r>
      <rPr>
        <sz val="10"/>
        <color indexed="8"/>
        <rFont val="돋움"/>
        <family val="3"/>
        <charset val="129"/>
      </rPr>
      <t>철골공</t>
    </r>
  </si>
  <si>
    <r>
      <rPr>
        <sz val="10"/>
        <color indexed="8"/>
        <rFont val="돋움"/>
        <family val="3"/>
        <charset val="129"/>
      </rPr>
      <t>초급품질관리원</t>
    </r>
  </si>
  <si>
    <r>
      <rPr>
        <sz val="10"/>
        <color indexed="8"/>
        <rFont val="돋움"/>
        <family val="3"/>
        <charset val="129"/>
      </rPr>
      <t>용접공</t>
    </r>
  </si>
  <si>
    <r>
      <rPr>
        <sz val="10"/>
        <color indexed="8"/>
        <rFont val="돋움"/>
        <family val="3"/>
        <charset val="129"/>
      </rPr>
      <t>지적기사</t>
    </r>
  </si>
  <si>
    <r>
      <rPr>
        <sz val="10"/>
        <color indexed="8"/>
        <rFont val="돋움"/>
        <family val="3"/>
        <charset val="129"/>
      </rPr>
      <t>콘크리트공</t>
    </r>
  </si>
  <si>
    <r>
      <rPr>
        <sz val="10"/>
        <color indexed="8"/>
        <rFont val="돋움"/>
        <family val="3"/>
        <charset val="129"/>
      </rPr>
      <t>지적산업기사</t>
    </r>
  </si>
  <si>
    <r>
      <rPr>
        <sz val="10"/>
        <color indexed="8"/>
        <rFont val="돋움"/>
        <family val="3"/>
        <charset val="129"/>
      </rPr>
      <t>보링공</t>
    </r>
  </si>
  <si>
    <r>
      <rPr>
        <sz val="10"/>
        <color indexed="8"/>
        <rFont val="돋움"/>
        <family val="3"/>
        <charset val="129"/>
      </rPr>
      <t>지적기능사</t>
    </r>
  </si>
  <si>
    <r>
      <rPr>
        <sz val="10"/>
        <color indexed="8"/>
        <rFont val="돋움"/>
        <family val="3"/>
        <charset val="129"/>
      </rPr>
      <t>착암공</t>
    </r>
  </si>
  <si>
    <r>
      <rPr>
        <sz val="10"/>
        <color indexed="8"/>
        <rFont val="돋움"/>
        <family val="3"/>
        <charset val="129"/>
      </rPr>
      <t>내선전공</t>
    </r>
  </si>
  <si>
    <r>
      <rPr>
        <sz val="10"/>
        <color indexed="8"/>
        <rFont val="돋움"/>
        <family val="3"/>
        <charset val="129"/>
      </rPr>
      <t>화약취급공</t>
    </r>
  </si>
  <si>
    <r>
      <rPr>
        <sz val="10"/>
        <color indexed="8"/>
        <rFont val="돋움"/>
        <family val="3"/>
        <charset val="129"/>
      </rPr>
      <t>특고압케이블전공</t>
    </r>
  </si>
  <si>
    <r>
      <rPr>
        <sz val="10"/>
        <color indexed="8"/>
        <rFont val="돋움"/>
        <family val="3"/>
        <charset val="129"/>
      </rPr>
      <t>할석공</t>
    </r>
  </si>
  <si>
    <r>
      <rPr>
        <sz val="10"/>
        <color indexed="8"/>
        <rFont val="돋움"/>
        <family val="3"/>
        <charset val="129"/>
      </rPr>
      <t>고압케이블전공</t>
    </r>
  </si>
  <si>
    <r>
      <rPr>
        <sz val="10"/>
        <color indexed="8"/>
        <rFont val="돋움"/>
        <family val="3"/>
        <charset val="129"/>
      </rPr>
      <t>포설공</t>
    </r>
  </si>
  <si>
    <r>
      <rPr>
        <sz val="10"/>
        <color indexed="8"/>
        <rFont val="돋움"/>
        <family val="3"/>
        <charset val="129"/>
      </rPr>
      <t>저압케이블전공</t>
    </r>
  </si>
  <si>
    <r>
      <rPr>
        <sz val="10"/>
        <color indexed="8"/>
        <rFont val="돋움"/>
        <family val="3"/>
        <charset val="129"/>
      </rPr>
      <t>포장공</t>
    </r>
  </si>
  <si>
    <r>
      <rPr>
        <sz val="10"/>
        <color indexed="8"/>
        <rFont val="돋움"/>
        <family val="3"/>
        <charset val="129"/>
      </rPr>
      <t>송전전공</t>
    </r>
  </si>
  <si>
    <r>
      <rPr>
        <sz val="10"/>
        <color indexed="8"/>
        <rFont val="돋움"/>
        <family val="3"/>
        <charset val="129"/>
      </rPr>
      <t>잠수부</t>
    </r>
  </si>
  <si>
    <r>
      <rPr>
        <sz val="10"/>
        <color indexed="8"/>
        <rFont val="돋움"/>
        <family val="3"/>
        <charset val="129"/>
      </rPr>
      <t>송전활선전공</t>
    </r>
  </si>
  <si>
    <r>
      <rPr>
        <sz val="10"/>
        <color indexed="8"/>
        <rFont val="돋움"/>
        <family val="3"/>
        <charset val="129"/>
      </rPr>
      <t>조적공</t>
    </r>
  </si>
  <si>
    <r>
      <rPr>
        <sz val="10"/>
        <color indexed="8"/>
        <rFont val="돋움"/>
        <family val="3"/>
        <charset val="129"/>
      </rPr>
      <t>배전전공</t>
    </r>
  </si>
  <si>
    <r>
      <rPr>
        <sz val="10"/>
        <color indexed="8"/>
        <rFont val="돋움"/>
        <family val="3"/>
        <charset val="129"/>
      </rPr>
      <t>견출공</t>
    </r>
  </si>
  <si>
    <r>
      <rPr>
        <sz val="10"/>
        <color indexed="8"/>
        <rFont val="돋움"/>
        <family val="3"/>
        <charset val="129"/>
      </rPr>
      <t>배전활선전공</t>
    </r>
  </si>
  <si>
    <r>
      <rPr>
        <sz val="10"/>
        <color indexed="8"/>
        <rFont val="돋움"/>
        <family val="3"/>
        <charset val="129"/>
      </rPr>
      <t>건축목공</t>
    </r>
  </si>
  <si>
    <r>
      <rPr>
        <sz val="10"/>
        <color indexed="8"/>
        <rFont val="돋움"/>
        <family val="3"/>
        <charset val="129"/>
      </rPr>
      <t>플랜트전공</t>
    </r>
  </si>
  <si>
    <r>
      <rPr>
        <sz val="10"/>
        <color indexed="8"/>
        <rFont val="돋움"/>
        <family val="3"/>
        <charset val="129"/>
      </rPr>
      <t>창호공</t>
    </r>
  </si>
  <si>
    <r>
      <rPr>
        <sz val="10"/>
        <color indexed="8"/>
        <rFont val="돋움"/>
        <family val="3"/>
        <charset val="129"/>
      </rPr>
      <t>계장공</t>
    </r>
  </si>
  <si>
    <r>
      <rPr>
        <sz val="10"/>
        <color indexed="8"/>
        <rFont val="돋움"/>
        <family val="3"/>
        <charset val="129"/>
      </rPr>
      <t>유리공</t>
    </r>
  </si>
  <si>
    <r>
      <rPr>
        <sz val="10"/>
        <color indexed="8"/>
        <rFont val="돋움"/>
        <family val="3"/>
        <charset val="129"/>
      </rPr>
      <t>철도신호공</t>
    </r>
  </si>
  <si>
    <r>
      <rPr>
        <sz val="10"/>
        <color indexed="8"/>
        <rFont val="돋움"/>
        <family val="3"/>
        <charset val="129"/>
      </rPr>
      <t>방수공</t>
    </r>
  </si>
  <si>
    <r>
      <rPr>
        <sz val="10"/>
        <color indexed="8"/>
        <rFont val="돋움"/>
        <family val="3"/>
        <charset val="129"/>
      </rPr>
      <t>통신내선공</t>
    </r>
  </si>
  <si>
    <r>
      <rPr>
        <sz val="10"/>
        <color indexed="8"/>
        <rFont val="돋움"/>
        <family val="3"/>
        <charset val="129"/>
      </rPr>
      <t>미장공</t>
    </r>
  </si>
  <si>
    <r>
      <rPr>
        <sz val="10"/>
        <color indexed="8"/>
        <rFont val="돋움"/>
        <family val="3"/>
        <charset val="129"/>
      </rPr>
      <t>통신설비공</t>
    </r>
  </si>
  <si>
    <r>
      <rPr>
        <sz val="10"/>
        <color indexed="8"/>
        <rFont val="돋움"/>
        <family val="3"/>
        <charset val="129"/>
      </rPr>
      <t>타일공</t>
    </r>
  </si>
  <si>
    <r>
      <rPr>
        <sz val="10"/>
        <color indexed="8"/>
        <rFont val="돋움"/>
        <family val="3"/>
        <charset val="129"/>
      </rPr>
      <t>통신외선공</t>
    </r>
  </si>
  <si>
    <r>
      <rPr>
        <sz val="10"/>
        <color indexed="8"/>
        <rFont val="돋움"/>
        <family val="3"/>
        <charset val="129"/>
      </rPr>
      <t>도장공</t>
    </r>
  </si>
  <si>
    <r>
      <rPr>
        <sz val="10"/>
        <color indexed="8"/>
        <rFont val="돋움"/>
        <family val="3"/>
        <charset val="129"/>
      </rPr>
      <t>통신케이블공</t>
    </r>
  </si>
  <si>
    <r>
      <rPr>
        <sz val="10"/>
        <color indexed="8"/>
        <rFont val="돋움"/>
        <family val="3"/>
        <charset val="129"/>
      </rPr>
      <t>내장공</t>
    </r>
  </si>
  <si>
    <r>
      <rPr>
        <sz val="10"/>
        <color indexed="8"/>
        <rFont val="돋움"/>
        <family val="3"/>
        <charset val="129"/>
      </rPr>
      <t>무선안테나공</t>
    </r>
  </si>
  <si>
    <r>
      <rPr>
        <sz val="10"/>
        <color indexed="8"/>
        <rFont val="돋움"/>
        <family val="3"/>
        <charset val="129"/>
      </rPr>
      <t>도배공</t>
    </r>
  </si>
  <si>
    <r>
      <rPr>
        <sz val="10"/>
        <color indexed="8"/>
        <rFont val="돋움"/>
        <family val="3"/>
        <charset val="129"/>
      </rPr>
      <t>석면해체공</t>
    </r>
  </si>
  <si>
    <r>
      <rPr>
        <sz val="10"/>
        <color indexed="8"/>
        <rFont val="돋움"/>
        <family val="3"/>
        <charset val="129"/>
      </rPr>
      <t>연마공</t>
    </r>
  </si>
  <si>
    <r>
      <rPr>
        <sz val="10"/>
        <color indexed="8"/>
        <rFont val="돋움"/>
        <family val="3"/>
        <charset val="129"/>
      </rPr>
      <t>석공</t>
    </r>
  </si>
  <si>
    <r>
      <rPr>
        <sz val="10"/>
        <color indexed="8"/>
        <rFont val="돋움"/>
        <family val="3"/>
        <charset val="129"/>
      </rPr>
      <t>줄눈공</t>
    </r>
  </si>
  <si>
    <r>
      <rPr>
        <sz val="10"/>
        <color indexed="8"/>
        <rFont val="돋움"/>
        <family val="3"/>
        <charset val="129"/>
      </rPr>
      <t>판넬조립공</t>
    </r>
  </si>
  <si>
    <r>
      <rPr>
        <sz val="10"/>
        <color indexed="8"/>
        <rFont val="돋움"/>
        <family val="3"/>
        <charset val="129"/>
      </rPr>
      <t>광케이블설치사</t>
    </r>
  </si>
  <si>
    <r>
      <rPr>
        <sz val="10"/>
        <color indexed="8"/>
        <rFont val="돋움"/>
        <family val="3"/>
        <charset val="129"/>
      </rPr>
      <t>지붕잇기공</t>
    </r>
  </si>
  <si>
    <r>
      <t>H/W</t>
    </r>
    <r>
      <rPr>
        <sz val="10"/>
        <color indexed="8"/>
        <rFont val="돋움"/>
        <family val="3"/>
        <charset val="129"/>
      </rPr>
      <t>시험사</t>
    </r>
  </si>
  <si>
    <r>
      <rPr>
        <sz val="10"/>
        <color indexed="8"/>
        <rFont val="돋움"/>
        <family val="3"/>
        <charset val="129"/>
      </rPr>
      <t>벌목부</t>
    </r>
  </si>
  <si>
    <r>
      <t>S/W</t>
    </r>
    <r>
      <rPr>
        <sz val="10"/>
        <color indexed="8"/>
        <rFont val="돋움"/>
        <family val="3"/>
        <charset val="129"/>
      </rPr>
      <t>시험사</t>
    </r>
  </si>
  <si>
    <r>
      <rPr>
        <sz val="10"/>
        <color indexed="8"/>
        <rFont val="돋움"/>
        <family val="3"/>
        <charset val="129"/>
      </rPr>
      <t>조경공</t>
    </r>
  </si>
  <si>
    <r>
      <rPr>
        <sz val="10"/>
        <color indexed="8"/>
        <rFont val="돋움"/>
        <family val="3"/>
        <charset val="129"/>
      </rPr>
      <t>도편수</t>
    </r>
  </si>
  <si>
    <r>
      <rPr>
        <sz val="10"/>
        <color indexed="8"/>
        <rFont val="돋움"/>
        <family val="3"/>
        <charset val="129"/>
      </rPr>
      <t>배관공</t>
    </r>
  </si>
  <si>
    <r>
      <rPr>
        <sz val="10"/>
        <color indexed="8"/>
        <rFont val="돋움"/>
        <family val="3"/>
        <charset val="129"/>
      </rPr>
      <t>드잡이공</t>
    </r>
  </si>
  <si>
    <r>
      <rPr>
        <sz val="10"/>
        <color indexed="8"/>
        <rFont val="돋움"/>
        <family val="3"/>
        <charset val="129"/>
      </rPr>
      <t>배관공</t>
    </r>
    <r>
      <rPr>
        <sz val="10"/>
        <color indexed="8"/>
        <rFont val="Arial Narrow"/>
        <family val="2"/>
      </rPr>
      <t>(</t>
    </r>
    <r>
      <rPr>
        <sz val="10"/>
        <color indexed="8"/>
        <rFont val="돋움"/>
        <family val="3"/>
        <charset val="129"/>
      </rPr>
      <t>수도</t>
    </r>
    <r>
      <rPr>
        <sz val="10"/>
        <color indexed="8"/>
        <rFont val="Arial Narrow"/>
        <family val="2"/>
      </rPr>
      <t>)</t>
    </r>
  </si>
  <si>
    <r>
      <rPr>
        <sz val="10"/>
        <color indexed="8"/>
        <rFont val="돋움"/>
        <family val="3"/>
        <charset val="129"/>
      </rPr>
      <t>한식목공</t>
    </r>
  </si>
  <si>
    <r>
      <rPr>
        <sz val="10"/>
        <color indexed="8"/>
        <rFont val="돋움"/>
        <family val="3"/>
        <charset val="129"/>
      </rPr>
      <t>보일러공</t>
    </r>
  </si>
  <si>
    <r>
      <rPr>
        <sz val="10"/>
        <color indexed="8"/>
        <rFont val="돋움"/>
        <family val="3"/>
        <charset val="129"/>
      </rPr>
      <t>한식목공조공</t>
    </r>
  </si>
  <si>
    <r>
      <rPr>
        <sz val="10"/>
        <color indexed="8"/>
        <rFont val="돋움"/>
        <family val="3"/>
        <charset val="129"/>
      </rPr>
      <t>한식석공</t>
    </r>
  </si>
  <si>
    <r>
      <rPr>
        <sz val="10"/>
        <color indexed="8"/>
        <rFont val="돋움"/>
        <family val="3"/>
        <charset val="129"/>
      </rPr>
      <t>덕트공</t>
    </r>
  </si>
  <si>
    <r>
      <rPr>
        <sz val="10"/>
        <color indexed="8"/>
        <rFont val="돋움"/>
        <family val="3"/>
        <charset val="129"/>
      </rPr>
      <t>한식미장공</t>
    </r>
  </si>
  <si>
    <r>
      <rPr>
        <sz val="10"/>
        <color indexed="8"/>
        <rFont val="돋움"/>
        <family val="3"/>
        <charset val="129"/>
      </rPr>
      <t>보온공</t>
    </r>
  </si>
  <si>
    <r>
      <rPr>
        <sz val="10"/>
        <color indexed="8"/>
        <rFont val="돋움"/>
        <family val="3"/>
        <charset val="129"/>
      </rPr>
      <t>한식와공</t>
    </r>
  </si>
  <si>
    <r>
      <rPr>
        <sz val="10"/>
        <color indexed="8"/>
        <rFont val="돋움"/>
        <family val="3"/>
        <charset val="129"/>
      </rPr>
      <t>인력운반공</t>
    </r>
  </si>
  <si>
    <r>
      <rPr>
        <sz val="10"/>
        <color indexed="8"/>
        <rFont val="돋움"/>
        <family val="3"/>
        <charset val="129"/>
      </rPr>
      <t>한식와공조공</t>
    </r>
  </si>
  <si>
    <r>
      <rPr>
        <sz val="10"/>
        <color indexed="8"/>
        <rFont val="돋움"/>
        <family val="3"/>
        <charset val="129"/>
      </rPr>
      <t>궤도공</t>
    </r>
  </si>
  <si>
    <r>
      <rPr>
        <sz val="10"/>
        <color indexed="8"/>
        <rFont val="돋움"/>
        <family val="3"/>
        <charset val="129"/>
      </rPr>
      <t>목조각공</t>
    </r>
  </si>
  <si>
    <r>
      <rPr>
        <sz val="10"/>
        <color indexed="8"/>
        <rFont val="돋움"/>
        <family val="3"/>
        <charset val="129"/>
      </rPr>
      <t>건설기계조장</t>
    </r>
  </si>
  <si>
    <r>
      <rPr>
        <sz val="10"/>
        <color indexed="8"/>
        <rFont val="돋움"/>
        <family val="3"/>
        <charset val="129"/>
      </rPr>
      <t>석조각공</t>
    </r>
  </si>
  <si>
    <t>건설기계운전사</t>
  </si>
  <si>
    <r>
      <rPr>
        <sz val="10"/>
        <color indexed="8"/>
        <rFont val="돋움"/>
        <family val="3"/>
        <charset val="129"/>
      </rPr>
      <t>특수화공</t>
    </r>
  </si>
  <si>
    <r>
      <rPr>
        <sz val="10"/>
        <color indexed="8"/>
        <rFont val="돋움"/>
        <family val="3"/>
        <charset val="129"/>
      </rPr>
      <t>화공</t>
    </r>
  </si>
  <si>
    <t>일반기계운전사</t>
  </si>
  <si>
    <r>
      <rPr>
        <sz val="10"/>
        <color indexed="8"/>
        <rFont val="돋움"/>
        <family val="3"/>
        <charset val="129"/>
      </rPr>
      <t>기계설비공</t>
    </r>
  </si>
  <si>
    <r>
      <rPr>
        <sz val="10"/>
        <color indexed="8"/>
        <rFont val="돋움"/>
        <family val="3"/>
        <charset val="129"/>
      </rPr>
      <t>원자력용접공</t>
    </r>
  </si>
  <si>
    <r>
      <rPr>
        <sz val="10"/>
        <color indexed="8"/>
        <rFont val="돋움"/>
        <family val="3"/>
        <charset val="129"/>
      </rPr>
      <t>준설선선장</t>
    </r>
  </si>
  <si>
    <r>
      <rPr>
        <sz val="10"/>
        <color indexed="8"/>
        <rFont val="돋움"/>
        <family val="3"/>
        <charset val="129"/>
      </rPr>
      <t>원자력기계설치공</t>
    </r>
  </si>
  <si>
    <r>
      <rPr>
        <sz val="10"/>
        <color indexed="8"/>
        <rFont val="돋움"/>
        <family val="3"/>
        <charset val="129"/>
      </rPr>
      <t>준설선기관사</t>
    </r>
  </si>
  <si>
    <r>
      <rPr>
        <sz val="10"/>
        <color indexed="8"/>
        <rFont val="돋움"/>
        <family val="3"/>
        <charset val="129"/>
      </rPr>
      <t>원자력품질관리사</t>
    </r>
  </si>
  <si>
    <r>
      <rPr>
        <sz val="10"/>
        <color indexed="8"/>
        <rFont val="돋움"/>
        <family val="3"/>
        <charset val="129"/>
      </rPr>
      <t>준설선운전사</t>
    </r>
  </si>
  <si>
    <r>
      <rPr>
        <sz val="10"/>
        <color indexed="8"/>
        <rFont val="돋움"/>
        <family val="3"/>
        <charset val="129"/>
      </rPr>
      <t>통신관련기사</t>
    </r>
  </si>
  <si>
    <r>
      <rPr>
        <sz val="10"/>
        <color indexed="8"/>
        <rFont val="돋움"/>
        <family val="3"/>
        <charset val="129"/>
      </rPr>
      <t>선원</t>
    </r>
  </si>
  <si>
    <r>
      <rPr>
        <sz val="10"/>
        <color indexed="8"/>
        <rFont val="돋움"/>
        <family val="3"/>
        <charset val="129"/>
      </rPr>
      <t>통신관련산업기사</t>
    </r>
  </si>
  <si>
    <r>
      <rPr>
        <sz val="10"/>
        <color indexed="8"/>
        <rFont val="돋움"/>
        <family val="3"/>
        <charset val="129"/>
      </rPr>
      <t>플랜트배관공</t>
    </r>
  </si>
  <si>
    <r>
      <rPr>
        <sz val="10"/>
        <color indexed="8"/>
        <rFont val="돋움"/>
        <family val="3"/>
        <charset val="129"/>
      </rPr>
      <t>통신관련기능사</t>
    </r>
  </si>
  <si>
    <r>
      <rPr>
        <sz val="10"/>
        <color indexed="8"/>
        <rFont val="돋움"/>
        <family val="3"/>
        <charset val="129"/>
      </rPr>
      <t>플랜트제관공</t>
    </r>
  </si>
  <si>
    <r>
      <rPr>
        <sz val="10"/>
        <color indexed="8"/>
        <rFont val="돋움"/>
        <family val="3"/>
        <charset val="129"/>
      </rPr>
      <t>전기공사기사</t>
    </r>
  </si>
  <si>
    <r>
      <rPr>
        <sz val="10"/>
        <color indexed="8"/>
        <rFont val="돋움"/>
        <family val="3"/>
        <charset val="129"/>
      </rPr>
      <t>플랜트용접공</t>
    </r>
  </si>
  <si>
    <r>
      <rPr>
        <sz val="10"/>
        <color indexed="8"/>
        <rFont val="돋움"/>
        <family val="3"/>
        <charset val="129"/>
      </rPr>
      <t>전기공사산업기사</t>
    </r>
  </si>
  <si>
    <r>
      <rPr>
        <sz val="10"/>
        <color indexed="8"/>
        <rFont val="돋움"/>
        <family val="3"/>
        <charset val="129"/>
      </rPr>
      <t>플랜트특수용접공</t>
    </r>
  </si>
  <si>
    <r>
      <rPr>
        <sz val="10"/>
        <color indexed="8"/>
        <rFont val="돋움"/>
        <family val="3"/>
        <charset val="129"/>
      </rPr>
      <t>변전전공</t>
    </r>
  </si>
  <si>
    <r>
      <rPr>
        <sz val="10"/>
        <color indexed="8"/>
        <rFont val="돋움"/>
        <family val="3"/>
        <charset val="129"/>
      </rPr>
      <t>플랜트기계설치공</t>
    </r>
  </si>
  <si>
    <r>
      <rPr>
        <sz val="10"/>
        <color indexed="8"/>
        <rFont val="돋움"/>
        <family val="3"/>
        <charset val="129"/>
      </rPr>
      <t>코킹공</t>
    </r>
  </si>
  <si>
    <t>7202
자동세륜기</t>
  </si>
  <si>
    <t>7202-0008</t>
  </si>
  <si>
    <t>7202-0010</t>
  </si>
  <si>
    <t>2,650m×5,160m×1,000m</t>
  </si>
  <si>
    <t xml:space="preserve">비          고                  </t>
  </si>
  <si>
    <t>부가세포함</t>
  </si>
  <si>
    <t>부가세미포함</t>
  </si>
  <si>
    <t>포틀랜드(1종)(40kg)</t>
  </si>
  <si>
    <t>이형철근(SD300)</t>
  </si>
  <si>
    <t>D10mm</t>
  </si>
  <si>
    <t>하치장상차도</t>
  </si>
  <si>
    <t>D13mm</t>
  </si>
  <si>
    <t>D16~32mm</t>
  </si>
  <si>
    <t>이형철근(SD400)</t>
  </si>
  <si>
    <t>HD10mm</t>
  </si>
  <si>
    <t>HD13mm</t>
  </si>
  <si>
    <t>HD16~32mm</t>
  </si>
  <si>
    <t>아스콘</t>
  </si>
  <si>
    <t>#67</t>
  </si>
  <si>
    <t>납품장소하차도</t>
  </si>
  <si>
    <t>#78</t>
  </si>
  <si>
    <t>#467</t>
  </si>
  <si>
    <t>레미콘</t>
  </si>
  <si>
    <t>25-18-08</t>
  </si>
  <si>
    <t>공사현장하차도</t>
  </si>
  <si>
    <t>25-18-12</t>
  </si>
  <si>
    <t>25-21-08</t>
  </si>
  <si>
    <t>25-21-12</t>
  </si>
  <si>
    <t>25-24-08</t>
  </si>
  <si>
    <t>25-24-12</t>
  </si>
  <si>
    <t>25-24-15</t>
  </si>
  <si>
    <t>25-27-12</t>
  </si>
  <si>
    <t>25-27-15</t>
  </si>
  <si>
    <t>D=250mm</t>
  </si>
  <si>
    <t>D=1350mm</t>
  </si>
  <si>
    <t>보차도경계석</t>
  </si>
  <si>
    <t>20×25×100(직선)</t>
  </si>
  <si>
    <t>20×25×100(곡선)</t>
  </si>
  <si>
    <t>도로경계석</t>
  </si>
  <si>
    <t>15×15×100(직선)</t>
  </si>
  <si>
    <t>15×15×100(곡선)</t>
  </si>
  <si>
    <t>원형맨홀뚜껑</t>
  </si>
  <si>
    <t>주물 D648mm</t>
  </si>
  <si>
    <t>주물 D766mm</t>
  </si>
  <si>
    <t>소형고압브럭</t>
  </si>
  <si>
    <t>회색(t=6cm)</t>
  </si>
  <si>
    <t>납품장소차상도</t>
  </si>
  <si>
    <t>적,갈,흑색(t=6cm)</t>
  </si>
  <si>
    <t>I형, U형 컬러(t=6cm)</t>
  </si>
  <si>
    <t>스틸그레이팅</t>
  </si>
  <si>
    <t>500×395×50mm(뚜껑)</t>
  </si>
  <si>
    <t>995×400×50mm(뚜껑)</t>
  </si>
  <si>
    <t>510×410×55mm(받침)</t>
  </si>
  <si>
    <t>1010×410×55(받침)</t>
  </si>
  <si>
    <t>코킹공</t>
    <phoneticPr fontId="2" type="noConversion"/>
  </si>
  <si>
    <t>인</t>
    <phoneticPr fontId="2" type="noConversion"/>
  </si>
  <si>
    <t>수밀코킹(1cm각)</t>
    <phoneticPr fontId="2" type="noConversion"/>
  </si>
  <si>
    <t>조</t>
    <phoneticPr fontId="2" type="noConversion"/>
  </si>
  <si>
    <t>고성능 융착식도료</t>
    <phoneticPr fontId="2" type="noConversion"/>
  </si>
  <si>
    <t>실선 융착성</t>
    <phoneticPr fontId="2" type="noConversion"/>
  </si>
  <si>
    <t>㎏</t>
    <phoneticPr fontId="2" type="noConversion"/>
  </si>
  <si>
    <t>유리알</t>
    <phoneticPr fontId="2" type="noConversion"/>
  </si>
  <si>
    <t>1호</t>
    <phoneticPr fontId="2" type="noConversion"/>
  </si>
  <si>
    <t>프라이머</t>
    <phoneticPr fontId="2" type="noConversion"/>
  </si>
  <si>
    <t>라인업 전용</t>
    <phoneticPr fontId="2" type="noConversion"/>
  </si>
  <si>
    <t>프로판가스</t>
    <phoneticPr fontId="2" type="noConversion"/>
  </si>
  <si>
    <t>용해용</t>
    <phoneticPr fontId="2" type="noConversion"/>
  </si>
  <si>
    <t>잡재료비</t>
    <phoneticPr fontId="2" type="noConversion"/>
  </si>
  <si>
    <t>노무비의 5%</t>
    <phoneticPr fontId="2" type="noConversion"/>
  </si>
  <si>
    <t>식</t>
    <phoneticPr fontId="2" type="noConversion"/>
  </si>
  <si>
    <t>특별인부</t>
    <phoneticPr fontId="2" type="noConversion"/>
  </si>
  <si>
    <t>작업인부</t>
    <phoneticPr fontId="2" type="noConversion"/>
  </si>
  <si>
    <t>인</t>
    <phoneticPr fontId="2" type="noConversion"/>
  </si>
  <si>
    <t>보통인부</t>
    <phoneticPr fontId="2" type="noConversion"/>
  </si>
  <si>
    <t>교통통제수</t>
    <phoneticPr fontId="2" type="noConversion"/>
  </si>
  <si>
    <t>차선도색기</t>
    <phoneticPr fontId="2" type="noConversion"/>
  </si>
  <si>
    <t>시간</t>
    <phoneticPr fontId="2" type="noConversion"/>
  </si>
  <si>
    <t>공구손료</t>
    <phoneticPr fontId="2" type="noConversion"/>
  </si>
  <si>
    <t>노무비의 6%</t>
    <phoneticPr fontId="2" type="noConversion"/>
  </si>
  <si>
    <t>작업차량</t>
    <phoneticPr fontId="2" type="noConversion"/>
  </si>
  <si>
    <t>2.5ton</t>
    <phoneticPr fontId="2" type="noConversion"/>
  </si>
  <si>
    <t>4.5ton</t>
    <phoneticPr fontId="2" type="noConversion"/>
  </si>
  <si>
    <t>소     계</t>
    <phoneticPr fontId="2" type="noConversion"/>
  </si>
  <si>
    <t>목록</t>
    <phoneticPr fontId="2" type="noConversion"/>
  </si>
  <si>
    <t>m</t>
    <phoneticPr fontId="2" type="noConversion"/>
  </si>
  <si>
    <t>공구손료</t>
    <phoneticPr fontId="2" type="noConversion"/>
  </si>
  <si>
    <t>커터</t>
    <phoneticPr fontId="2" type="noConversion"/>
  </si>
  <si>
    <t>320~400mm</t>
    <phoneticPr fontId="2" type="noConversion"/>
  </si>
  <si>
    <t>시간</t>
    <phoneticPr fontId="2" type="noConversion"/>
  </si>
  <si>
    <t>0211
굴삭기(타이어)</t>
    <phoneticPr fontId="2" type="noConversion"/>
  </si>
  <si>
    <t>굴삭기(타이어)</t>
    <phoneticPr fontId="2" type="noConversion"/>
  </si>
  <si>
    <t>0.6m³</t>
    <phoneticPr fontId="2" type="noConversion"/>
  </si>
  <si>
    <t>굴삭기(타이어)  1.0㎥    시간</t>
    <phoneticPr fontId="2" type="noConversion"/>
  </si>
  <si>
    <t>굴삭기(타이어)  0.18㎥    시간</t>
    <phoneticPr fontId="2" type="noConversion"/>
  </si>
  <si>
    <t>0.18㎥</t>
    <phoneticPr fontId="2" type="noConversion"/>
  </si>
  <si>
    <t>굴삭기(타이어)  0.06㎥    시간</t>
    <phoneticPr fontId="2" type="noConversion"/>
  </si>
  <si>
    <t>굴삭기(타이어)  0.8㎥    시간</t>
    <phoneticPr fontId="2" type="noConversion"/>
  </si>
  <si>
    <t>0.6㎥</t>
    <phoneticPr fontId="2" type="noConversion"/>
  </si>
  <si>
    <t>0.8㎥</t>
    <phoneticPr fontId="2" type="noConversion"/>
  </si>
  <si>
    <t>1.0㎥</t>
    <phoneticPr fontId="2" type="noConversion"/>
  </si>
  <si>
    <t>굴삭기(타이어])</t>
    <phoneticPr fontId="2" type="noConversion"/>
  </si>
  <si>
    <t>굴삭기</t>
    <phoneticPr fontId="2" type="noConversion"/>
  </si>
  <si>
    <t>0230-0006</t>
    <phoneticPr fontId="2" type="noConversion"/>
  </si>
  <si>
    <t>아스팔트포장깨기</t>
    <phoneticPr fontId="2" type="noConversion"/>
  </si>
  <si>
    <t>무근구조물헐기 t=30cm미만</t>
    <phoneticPr fontId="2" type="noConversion"/>
  </si>
  <si>
    <t>무근구조물헐기 t=30cm이상</t>
    <phoneticPr fontId="2" type="noConversion"/>
  </si>
  <si>
    <t>0.6BH+대형브레이커</t>
    <phoneticPr fontId="2" type="noConversion"/>
  </si>
  <si>
    <t>15D.T+0.6BH</t>
    <phoneticPr fontId="2" type="noConversion"/>
  </si>
  <si>
    <t>기계되메우기(토사) B.H 0.2m³      m³</t>
    <phoneticPr fontId="2" type="noConversion"/>
  </si>
  <si>
    <t>되메우기및다짐(토사) B.H 0.2m³      m³</t>
    <phoneticPr fontId="2" type="noConversion"/>
  </si>
  <si>
    <t>0.2㎥</t>
    <phoneticPr fontId="2" type="noConversion"/>
  </si>
  <si>
    <t>대형브레이커  0.6㎥    시간</t>
    <phoneticPr fontId="2" type="noConversion"/>
  </si>
  <si>
    <t>소형고압블록걷기 T=6~8cm       ㎡</t>
    <phoneticPr fontId="2" type="noConversion"/>
  </si>
  <si>
    <t>T=6~8cm</t>
    <phoneticPr fontId="2" type="noConversion"/>
  </si>
  <si>
    <t>T=6~8cm(지장물5%이상)</t>
    <phoneticPr fontId="2" type="noConversion"/>
  </si>
  <si>
    <t>0211-0060</t>
    <phoneticPr fontId="2" type="noConversion"/>
  </si>
  <si>
    <t>0.8m³</t>
    <phoneticPr fontId="2" type="noConversion"/>
  </si>
  <si>
    <t>0211-0080</t>
    <phoneticPr fontId="2" type="noConversion"/>
  </si>
  <si>
    <t>0211-0100</t>
    <phoneticPr fontId="2" type="noConversion"/>
  </si>
  <si>
    <t>호표</t>
    <phoneticPr fontId="2" type="noConversion"/>
  </si>
  <si>
    <t>원자력플랜트전공</t>
    <phoneticPr fontId="2" type="noConversion"/>
  </si>
  <si>
    <t>소형고압블록포장 T=6~8cm(직선,지장물5%이상,곡선)        a</t>
    <phoneticPr fontId="2" type="noConversion"/>
  </si>
  <si>
    <r>
      <rPr>
        <sz val="8"/>
        <rFont val="맑은 고딕"/>
        <family val="3"/>
        <charset val="129"/>
      </rPr>
      <t>에폭시접착제</t>
    </r>
    <phoneticPr fontId="2" type="noConversion"/>
  </si>
  <si>
    <r>
      <rPr>
        <sz val="8"/>
        <rFont val="맑은 고딕"/>
        <family val="3"/>
        <charset val="129"/>
      </rPr>
      <t>에폭시신너</t>
    </r>
    <phoneticPr fontId="2" type="noConversion"/>
  </si>
  <si>
    <r>
      <rPr>
        <sz val="8"/>
        <rFont val="맑은 고딕"/>
        <family val="3"/>
        <charset val="129"/>
      </rPr>
      <t>도장공</t>
    </r>
    <phoneticPr fontId="2" type="noConversion"/>
  </si>
  <si>
    <t>소     계</t>
    <phoneticPr fontId="2" type="noConversion"/>
  </si>
  <si>
    <t>1:2</t>
    <phoneticPr fontId="2" type="noConversion"/>
  </si>
  <si>
    <t>삭제</t>
    <phoneticPr fontId="2" type="noConversion"/>
  </si>
  <si>
    <t>다)</t>
    <phoneticPr fontId="2" type="noConversion"/>
  </si>
  <si>
    <t>탠덤롤러(10-14톤)</t>
    <phoneticPr fontId="2" type="noConversion"/>
  </si>
  <si>
    <t xml:space="preserve">  2. 혼합기층 살수비 (인력)</t>
    <phoneticPr fontId="2" type="noConversion"/>
  </si>
  <si>
    <t>1.</t>
    <phoneticPr fontId="2" type="noConversion"/>
  </si>
  <si>
    <t>주입비</t>
    <phoneticPr fontId="2" type="noConversion"/>
  </si>
  <si>
    <t>살  포  :</t>
    <phoneticPr fontId="2" type="noConversion"/>
  </si>
  <si>
    <t>2.</t>
    <phoneticPr fontId="2" type="noConversion"/>
  </si>
  <si>
    <t>인건비</t>
    <phoneticPr fontId="2" type="noConversion"/>
  </si>
  <si>
    <t xml:space="preserve">  -  노  무  비 :</t>
    <phoneticPr fontId="2" type="noConversion"/>
  </si>
  <si>
    <t>÷</t>
    <phoneticPr fontId="2" type="noConversion"/>
  </si>
  <si>
    <t>=</t>
    <phoneticPr fontId="2" type="noConversion"/>
  </si>
  <si>
    <t>원/㎥</t>
    <phoneticPr fontId="2" type="noConversion"/>
  </si>
  <si>
    <t xml:space="preserve">  -  경       비 :</t>
    <phoneticPr fontId="2" type="noConversion"/>
  </si>
  <si>
    <t>*3002</t>
    <phoneticPr fontId="2" type="noConversion"/>
  </si>
  <si>
    <t>*3004</t>
    <phoneticPr fontId="2" type="noConversion"/>
  </si>
  <si>
    <t>*1032</t>
    <phoneticPr fontId="2" type="noConversion"/>
  </si>
  <si>
    <t>*1037</t>
    <phoneticPr fontId="2" type="noConversion"/>
  </si>
  <si>
    <t>*1041</t>
    <phoneticPr fontId="2" type="noConversion"/>
  </si>
  <si>
    <t>위생공</t>
    <phoneticPr fontId="2" type="noConversion"/>
  </si>
  <si>
    <t>**1046</t>
    <phoneticPr fontId="2" type="noConversion"/>
  </si>
  <si>
    <t>*1047</t>
    <phoneticPr fontId="2" type="noConversion"/>
  </si>
  <si>
    <t>**1050</t>
    <phoneticPr fontId="2" type="noConversion"/>
  </si>
  <si>
    <t>**1052</t>
    <phoneticPr fontId="2" type="noConversion"/>
  </si>
  <si>
    <t>**1054</t>
    <phoneticPr fontId="2" type="noConversion"/>
  </si>
  <si>
    <t>*1063</t>
    <phoneticPr fontId="2" type="noConversion"/>
  </si>
  <si>
    <t>*1064</t>
    <phoneticPr fontId="2" type="noConversion"/>
  </si>
  <si>
    <t>*1069</t>
    <phoneticPr fontId="2" type="noConversion"/>
  </si>
  <si>
    <t>*1070</t>
    <phoneticPr fontId="2" type="noConversion"/>
  </si>
  <si>
    <t>*1071</t>
    <phoneticPr fontId="2" type="noConversion"/>
  </si>
  <si>
    <t>*1091</t>
    <phoneticPr fontId="2" type="noConversion"/>
  </si>
  <si>
    <t>*3009</t>
    <phoneticPr fontId="2" type="noConversion"/>
  </si>
  <si>
    <t>**3011</t>
    <phoneticPr fontId="2" type="noConversion"/>
  </si>
  <si>
    <r>
      <t>15.24</t>
    </r>
    <r>
      <rPr>
        <sz val="10"/>
        <rFont val="맑은 고딕"/>
        <family val="3"/>
        <charset val="129"/>
      </rPr>
      <t>㎝</t>
    </r>
    <phoneticPr fontId="2" type="noConversion"/>
  </si>
  <si>
    <t>25.4㎝</t>
    <phoneticPr fontId="2" type="noConversion"/>
  </si>
  <si>
    <t>5901코아드릴</t>
    <phoneticPr fontId="2" type="noConversion"/>
  </si>
  <si>
    <t>5901-0016</t>
    <phoneticPr fontId="2" type="noConversion"/>
  </si>
  <si>
    <r>
      <t>40.64</t>
    </r>
    <r>
      <rPr>
        <sz val="10"/>
        <rFont val="맑은 고딕"/>
        <family val="3"/>
        <charset val="129"/>
      </rPr>
      <t>㎝</t>
    </r>
    <phoneticPr fontId="2" type="noConversion"/>
  </si>
  <si>
    <t>6516-0060</t>
    <phoneticPr fontId="2" type="noConversion"/>
  </si>
  <si>
    <t>6516-0120</t>
    <phoneticPr fontId="2" type="noConversion"/>
  </si>
  <si>
    <t>120톤</t>
    <phoneticPr fontId="2" type="noConversion"/>
  </si>
  <si>
    <t>7210동력분무기</t>
    <phoneticPr fontId="2" type="noConversion"/>
  </si>
  <si>
    <t>7210-0485</t>
    <phoneticPr fontId="2" type="noConversion"/>
  </si>
  <si>
    <t>4.85kw</t>
    <phoneticPr fontId="2" type="noConversion"/>
  </si>
  <si>
    <t>강연선인장기</t>
    <phoneticPr fontId="2" type="noConversion"/>
  </si>
  <si>
    <t>7991-0500</t>
    <phoneticPr fontId="2" type="noConversion"/>
  </si>
  <si>
    <t>37kw/h</t>
    <phoneticPr fontId="2" type="noConversion"/>
  </si>
  <si>
    <t>37kw</t>
    <phoneticPr fontId="2" type="noConversion"/>
  </si>
  <si>
    <t>3.73kw</t>
    <phoneticPr fontId="2" type="noConversion"/>
  </si>
  <si>
    <t>7.46kw</t>
    <phoneticPr fontId="2" type="noConversion"/>
  </si>
  <si>
    <t>흄관절단(450mm)  개소</t>
    <phoneticPr fontId="2" type="noConversion"/>
  </si>
  <si>
    <t>흄관절단(500mm)  개소</t>
    <phoneticPr fontId="2" type="noConversion"/>
  </si>
  <si>
    <t>흄관절단(600mm)  개소</t>
    <phoneticPr fontId="2" type="noConversion"/>
  </si>
  <si>
    <t>흄관절단(700mm)  개소</t>
    <phoneticPr fontId="2" type="noConversion"/>
  </si>
  <si>
    <t>흄관절단(800mm)  개소</t>
    <phoneticPr fontId="2" type="noConversion"/>
  </si>
  <si>
    <t>하수관부설(관급)  인력, D=250mm 칼라식(몰탈) m</t>
    <phoneticPr fontId="2" type="noConversion"/>
  </si>
  <si>
    <t>하수관부설(관급)  인력, D=250mm 소켓식(몰탈) m</t>
    <phoneticPr fontId="2" type="noConversion"/>
  </si>
  <si>
    <t>크레인(트럭)</t>
    <phoneticPr fontId="2" type="noConversion"/>
  </si>
  <si>
    <t>10톤</t>
    <phoneticPr fontId="2" type="noConversion"/>
  </si>
  <si>
    <t>하수관부설(관급)  인력, D=300mm 칼라식(몰탈) m</t>
    <phoneticPr fontId="2" type="noConversion"/>
  </si>
  <si>
    <t>하수관부설(관급)  인력, D=300mm 소켓식(몰탈) m</t>
    <phoneticPr fontId="2" type="noConversion"/>
  </si>
  <si>
    <t>하수관부설(관급)  기계, D=450mm 소켓식(고무링) m</t>
    <phoneticPr fontId="2" type="noConversion"/>
  </si>
  <si>
    <t>하수관부설(관급)  기계, D=600mm 소켓식(고무링) m</t>
    <phoneticPr fontId="2" type="noConversion"/>
  </si>
  <si>
    <t>하수관부설(관급)  기계, D=700mm 소켓식(고무링) m</t>
    <phoneticPr fontId="2" type="noConversion"/>
  </si>
  <si>
    <t>하수관부설(관급)  기계, D=800mm 소켓식(고무링) m</t>
    <phoneticPr fontId="2" type="noConversion"/>
  </si>
  <si>
    <t>하수관부설(관급)  기계, D=900mm 소켓식(고무링) m</t>
    <phoneticPr fontId="2" type="noConversion"/>
  </si>
  <si>
    <t>하수관부설(관급)  기계, D=1000mm 소켓식(고무링) m</t>
    <phoneticPr fontId="2" type="noConversion"/>
  </si>
  <si>
    <t>하수관부설(관급)  기계, D=1200mm 소켓식(고무링) m</t>
    <phoneticPr fontId="2" type="noConversion"/>
  </si>
  <si>
    <t>하수관부설(관급)  기계, D=1500mm 소켓식(고무링) m</t>
    <phoneticPr fontId="2" type="noConversion"/>
  </si>
  <si>
    <t>하수관기초(부순돌)  0.10×1.1m,D=450mm  m</t>
    <phoneticPr fontId="2" type="noConversion"/>
  </si>
  <si>
    <t>하수관기초(부순돌, 인력)  0.10×1.1m,D=450mm  m</t>
    <phoneticPr fontId="2" type="noConversion"/>
  </si>
  <si>
    <t>부순돌</t>
    <phoneticPr fontId="2" type="noConversion"/>
  </si>
  <si>
    <t>하수관기초(부순돌)  0.15×1.4m,D=700mm  m</t>
    <phoneticPr fontId="2" type="noConversion"/>
  </si>
  <si>
    <t>하수관기초(부순돌)  0.2×1.65m,D=900mm  m</t>
    <phoneticPr fontId="2" type="noConversion"/>
  </si>
  <si>
    <t>하수관기초(부순돌)  0.2×1.5m,D=800mm  m</t>
    <phoneticPr fontId="2" type="noConversion"/>
  </si>
  <si>
    <t>하수관기초(부순돌)  0.2×1.7m,D=1000mm  m</t>
    <phoneticPr fontId="2" type="noConversion"/>
  </si>
  <si>
    <t>천공 및 접합(단지관) 본관450,연결관300  개소</t>
    <phoneticPr fontId="2" type="noConversion"/>
  </si>
  <si>
    <t>천공 및 접합(단지관) 본관600,연결관300  개소</t>
    <phoneticPr fontId="2" type="noConversion"/>
  </si>
  <si>
    <t>천공 및 접합(단지관) 본관700,연결관300  개소</t>
    <phoneticPr fontId="2" type="noConversion"/>
  </si>
  <si>
    <t>천공 및 접합(단지관) 본관800,연결관300  개소</t>
    <phoneticPr fontId="2" type="noConversion"/>
  </si>
  <si>
    <t>천공 및 접합(단지관) 본관900,연결관300  개소</t>
    <phoneticPr fontId="2" type="noConversion"/>
  </si>
  <si>
    <t>천공 및 접합(단지관) 본관1000,연결관300  개소</t>
    <phoneticPr fontId="2" type="noConversion"/>
  </si>
  <si>
    <t>천공 및 접합(단지관) 본관1200,연결관300  개소</t>
    <phoneticPr fontId="2" type="noConversion"/>
  </si>
  <si>
    <t>수밀코킹(2.549*0.03)</t>
    <phoneticPr fontId="2" type="noConversion"/>
  </si>
  <si>
    <t>D=300mm</t>
    <phoneticPr fontId="2" type="noConversion"/>
  </si>
  <si>
    <t>450mm</t>
    <phoneticPr fontId="2" type="noConversion"/>
  </si>
  <si>
    <t>500mm</t>
    <phoneticPr fontId="2" type="noConversion"/>
  </si>
  <si>
    <t>600mm</t>
    <phoneticPr fontId="2" type="noConversion"/>
  </si>
  <si>
    <t>700mm</t>
    <phoneticPr fontId="2" type="noConversion"/>
  </si>
  <si>
    <t>800mm</t>
    <phoneticPr fontId="2" type="noConversion"/>
  </si>
  <si>
    <t>인력, D=250mm 소켓식(몰탈)</t>
    <phoneticPr fontId="2" type="noConversion"/>
  </si>
  <si>
    <t>인력, D=300mm 칼라식(몰탈)</t>
    <phoneticPr fontId="2" type="noConversion"/>
  </si>
  <si>
    <t>인력, D=300mm 소켓식(몰탈)</t>
    <phoneticPr fontId="2" type="noConversion"/>
  </si>
  <si>
    <t>기계, D=600mm 소켓식(고무링)</t>
    <phoneticPr fontId="2" type="noConversion"/>
  </si>
  <si>
    <t>기계, D=700mm 소켓식(고무링)</t>
    <phoneticPr fontId="2" type="noConversion"/>
  </si>
  <si>
    <t>기계, D=800mm 소켓식(고무링)</t>
    <phoneticPr fontId="2" type="noConversion"/>
  </si>
  <si>
    <t>기계, D=900mm 소켓식(고무링)</t>
    <phoneticPr fontId="2" type="noConversion"/>
  </si>
  <si>
    <t>기계, D=1000mm 소켓식(고무링)</t>
    <phoneticPr fontId="2" type="noConversion"/>
  </si>
  <si>
    <t>기계, D=1200mm 소켓식(고무링)</t>
    <phoneticPr fontId="2" type="noConversion"/>
  </si>
  <si>
    <t>기계, D=1500mm 소켓식(고무링)</t>
    <phoneticPr fontId="2" type="noConversion"/>
  </si>
  <si>
    <t>인력, D=250mm 칼라식(몰탈)</t>
    <phoneticPr fontId="2" type="noConversion"/>
  </si>
  <si>
    <t>인력,0.10×1.1m,D=450mm</t>
    <phoneticPr fontId="2" type="noConversion"/>
  </si>
  <si>
    <t>본관450,연결관300</t>
    <phoneticPr fontId="2" type="noConversion"/>
  </si>
  <si>
    <t>배관공(수도)</t>
    <phoneticPr fontId="2" type="noConversion"/>
  </si>
  <si>
    <t>Ø350</t>
    <phoneticPr fontId="2" type="noConversion"/>
  </si>
  <si>
    <t>P.P포대</t>
    <phoneticPr fontId="2" type="noConversion"/>
  </si>
  <si>
    <t>1㎥=42대, 45*70cm</t>
    <phoneticPr fontId="2" type="noConversion"/>
  </si>
  <si>
    <t>장</t>
    <phoneticPr fontId="2" type="noConversion"/>
  </si>
  <si>
    <t>보통인부</t>
    <phoneticPr fontId="2" type="noConversion"/>
  </si>
  <si>
    <t>인</t>
    <phoneticPr fontId="2" type="noConversion"/>
  </si>
  <si>
    <t>핸드가이드 마커</t>
    <phoneticPr fontId="2" type="noConversion"/>
  </si>
  <si>
    <t xml:space="preserve">  -  재  료  비 :</t>
    <phoneticPr fontId="2" type="noConversion"/>
  </si>
  <si>
    <r>
      <t>2015</t>
    </r>
    <r>
      <rPr>
        <sz val="10"/>
        <rFont val="돋움"/>
        <family val="3"/>
        <charset val="129"/>
      </rPr>
      <t>년</t>
    </r>
    <r>
      <rPr>
        <sz val="10"/>
        <rFont val="Arial Narrow"/>
        <family val="2"/>
      </rPr>
      <t xml:space="preserve"> </t>
    </r>
    <r>
      <rPr>
        <sz val="10"/>
        <rFont val="돋움"/>
        <family val="3"/>
        <charset val="129"/>
      </rPr>
      <t>상반기</t>
    </r>
    <phoneticPr fontId="2" type="noConversion"/>
  </si>
  <si>
    <t>로더</t>
    <phoneticPr fontId="2" type="noConversion"/>
  </si>
  <si>
    <t>모터그레이더</t>
    <phoneticPr fontId="2" type="noConversion"/>
  </si>
  <si>
    <t>머캐덤롤러</t>
    <phoneticPr fontId="2" type="noConversion"/>
  </si>
  <si>
    <t>탠덤롤러</t>
    <phoneticPr fontId="2" type="noConversion"/>
  </si>
  <si>
    <t>1305진동롤러(핸드가이드식)</t>
    <phoneticPr fontId="2" type="noConversion"/>
  </si>
  <si>
    <t>진동롤러</t>
    <phoneticPr fontId="2" type="noConversion"/>
  </si>
  <si>
    <t>타이어롤러</t>
    <phoneticPr fontId="2" type="noConversion"/>
  </si>
  <si>
    <t>2208-5008</t>
    <phoneticPr fontId="2" type="noConversion"/>
  </si>
  <si>
    <t>2208-5012</t>
    <phoneticPr fontId="2" type="noConversion"/>
  </si>
  <si>
    <t>2208-5016</t>
    <phoneticPr fontId="2" type="noConversion"/>
  </si>
  <si>
    <t>2208-5020</t>
    <phoneticPr fontId="2" type="noConversion"/>
  </si>
  <si>
    <t>스테이빌라이저(안정기)</t>
    <phoneticPr fontId="2" type="noConversion"/>
  </si>
  <si>
    <t>콘크리트펌프차</t>
    <phoneticPr fontId="2" type="noConversion"/>
  </si>
  <si>
    <t>12-15㎥/hr(22KW)</t>
    <phoneticPr fontId="2" type="noConversion"/>
  </si>
  <si>
    <t>32m[80~95㎥/hr]</t>
    <phoneticPr fontId="2" type="noConversion"/>
  </si>
  <si>
    <t>6510오실레이터로테이터</t>
    <phoneticPr fontId="2" type="noConversion"/>
  </si>
  <si>
    <t>예선</t>
    <phoneticPr fontId="2" type="noConversion"/>
  </si>
  <si>
    <t>9050</t>
    <phoneticPr fontId="2" type="noConversion"/>
  </si>
  <si>
    <t>9070이우선</t>
    <phoneticPr fontId="2" type="noConversion"/>
  </si>
  <si>
    <t>SD50톤</t>
    <phoneticPr fontId="2" type="noConversion"/>
  </si>
  <si>
    <t>80톤</t>
    <phoneticPr fontId="2" type="noConversion"/>
  </si>
  <si>
    <t>9080-0050</t>
    <phoneticPr fontId="2" type="noConversion"/>
  </si>
  <si>
    <t>9080-0080</t>
    <phoneticPr fontId="2" type="noConversion"/>
  </si>
  <si>
    <t>9080-0100</t>
    <phoneticPr fontId="2" type="noConversion"/>
  </si>
  <si>
    <t>9080-0120</t>
    <phoneticPr fontId="2" type="noConversion"/>
  </si>
  <si>
    <t>9080-0150</t>
    <phoneticPr fontId="2" type="noConversion"/>
  </si>
  <si>
    <t>9080-0200</t>
    <phoneticPr fontId="2" type="noConversion"/>
  </si>
  <si>
    <t>9080-0300</t>
    <phoneticPr fontId="2" type="noConversion"/>
  </si>
  <si>
    <t>9080-0500</t>
    <phoneticPr fontId="2" type="noConversion"/>
  </si>
  <si>
    <t>9080-0700</t>
    <phoneticPr fontId="2" type="noConversion"/>
  </si>
  <si>
    <t>9080-1000</t>
    <phoneticPr fontId="2" type="noConversion"/>
  </si>
  <si>
    <t>9080-1500</t>
    <phoneticPr fontId="2" type="noConversion"/>
  </si>
  <si>
    <t>9080-2000</t>
    <phoneticPr fontId="2" type="noConversion"/>
  </si>
  <si>
    <t>9080-3000</t>
    <phoneticPr fontId="2" type="noConversion"/>
  </si>
  <si>
    <t>9090-0800</t>
    <phoneticPr fontId="2" type="noConversion"/>
  </si>
  <si>
    <t>9090-1000</t>
    <phoneticPr fontId="2" type="noConversion"/>
  </si>
  <si>
    <t>9090-1200</t>
    <phoneticPr fontId="2" type="noConversion"/>
  </si>
  <si>
    <t>9090-1300</t>
    <phoneticPr fontId="2" type="noConversion"/>
  </si>
  <si>
    <t>9090-1400</t>
    <phoneticPr fontId="2" type="noConversion"/>
  </si>
  <si>
    <t>9090-1500</t>
    <phoneticPr fontId="2" type="noConversion"/>
  </si>
  <si>
    <t>9090-1600</t>
    <phoneticPr fontId="2" type="noConversion"/>
  </si>
  <si>
    <t>9030-0016</t>
    <phoneticPr fontId="2" type="noConversion"/>
  </si>
  <si>
    <t>9030-0018</t>
    <phoneticPr fontId="2" type="noConversion"/>
  </si>
  <si>
    <t>9030-0025</t>
    <phoneticPr fontId="2" type="noConversion"/>
  </si>
  <si>
    <t>9030-0035</t>
    <phoneticPr fontId="2" type="noConversion"/>
  </si>
  <si>
    <t>9030-0045</t>
    <phoneticPr fontId="2" type="noConversion"/>
  </si>
  <si>
    <t>9030-0050</t>
    <phoneticPr fontId="2" type="noConversion"/>
  </si>
  <si>
    <t>9030-0080</t>
    <phoneticPr fontId="2" type="noConversion"/>
  </si>
  <si>
    <t>9030-0100</t>
    <phoneticPr fontId="2" type="noConversion"/>
  </si>
  <si>
    <t>9030-0240</t>
    <phoneticPr fontId="2" type="noConversion"/>
  </si>
  <si>
    <t>9040-0010</t>
    <phoneticPr fontId="2" type="noConversion"/>
  </si>
  <si>
    <t>9040-0030</t>
    <phoneticPr fontId="2" type="noConversion"/>
  </si>
  <si>
    <t>9040-0050</t>
    <phoneticPr fontId="2" type="noConversion"/>
  </si>
  <si>
    <t>9040-0060</t>
    <phoneticPr fontId="2" type="noConversion"/>
  </si>
  <si>
    <t>9040-0100</t>
    <phoneticPr fontId="2" type="noConversion"/>
  </si>
  <si>
    <t>9040-0120</t>
    <phoneticPr fontId="2" type="noConversion"/>
  </si>
  <si>
    <t>9040-0200</t>
    <phoneticPr fontId="2" type="noConversion"/>
  </si>
  <si>
    <t>9040-0250</t>
    <phoneticPr fontId="2" type="noConversion"/>
  </si>
  <si>
    <t>9050-0075</t>
    <phoneticPr fontId="2" type="noConversion"/>
  </si>
  <si>
    <t>9050-0150</t>
    <phoneticPr fontId="2" type="noConversion"/>
  </si>
  <si>
    <t>9050-0450</t>
    <phoneticPr fontId="2" type="noConversion"/>
  </si>
  <si>
    <t>9060-0030</t>
    <phoneticPr fontId="2" type="noConversion"/>
  </si>
  <si>
    <t>9060-0060</t>
    <phoneticPr fontId="2" type="noConversion"/>
  </si>
  <si>
    <t>9060-0100</t>
    <phoneticPr fontId="2" type="noConversion"/>
  </si>
  <si>
    <t>9060-0200</t>
    <phoneticPr fontId="2" type="noConversion"/>
  </si>
  <si>
    <t>9060-0300</t>
    <phoneticPr fontId="2" type="noConversion"/>
  </si>
  <si>
    <t>9060-0500</t>
    <phoneticPr fontId="2" type="noConversion"/>
  </si>
  <si>
    <t>9070-0005</t>
    <phoneticPr fontId="2" type="noConversion"/>
  </si>
  <si>
    <t>9070-0010</t>
    <phoneticPr fontId="2" type="noConversion"/>
  </si>
  <si>
    <t>9070-0015</t>
    <phoneticPr fontId="2" type="noConversion"/>
  </si>
  <si>
    <t>9070-0020</t>
    <phoneticPr fontId="2" type="noConversion"/>
  </si>
  <si>
    <t>100톤</t>
    <phoneticPr fontId="2" type="noConversion"/>
  </si>
  <si>
    <t>120톤</t>
    <phoneticPr fontId="2" type="noConversion"/>
  </si>
  <si>
    <t>150톤</t>
    <phoneticPr fontId="2" type="noConversion"/>
  </si>
  <si>
    <t>200톤</t>
    <phoneticPr fontId="2" type="noConversion"/>
  </si>
  <si>
    <t>300톤</t>
    <phoneticPr fontId="2" type="noConversion"/>
  </si>
  <si>
    <t>500톤</t>
    <phoneticPr fontId="2" type="noConversion"/>
  </si>
  <si>
    <t>700톤</t>
    <phoneticPr fontId="2" type="noConversion"/>
  </si>
  <si>
    <t>1000톤</t>
    <phoneticPr fontId="2" type="noConversion"/>
  </si>
  <si>
    <t>1500톤</t>
    <phoneticPr fontId="2" type="noConversion"/>
  </si>
  <si>
    <t>2000톤</t>
    <phoneticPr fontId="2" type="noConversion"/>
  </si>
  <si>
    <t>3000톤</t>
    <phoneticPr fontId="2" type="noConversion"/>
  </si>
  <si>
    <t>SD10(160)</t>
    <phoneticPr fontId="2" type="noConversion"/>
  </si>
  <si>
    <t>SD150(1000)</t>
    <phoneticPr fontId="2" type="noConversion"/>
  </si>
  <si>
    <t>(2400)</t>
    <phoneticPr fontId="2" type="noConversion"/>
  </si>
  <si>
    <r>
      <t>엔지니어링</t>
    </r>
    <r>
      <rPr>
        <b/>
        <sz val="12"/>
        <rFont val="Arial Narrow"/>
        <family val="2"/>
      </rPr>
      <t xml:space="preserve"> </t>
    </r>
    <r>
      <rPr>
        <b/>
        <sz val="12"/>
        <rFont val="돋움"/>
        <family val="3"/>
        <charset val="129"/>
      </rPr>
      <t>기술자</t>
    </r>
    <r>
      <rPr>
        <b/>
        <sz val="12"/>
        <rFont val="Arial Narrow"/>
        <family val="2"/>
      </rPr>
      <t xml:space="preserve"> </t>
    </r>
    <r>
      <rPr>
        <b/>
        <sz val="12"/>
        <rFont val="돋움"/>
        <family val="3"/>
        <charset val="129"/>
      </rPr>
      <t>노임</t>
    </r>
    <r>
      <rPr>
        <b/>
        <sz val="12"/>
        <rFont val="돋움"/>
        <family val="3"/>
        <charset val="129"/>
      </rPr>
      <t>단가</t>
    </r>
    <phoneticPr fontId="2" type="noConversion"/>
  </si>
  <si>
    <t>KSM 6080,상온형</t>
  </si>
  <si>
    <t>용접봉(KSD309-16)</t>
  </si>
  <si>
    <t>투수콘(재질투수아스콘)</t>
  </si>
  <si>
    <t>암적색, 13mm</t>
  </si>
  <si>
    <t>제강슬래그(도로용) 기층및보조기층</t>
  </si>
  <si>
    <t>MD-25</t>
  </si>
  <si>
    <t>벽체용, 고재, 외줄</t>
  </si>
  <si>
    <t>55×85(12*12)</t>
  </si>
  <si>
    <t>경량A(매입가)</t>
  </si>
  <si>
    <t>육각볼트</t>
  </si>
  <si>
    <t>직경22mm ,60mm</t>
  </si>
  <si>
    <t>직경22mm ,75mm</t>
  </si>
  <si>
    <t>공사명 : 2015년 중랑구 공통 일위대가표</t>
    <phoneticPr fontId="2" type="noConversion"/>
  </si>
  <si>
    <t>시험기기</t>
    <phoneticPr fontId="2" type="noConversion"/>
  </si>
  <si>
    <t>공기압축기 이동식</t>
    <phoneticPr fontId="2" type="noConversion"/>
  </si>
  <si>
    <t>물탱크(살수차)</t>
    <phoneticPr fontId="2" type="noConversion"/>
  </si>
  <si>
    <t>특별인부</t>
    <phoneticPr fontId="2" type="noConversion"/>
  </si>
  <si>
    <t>보통인부</t>
    <phoneticPr fontId="2" type="noConversion"/>
  </si>
  <si>
    <t>물</t>
    <phoneticPr fontId="2" type="noConversion"/>
  </si>
  <si>
    <t>잡재료비</t>
    <phoneticPr fontId="2" type="noConversion"/>
  </si>
  <si>
    <t>품의 5%</t>
    <phoneticPr fontId="2" type="noConversion"/>
  </si>
  <si>
    <t>5,500L</t>
    <phoneticPr fontId="2" type="noConversion"/>
  </si>
  <si>
    <t>D=450mm</t>
    <phoneticPr fontId="2" type="noConversion"/>
  </si>
  <si>
    <t>조</t>
    <phoneticPr fontId="2" type="noConversion"/>
  </si>
  <si>
    <t>식</t>
    <phoneticPr fontId="2" type="noConversion"/>
  </si>
  <si>
    <t>인</t>
    <phoneticPr fontId="2" type="noConversion"/>
  </si>
  <si>
    <t>hr</t>
    <phoneticPr fontId="2" type="noConversion"/>
  </si>
  <si>
    <t>D=600mm</t>
    <phoneticPr fontId="2" type="noConversion"/>
  </si>
  <si>
    <t>D=800mm</t>
    <phoneticPr fontId="2" type="noConversion"/>
  </si>
  <si>
    <t>D=450, L=50m</t>
    <phoneticPr fontId="2" type="noConversion"/>
  </si>
  <si>
    <t>개소</t>
    <phoneticPr fontId="2" type="noConversion"/>
  </si>
  <si>
    <t>D=600, L=50m</t>
    <phoneticPr fontId="2" type="noConversion"/>
  </si>
  <si>
    <t>D=800, L=50m</t>
    <phoneticPr fontId="2" type="noConversion"/>
  </si>
  <si>
    <t>하수관수밀시험 D=450mm, L=50m  개소</t>
    <phoneticPr fontId="2" type="noConversion"/>
  </si>
  <si>
    <t>하수관수밀시험 D=600mm, L=50m  개소</t>
    <phoneticPr fontId="2" type="noConversion"/>
  </si>
  <si>
    <t>하수관수밀시험 D=800mm, L=50m  개소</t>
    <phoneticPr fontId="2" type="noConversion"/>
  </si>
  <si>
    <t>공사현장하차도</t>
    <phoneticPr fontId="4" type="noConversion"/>
  </si>
  <si>
    <t>납품장소차상도</t>
    <phoneticPr fontId="4" type="noConversion"/>
  </si>
  <si>
    <t>납품장소하차도</t>
    <phoneticPr fontId="4" type="noConversion"/>
  </si>
  <si>
    <t>유통물가</t>
    <phoneticPr fontId="5" type="noConversion"/>
  </si>
  <si>
    <t>기타(물가정보)</t>
    <phoneticPr fontId="5" type="noConversion"/>
  </si>
  <si>
    <t>KSM 6080(4종R5고휘도)</t>
    <phoneticPr fontId="5" type="noConversion"/>
  </si>
  <si>
    <t>조달</t>
    <phoneticPr fontId="5" type="noConversion"/>
  </si>
  <si>
    <t>융착성도료(황색)</t>
    <phoneticPr fontId="5" type="noConversion"/>
  </si>
  <si>
    <t>KSM 6080(4종R4고휘도)</t>
    <phoneticPr fontId="5" type="noConversion"/>
  </si>
  <si>
    <t>KSL-2521(1호)</t>
    <phoneticPr fontId="5" type="noConversion"/>
  </si>
  <si>
    <t>포</t>
    <phoneticPr fontId="5" type="noConversion"/>
  </si>
  <si>
    <t>시멘트 조작비</t>
    <phoneticPr fontId="5" type="noConversion"/>
  </si>
  <si>
    <t>운반,하차</t>
    <phoneticPr fontId="5" type="noConversion"/>
  </si>
  <si>
    <t>스텐레스강용(4mm)</t>
    <phoneticPr fontId="5" type="noConversion"/>
  </si>
  <si>
    <t xml:space="preserve">고성능 융착식 도료 접착제 </t>
    <phoneticPr fontId="5" type="noConversion"/>
  </si>
  <si>
    <t>수량0-30,가정용</t>
    <phoneticPr fontId="5" type="noConversion"/>
  </si>
  <si>
    <t>에폭시신너</t>
    <phoneticPr fontId="5" type="noConversion"/>
  </si>
  <si>
    <t>신너</t>
    <phoneticPr fontId="5" type="noConversion"/>
  </si>
  <si>
    <t>ℓ</t>
    <phoneticPr fontId="5" type="noConversion"/>
  </si>
  <si>
    <t>다이아몬드블레이드(콘크리트소우)</t>
    <phoneticPr fontId="5" type="noConversion"/>
  </si>
  <si>
    <t>3.0*12*2.6m</t>
    <phoneticPr fontId="5" type="noConversion"/>
  </si>
  <si>
    <t>3.0*9*2.6m</t>
    <phoneticPr fontId="5" type="noConversion"/>
  </si>
  <si>
    <t>3.0*6*2.6m</t>
    <phoneticPr fontId="5" type="noConversion"/>
  </si>
  <si>
    <t>3.0*3*2.6m</t>
    <phoneticPr fontId="5" type="noConversion"/>
  </si>
  <si>
    <t>2.4*6*2.6m</t>
    <phoneticPr fontId="5" type="noConversion"/>
  </si>
  <si>
    <t>2.4*3*2.6m</t>
    <phoneticPr fontId="5" type="noConversion"/>
  </si>
  <si>
    <t>3.0*12*2.6m</t>
    <phoneticPr fontId="5" type="noConversion"/>
  </si>
  <si>
    <t>3.0*9*2.6m</t>
    <phoneticPr fontId="5" type="noConversion"/>
  </si>
  <si>
    <t>3.0*6*2.6m</t>
    <phoneticPr fontId="5" type="noConversion"/>
  </si>
  <si>
    <t>2.4*4*2.6m</t>
    <phoneticPr fontId="5" type="noConversion"/>
  </si>
  <si>
    <t>▣ 안전 능형망(가드휀스)</t>
    <phoneticPr fontId="5" type="noConversion"/>
  </si>
  <si>
    <t>능형철망(PVC)</t>
    <phoneticPr fontId="5" type="noConversion"/>
  </si>
  <si>
    <t>▣ 원형맨홀(P.E)거푸집</t>
    <phoneticPr fontId="5" type="noConversion"/>
  </si>
  <si>
    <t>벽체거푸집</t>
    <phoneticPr fontId="5" type="noConversion"/>
  </si>
  <si>
    <t>수밀벨트(하수관접합)</t>
    <phoneticPr fontId="5" type="noConversion"/>
  </si>
  <si>
    <t>U형 플륨관(1본2m)</t>
    <phoneticPr fontId="5" type="noConversion"/>
  </si>
  <si>
    <t>#200mm(깊이),소켓식</t>
    <phoneticPr fontId="5" type="noConversion"/>
  </si>
  <si>
    <t>100mm, 6m</t>
    <phoneticPr fontId="5" type="noConversion"/>
  </si>
  <si>
    <t>26mm, 421(1w)</t>
    <phoneticPr fontId="5" type="noConversion"/>
  </si>
  <si>
    <t>PVC고압호스</t>
    <phoneticPr fontId="5" type="noConversion"/>
  </si>
  <si>
    <t>관로조사용 CCTV,직시,측시</t>
    <phoneticPr fontId="5" type="noConversion"/>
  </si>
  <si>
    <t xml:space="preserve"> 2GB, 500GB, 윈도우7</t>
    <phoneticPr fontId="5" type="noConversion"/>
  </si>
  <si>
    <t>20"(와이드)</t>
    <phoneticPr fontId="5" type="noConversion"/>
  </si>
  <si>
    <t>육각볼트</t>
    <phoneticPr fontId="5" type="noConversion"/>
  </si>
  <si>
    <t>300*300*60mm</t>
    <phoneticPr fontId="5" type="noConversion"/>
  </si>
  <si>
    <t>25mm,스테인리스관이음쇠</t>
    <phoneticPr fontId="5" type="noConversion"/>
  </si>
  <si>
    <t>50mm,스테인리스관이음쇠</t>
    <phoneticPr fontId="5" type="noConversion"/>
  </si>
  <si>
    <t>25mm,호칭25(외경28.58)</t>
    <phoneticPr fontId="5" type="noConversion"/>
  </si>
  <si>
    <t>50mm,호칭50(외경48.60)</t>
    <phoneticPr fontId="5" type="noConversion"/>
  </si>
  <si>
    <t>방진막(비산먼지방지막)</t>
    <phoneticPr fontId="5" type="noConversion"/>
  </si>
  <si>
    <t>SET</t>
    <phoneticPr fontId="5" type="noConversion"/>
  </si>
  <si>
    <t>하수연결 단지관</t>
    <phoneticPr fontId="5" type="noConversion"/>
  </si>
  <si>
    <t>300A PVC</t>
    <phoneticPr fontId="5" type="noConversion"/>
  </si>
  <si>
    <t>SET</t>
    <phoneticPr fontId="5" type="noConversion"/>
  </si>
  <si>
    <r>
      <t>3m(6</t>
    </r>
    <r>
      <rPr>
        <sz val="10"/>
        <rFont val="맑은 고딕"/>
        <family val="3"/>
        <charset val="129"/>
      </rPr>
      <t>㎜</t>
    </r>
    <r>
      <rPr>
        <sz val="10"/>
        <rFont val="08서울남산체 L"/>
        <family val="1"/>
        <charset val="129"/>
      </rPr>
      <t>,2B)</t>
    </r>
    <phoneticPr fontId="5" type="noConversion"/>
  </si>
  <si>
    <t>3m(12㎜,1B)</t>
    <phoneticPr fontId="5" type="noConversion"/>
  </si>
  <si>
    <t>하수관수밀시험 D=700mm, L=50m  개소</t>
    <phoneticPr fontId="2" type="noConversion"/>
  </si>
  <si>
    <t>D=700, L=50m</t>
    <phoneticPr fontId="2" type="noConversion"/>
  </si>
  <si>
    <t>특급</t>
    <phoneticPr fontId="2" type="noConversion"/>
  </si>
  <si>
    <t>고급</t>
    <phoneticPr fontId="2" type="noConversion"/>
  </si>
  <si>
    <t>중급</t>
    <phoneticPr fontId="2" type="noConversion"/>
  </si>
  <si>
    <t>초급</t>
    <phoneticPr fontId="2" type="noConversion"/>
  </si>
  <si>
    <t>건설사업관리기술자 임금(감리)</t>
    <phoneticPr fontId="2" type="noConversion"/>
  </si>
  <si>
    <t>프라이머(융착식)</t>
    <phoneticPr fontId="5" type="noConversion"/>
  </si>
  <si>
    <t>비중0.86</t>
    <phoneticPr fontId="5" type="noConversion"/>
  </si>
  <si>
    <t>차선도색(융착, 수동식)</t>
    <phoneticPr fontId="2" type="noConversion"/>
  </si>
  <si>
    <t>백색실선, 15cm</t>
    <phoneticPr fontId="2" type="noConversion"/>
  </si>
  <si>
    <t>백색파선, 15cm</t>
    <phoneticPr fontId="2" type="noConversion"/>
  </si>
  <si>
    <t>황색실선, 15cm</t>
    <phoneticPr fontId="2" type="noConversion"/>
  </si>
  <si>
    <t>황색파선, 15cm</t>
    <phoneticPr fontId="2" type="noConversion"/>
  </si>
  <si>
    <t>차선도색(융착, 수동식) 백색실선, 15cm   m</t>
    <phoneticPr fontId="2" type="noConversion"/>
  </si>
  <si>
    <t>차선도색(융착, 수동식) 백색파선, 15cm   m</t>
    <phoneticPr fontId="2" type="noConversion"/>
  </si>
  <si>
    <t>차선도색(융착, 수동식) 황색실선, 15cm   m</t>
    <phoneticPr fontId="2" type="noConversion"/>
  </si>
  <si>
    <t>차선도색(융착, 수동식) 황색파선, 15cm   m</t>
    <phoneticPr fontId="2" type="noConversion"/>
  </si>
  <si>
    <t>시간</t>
    <phoneticPr fontId="2" type="noConversion"/>
  </si>
  <si>
    <t>하수관부설(관급)  기계, D=250mm 소켓식(고무링) m</t>
    <phoneticPr fontId="2" type="noConversion"/>
  </si>
  <si>
    <t>기계, D=250mm 소켓식(고무링)</t>
    <phoneticPr fontId="2" type="noConversion"/>
  </si>
  <si>
    <t>하수관부설(관급)  기계, D=300mm 소켓식(고무링) m</t>
    <phoneticPr fontId="2" type="noConversion"/>
  </si>
  <si>
    <t>기계, D=300mm 소켓식(고무링)</t>
    <phoneticPr fontId="2" type="noConversion"/>
  </si>
  <si>
    <t>기계, D=450mm 소켓식(고무링)</t>
    <phoneticPr fontId="2" type="noConversion"/>
  </si>
  <si>
    <t>㎥ / hr</t>
    <phoneticPr fontId="2" type="noConversion"/>
  </si>
  <si>
    <t>퍼티</t>
    <phoneticPr fontId="2" type="noConversion"/>
  </si>
  <si>
    <t>소모재료비</t>
    <phoneticPr fontId="2" type="noConversion"/>
  </si>
  <si>
    <t>페인트,신너의 5%</t>
    <phoneticPr fontId="2" type="noConversion"/>
  </si>
  <si>
    <t>KSL6003 22.8㎝×28㎝</t>
    <phoneticPr fontId="5" type="noConversion"/>
  </si>
  <si>
    <t>319퍼티</t>
    <phoneticPr fontId="5" type="noConversion"/>
  </si>
  <si>
    <t>㎥ / hr</t>
    <phoneticPr fontId="2" type="noConversion"/>
  </si>
  <si>
    <t>A =</t>
    <phoneticPr fontId="2" type="noConversion"/>
  </si>
  <si>
    <t>÷  ( 0.1 * 100 )</t>
    <phoneticPr fontId="2" type="noConversion"/>
  </si>
  <si>
    <t>÷ ( 0.15 * 100 )</t>
    <phoneticPr fontId="2" type="noConversion"/>
  </si>
  <si>
    <t>철근현장가공 및 조립</t>
    <phoneticPr fontId="2" type="noConversion"/>
  </si>
  <si>
    <t>철근현장가공 및 조립 간단가공 ton</t>
    <phoneticPr fontId="2" type="noConversion"/>
  </si>
  <si>
    <t>철근현장가공 및 조립 보통가공 ton</t>
    <phoneticPr fontId="2" type="noConversion"/>
  </si>
  <si>
    <t>철근현장가공 및 조립 복잡가공 ton</t>
    <phoneticPr fontId="2" type="noConversion"/>
  </si>
  <si>
    <t>철근현장가공 및 조립 매우복잡 ton</t>
    <phoneticPr fontId="2" type="noConversion"/>
  </si>
  <si>
    <t>철근가공(공장) 간단가공 ton</t>
    <phoneticPr fontId="2" type="noConversion"/>
  </si>
  <si>
    <t>철근가공(공장) 보통가공 ton</t>
    <phoneticPr fontId="2" type="noConversion"/>
  </si>
  <si>
    <t>철근가공(공장) 복잡한 가공 ton</t>
    <phoneticPr fontId="2" type="noConversion"/>
  </si>
  <si>
    <t>철근가공(공장) 매우복잡 가공 ton</t>
    <phoneticPr fontId="2" type="noConversion"/>
  </si>
  <si>
    <t>상수도각형맨홀인상 60×40 개소당   개소</t>
    <phoneticPr fontId="2" type="noConversion"/>
  </si>
  <si>
    <t>상수도각형맨홀인상</t>
    <phoneticPr fontId="2" type="noConversion"/>
  </si>
  <si>
    <t>램머</t>
    <phoneticPr fontId="2" type="noConversion"/>
  </si>
  <si>
    <t>굴삭기(터파기,토사)</t>
  </si>
  <si>
    <t>굴삭기(되메우기토사)</t>
  </si>
  <si>
    <t>굴삭기(되메우기,토사)</t>
  </si>
  <si>
    <t>굴삭기(기계상차)토사</t>
  </si>
  <si>
    <t>굴삭기(기계절취)</t>
  </si>
  <si>
    <t>(굴삭기(유압식굴삭기)(m³/hr))</t>
  </si>
  <si>
    <t>(굴삭기(유압식 굴삭기)(m³/hr))</t>
  </si>
  <si>
    <t>굴삭기(기계상차)</t>
  </si>
  <si>
    <t>굴삭기(콘크리트깨기)</t>
  </si>
  <si>
    <t>유압식굴삭기</t>
  </si>
  <si>
    <t>굴삭기(아스팔트깨기)</t>
  </si>
  <si>
    <t>관부설터파기(굴삭기)</t>
  </si>
  <si>
    <t>굴삭기(아스팔트포장깨기)</t>
  </si>
  <si>
    <t>배관공(수도)</t>
    <phoneticPr fontId="2" type="noConversion"/>
  </si>
  <si>
    <t>빗물받이설치(1면공제) 500×395×50mm 개소</t>
    <phoneticPr fontId="2" type="noConversion"/>
  </si>
  <si>
    <t>2015년 노 임 단 가(하반기)</t>
    <phoneticPr fontId="2" type="noConversion"/>
  </si>
  <si>
    <t>2015.  12월 관급자재 단가표</t>
    <phoneticPr fontId="4" type="noConversion"/>
  </si>
  <si>
    <t>130(하)</t>
    <phoneticPr fontId="5" type="noConversion"/>
  </si>
  <si>
    <t>341(하)</t>
    <phoneticPr fontId="5" type="noConversion"/>
  </si>
  <si>
    <t>343(하)</t>
    <phoneticPr fontId="5" type="noConversion"/>
  </si>
  <si>
    <t>14(하)</t>
    <phoneticPr fontId="5" type="noConversion"/>
  </si>
  <si>
    <t>45(하)</t>
    <phoneticPr fontId="5" type="noConversion"/>
  </si>
  <si>
    <t>74(하)</t>
    <phoneticPr fontId="5" type="noConversion"/>
  </si>
  <si>
    <t>75(하)</t>
    <phoneticPr fontId="5" type="noConversion"/>
  </si>
  <si>
    <t>47(하)</t>
    <phoneticPr fontId="5" type="noConversion"/>
  </si>
  <si>
    <t>#300mm,소켓식</t>
    <phoneticPr fontId="5" type="noConversion"/>
  </si>
  <si>
    <t>공사명 : 2015년 중랑구 공통 내역서(하반기)</t>
    <phoneticPr fontId="2" type="noConversion"/>
  </si>
  <si>
    <t>거래가격</t>
    <phoneticPr fontId="5" type="noConversion"/>
  </si>
  <si>
    <t>물가자료</t>
    <phoneticPr fontId="5" type="noConversion"/>
  </si>
  <si>
    <t>소형고압블록포장 T=6~8cm        a</t>
    <phoneticPr fontId="2" type="noConversion"/>
  </si>
  <si>
    <t>보도블록 절단(직선)</t>
    <phoneticPr fontId="2" type="noConversion"/>
  </si>
  <si>
    <t>커터기날</t>
    <phoneticPr fontId="2" type="noConversion"/>
  </si>
  <si>
    <t>재단및절단</t>
    <phoneticPr fontId="2" type="noConversion"/>
  </si>
  <si>
    <t>습식/5마력</t>
    <phoneticPr fontId="2" type="noConversion"/>
  </si>
  <si>
    <t>10인치</t>
    <phoneticPr fontId="2" type="noConversion"/>
  </si>
  <si>
    <t>hr</t>
    <phoneticPr fontId="2" type="noConversion"/>
  </si>
  <si>
    <t>커터기날</t>
    <phoneticPr fontId="5" type="noConversion"/>
  </si>
  <si>
    <t>보도블록 절단(곡선)</t>
    <phoneticPr fontId="2" type="noConversion"/>
  </si>
  <si>
    <t>블록절단(직선)</t>
    <phoneticPr fontId="2" type="noConversion"/>
  </si>
  <si>
    <t>블록절단(곡선)</t>
    <phoneticPr fontId="2" type="noConversion"/>
  </si>
  <si>
    <t>캇타기(5마력)</t>
    <phoneticPr fontId="2" type="noConversion"/>
  </si>
  <si>
    <t>보도블록 절단(곡선)</t>
    <phoneticPr fontId="2" type="noConversion"/>
  </si>
  <si>
    <t>서울시기준</t>
    <phoneticPr fontId="2" type="noConversion"/>
  </si>
  <si>
    <t>콘크리트(18MPa) 인력비빔 m³</t>
    <phoneticPr fontId="2" type="noConversion"/>
  </si>
  <si>
    <t>콘크리트 (18MPa) 인력비빔 소형(3m³) m³</t>
    <phoneticPr fontId="2" type="noConversion"/>
  </si>
  <si>
    <t>콘크리트 (18MPa) 초속경 인력 소형(3m³) m³</t>
    <phoneticPr fontId="2" type="noConversion"/>
  </si>
  <si>
    <t>콘크리트 (10MPa) 인력비빔 m³</t>
    <phoneticPr fontId="2" type="noConversion"/>
  </si>
  <si>
    <t>콘크리트 (10MPa) 인력비빔 소형(3m³) m³</t>
    <phoneticPr fontId="2" type="noConversion"/>
  </si>
  <si>
    <t>콘크리트 (18mpa)</t>
    <phoneticPr fontId="2" type="noConversion"/>
  </si>
  <si>
    <t>콘크리트 (10mpa)</t>
    <phoneticPr fontId="2" type="noConversion"/>
  </si>
  <si>
    <t>기계터파기(토사) B.H 0.7m³      m³</t>
    <phoneticPr fontId="2" type="noConversion"/>
  </si>
  <si>
    <t>B.H 0.7m³</t>
    <phoneticPr fontId="2" type="noConversion"/>
  </si>
  <si>
    <t>기계상차(토사) B.H 0.7m³      m³</t>
    <phoneticPr fontId="2" type="noConversion"/>
  </si>
  <si>
    <t>기계상차(폐기물) B.H 0.7m³      m³</t>
    <phoneticPr fontId="2" type="noConversion"/>
  </si>
  <si>
    <t>기계되메우기(토사) B.H 0.7m³      m³</t>
    <phoneticPr fontId="2" type="noConversion"/>
  </si>
  <si>
    <t>되메우기및다짐(토사) B.H 0.7m³      m³</t>
    <phoneticPr fontId="2" type="noConversion"/>
  </si>
  <si>
    <t>기계절취(토사) B.H 0.7m³      m³</t>
    <phoneticPr fontId="2" type="noConversion"/>
  </si>
  <si>
    <t>기계절취(Con'c) B.H 0.7m³ m³</t>
    <phoneticPr fontId="2" type="noConversion"/>
  </si>
  <si>
    <t>아스팔트포장깨기 BH0.7+브레이커 m³</t>
    <phoneticPr fontId="2" type="noConversion"/>
  </si>
  <si>
    <t>BH0.7+브레이커</t>
    <phoneticPr fontId="2" type="noConversion"/>
  </si>
  <si>
    <t>구조물헐기(무근,30cm미만) 0.7BH+대형브레이커 m³</t>
    <phoneticPr fontId="2" type="noConversion"/>
  </si>
  <si>
    <t>0.7BH+대형브레이커</t>
    <phoneticPr fontId="2" type="noConversion"/>
  </si>
  <si>
    <t>구조물헐기(무근,30cm이상) 0.7BH+대형브레이커 m³</t>
    <phoneticPr fontId="2" type="noConversion"/>
  </si>
  <si>
    <t>잔토(토사) L=30km 15DT + 0.7BH m³</t>
    <phoneticPr fontId="2" type="noConversion"/>
  </si>
  <si>
    <t>15D.T+0.7BH</t>
    <phoneticPr fontId="2" type="noConversion"/>
  </si>
  <si>
    <t>15DT + 0.7BH</t>
    <phoneticPr fontId="2" type="noConversion"/>
  </si>
  <si>
    <t>잔토(토사) L=30km 20DT + 0.7BH m³</t>
    <phoneticPr fontId="2" type="noConversion"/>
  </si>
  <si>
    <t>20D.T+0.7BH</t>
    <phoneticPr fontId="2" type="noConversion"/>
  </si>
  <si>
    <t>20DT + 0.7BH</t>
    <phoneticPr fontId="2" type="noConversion"/>
  </si>
  <si>
    <t>잔토(토사) L=30km 24DT + 0.7BH m³</t>
    <phoneticPr fontId="2" type="noConversion"/>
  </si>
  <si>
    <t>24D.T+0.7BH</t>
    <phoneticPr fontId="2" type="noConversion"/>
  </si>
  <si>
    <t>24DT + 0.7BH</t>
    <phoneticPr fontId="2" type="noConversion"/>
  </si>
  <si>
    <t>폐기물(Con'C) L=30km 15DT + 0.7BH m³</t>
    <phoneticPr fontId="2" type="noConversion"/>
  </si>
  <si>
    <t>폐기물(Con'C) L=30km 20DT + 0.7BH m³</t>
    <phoneticPr fontId="2" type="noConversion"/>
  </si>
  <si>
    <t>폐기물(Con'C) L=30km 24DT + 0.7BH m³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</si>
</sst>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2">
    <numFmt numFmtId="5" formatCode="&quot;₩&quot;#,##0_);\(&quot;₩&quot;#,##0\)"/>
    <numFmt numFmtId="42" formatCode="_(&quot;₩&quot;* #,##0_);_(&quot;₩&quot;* \(#,##0\);_(&quot;₩&quot;* &quot;-&quot;_);_(@_)"/>
    <numFmt numFmtId="164" formatCode="_-&quot;₩&quot;* #,##0_-;\-&quot;₩&quot;* #,##0_-;_-&quot;₩&quot;* &quot;-&quot;_-;_-@_-"/>
    <numFmt numFmtId="165" formatCode="_-* #,##0_-;\-* #,##0_-;_-* &quot;-&quot;_-;_-@_-"/>
    <numFmt numFmtId="166" formatCode="#,##0_ "/>
    <numFmt numFmtId="167" formatCode="0.00_);[Red]\(0.00\)"/>
    <numFmt numFmtId="168" formatCode="0.000_);[Red]\(0.000\)"/>
    <numFmt numFmtId="169" formatCode="0.0000_);[Red]\(0.0000\)"/>
    <numFmt numFmtId="170" formatCode="0.00000_);[Red]\(0.00000\)"/>
    <numFmt numFmtId="171" formatCode="0_ "/>
    <numFmt numFmtId="172" formatCode="mm&quot;월&quot;\ dd&quot;일&quot;"/>
    <numFmt numFmtId="173" formatCode="0.0_);[Red]\(0.0\)"/>
    <numFmt numFmtId="174" formatCode="0.00_ "/>
    <numFmt numFmtId="175" formatCode="0.0000_ "/>
    <numFmt numFmtId="176" formatCode="0.0"/>
    <numFmt numFmtId="177" formatCode="#,##0.0_ "/>
    <numFmt numFmtId="178" formatCode="#,##0.000_ "/>
    <numFmt numFmtId="179" formatCode="#,##0.00_ "/>
    <numFmt numFmtId="180" formatCode="_ * #,##0.00_ ;_ * \-#,##0.00_ ;_ * &quot;-&quot;_ ;_ @_ "/>
    <numFmt numFmtId="181" formatCode="_ * #,##0_ ;_ * \-#,##0_ ;_ * &quot;-&quot;_ ;_ @_ "/>
    <numFmt numFmtId="182" formatCode="_ * #,##0.0_ ;_ * \-#,##0.0_ ;_ * &quot;-&quot;_ ;_ @_ "/>
    <numFmt numFmtId="183" formatCode="m/dd"/>
    <numFmt numFmtId="184" formatCode="0.##&quot; a/hr&quot;"/>
    <numFmt numFmtId="185" formatCode="0.####&quot; m³/hr&quot;"/>
    <numFmt numFmtId="186" formatCode="_-* #,##0_-;&quot;₩&quot;\!\-* #,##0_-;_-* &quot;-&quot;_-;_-@_-"/>
    <numFmt numFmtId="187" formatCode="0.000"/>
    <numFmt numFmtId="188" formatCode="0.0_);[Red]&quot;₩&quot;\!\(0.0&quot;₩&quot;\!\)"/>
    <numFmt numFmtId="189" formatCode="0.00_);[Red]&quot;₩&quot;\!\(0.00&quot;₩&quot;\!\)"/>
    <numFmt numFmtId="190" formatCode="0_);[Red]&quot;₩&quot;\!\(0&quot;₩&quot;\!\)"/>
    <numFmt numFmtId="191" formatCode="0_);[Red]\(0\)"/>
    <numFmt numFmtId="192" formatCode="#,##0_);[Red]&quot;₩&quot;\!\(#,##0&quot;₩&quot;\!\)"/>
    <numFmt numFmtId="193" formatCode="&quot;제&quot;\ #&quot;호표&quot;"/>
    <numFmt numFmtId="194" formatCode="#,##0.000000_);[Red]\(#,##0.000000\)"/>
    <numFmt numFmtId="195" formatCode="0.000000_);[Red]\(0.000000\)"/>
    <numFmt numFmtId="196" formatCode="#,###&quot;원&quot;"/>
    <numFmt numFmtId="197" formatCode="#&quot;본&quot;"/>
    <numFmt numFmtId="198" formatCode="#&quot;×&quot;"/>
    <numFmt numFmtId="199" formatCode="0.##&quot;×&quot;"/>
    <numFmt numFmtId="200" formatCode="#&quot;＝&quot;"/>
    <numFmt numFmtId="201" formatCode="#.##&quot;kg/개&quot;"/>
    <numFmt numFmtId="202" formatCode="0.#####&quot;×&quot;"/>
    <numFmt numFmtId="203" formatCode="#&quot;÷&quot;"/>
    <numFmt numFmtId="204" formatCode="#.##&quot;＝&quot;"/>
    <numFmt numFmtId="205" formatCode="#&quot;개/대&quot;"/>
    <numFmt numFmtId="206" formatCode="0.00&quot;×&quot;"/>
    <numFmt numFmtId="207" formatCode="#,###\ &quot;원/왕복(대)&quot;"/>
    <numFmt numFmtId="208" formatCode="#,###\ &quot;  ÷&quot;"/>
    <numFmt numFmtId="209" formatCode="#,###\ &quot;원&quot;"/>
    <numFmt numFmtId="210" formatCode="#,###\ &quot;원/a&quot;"/>
    <numFmt numFmtId="211" formatCode="#,###\ &quot;×&quot;"/>
    <numFmt numFmtId="212" formatCode="#.##\ &quot;×&quot;"/>
    <numFmt numFmtId="213" formatCode="0.##\ &quot;×&quot;"/>
    <numFmt numFmtId="214" formatCode="0.###\ &quot;×&quot;"/>
    <numFmt numFmtId="215" formatCode="#\ &quot;×&quot;"/>
    <numFmt numFmtId="216" formatCode="&quot;중기&quot;\ ####\-####"/>
    <numFmt numFmtId="217" formatCode="&quot;#&quot;#"/>
    <numFmt numFmtId="218" formatCode="&quot;#&quot;\ #"/>
    <numFmt numFmtId="219" formatCode="0.0000000_ "/>
    <numFmt numFmtId="220" formatCode="#,##0.0000000_ "/>
    <numFmt numFmtId="221" formatCode="#\ &quot;시간&quot;"/>
    <numFmt numFmtId="222" formatCode="&quot;=&quot;\ #.##\ &quot;min&quot;"/>
    <numFmt numFmtId="223" formatCode="0.0_ "/>
    <numFmt numFmtId="224" formatCode="_-* #,##0.00_-;\-* #,##0.00_-;_-* &quot;-&quot;_-;_-@_-"/>
    <numFmt numFmtId="225" formatCode="&quot;계&quot;\ #.0&quot;원&quot;"/>
    <numFmt numFmtId="226" formatCode="0.000_ "/>
    <numFmt numFmtId="227" formatCode="0.0%"/>
    <numFmt numFmtId="228" formatCode="#\ &quot;원/kg&quot;"/>
    <numFmt numFmtId="229" formatCode="#,##0.0_);[Red]\(#,##0.0\)"/>
    <numFmt numFmtId="230" formatCode="_-* #,##0.000_-;\-* #,##0.000_-;_-* &quot;-&quot;_-;_-@_-"/>
    <numFmt numFmtId="231" formatCode="&quot;#&quot;\ ####"/>
    <numFmt numFmtId="232" formatCode="&quot;산출&quot;\ ####"/>
    <numFmt numFmtId="233" formatCode="&quot;중기&quot;\ ####"/>
    <numFmt numFmtId="234" formatCode="_-* #,##0_-;\-* #,##0_-;_-* &quot;-&quot;??_-;_-@_-"/>
    <numFmt numFmtId="235" formatCode="_-* #,##0.0_-;\-* #,##0.0_-;_-* &quot;-&quot;??_-;_-@_-"/>
    <numFmt numFmtId="236" formatCode="#,##0;&quot;-&quot;#,##0"/>
    <numFmt numFmtId="237" formatCode="0_);\(0\)"/>
    <numFmt numFmtId="238" formatCode="_(&quot;RM&quot;* #,##0.00_);_(&quot;RM&quot;* \(#,##0.00\);_(&quot;RM&quot;* &quot;-&quot;??_);_(@_)"/>
    <numFmt numFmtId="239" formatCode="&quot;US$&quot;#,##0_);\(&quot;US$&quot;#,##0\)"/>
    <numFmt numFmtId="240" formatCode="&quot;US$&quot;#,##0_);[Red]\(&quot;US$&quot;#,##0\)"/>
    <numFmt numFmtId="241" formatCode="d/m/yy"/>
    <numFmt numFmtId="242" formatCode="&quot;₩&quot;#,##0.00;[Red]&quot;₩&quot;\-#,##0.00"/>
    <numFmt numFmtId="243" formatCode="#,##0;[Red]&quot;-&quot;#,##0"/>
  </numFmts>
  <fonts count="70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9"/>
      <color indexed="81"/>
      <name val="굴림"/>
      <family val="3"/>
      <charset val="129"/>
    </font>
    <font>
      <b/>
      <sz val="22"/>
      <name val="돋움"/>
      <family val="3"/>
      <charset val="129"/>
    </font>
    <font>
      <b/>
      <u/>
      <sz val="20"/>
      <name val="돋움"/>
      <family val="3"/>
      <charset val="129"/>
    </font>
    <font>
      <sz val="10"/>
      <name val="08서울남산체 L"/>
      <family val="1"/>
      <charset val="129"/>
    </font>
    <font>
      <b/>
      <sz val="10"/>
      <name val="08서울남산체 L"/>
      <family val="1"/>
      <charset val="129"/>
    </font>
    <font>
      <sz val="9"/>
      <name val="08서울남산체 L"/>
      <family val="1"/>
      <charset val="129"/>
    </font>
    <font>
      <sz val="8.5"/>
      <name val="08서울남산체 L"/>
      <family val="1"/>
      <charset val="129"/>
    </font>
    <font>
      <sz val="11"/>
      <name val="08서울남산체 L"/>
      <family val="1"/>
      <charset val="129"/>
    </font>
    <font>
      <b/>
      <sz val="11"/>
      <name val="08서울남산체 L"/>
      <family val="1"/>
      <charset val="129"/>
    </font>
    <font>
      <b/>
      <sz val="12"/>
      <name val="08서울남산체 L"/>
      <family val="1"/>
      <charset val="129"/>
    </font>
    <font>
      <b/>
      <u/>
      <sz val="12"/>
      <name val="08서울남산체 L"/>
      <family val="1"/>
      <charset val="129"/>
    </font>
    <font>
      <sz val="12"/>
      <name val="08서울남산체 L"/>
      <family val="1"/>
      <charset val="129"/>
    </font>
    <font>
      <sz val="20"/>
      <name val="08서울남산체 L"/>
      <family val="1"/>
      <charset val="129"/>
    </font>
    <font>
      <b/>
      <sz val="16"/>
      <name val="08서울남산체 L"/>
      <family val="1"/>
      <charset val="129"/>
    </font>
    <font>
      <b/>
      <sz val="9"/>
      <name val="08서울남산체 L"/>
      <family val="1"/>
      <charset val="129"/>
    </font>
    <font>
      <vertAlign val="superscript"/>
      <sz val="10"/>
      <name val="08서울남산체 L"/>
      <family val="1"/>
      <charset val="129"/>
    </font>
    <font>
      <vertAlign val="subscript"/>
      <sz val="10"/>
      <name val="08서울남산체 L"/>
      <family val="1"/>
      <charset val="129"/>
    </font>
    <font>
      <sz val="11"/>
      <color indexed="10"/>
      <name val="08서울남산체 L"/>
      <family val="1"/>
      <charset val="129"/>
    </font>
    <font>
      <sz val="10"/>
      <color indexed="10"/>
      <name val="08서울남산체 L"/>
      <family val="1"/>
      <charset val="129"/>
    </font>
    <font>
      <sz val="10"/>
      <color indexed="8"/>
      <name val="Arial Narrow"/>
      <family val="2"/>
    </font>
    <font>
      <sz val="10"/>
      <name val="Arial Narrow"/>
      <family val="2"/>
    </font>
    <font>
      <sz val="10"/>
      <name val="돋움"/>
      <family val="3"/>
      <charset val="129"/>
    </font>
    <font>
      <b/>
      <sz val="10"/>
      <name val="돋움"/>
      <family val="3"/>
      <charset val="129"/>
    </font>
    <font>
      <sz val="10"/>
      <color indexed="8"/>
      <name val="돋움"/>
      <family val="3"/>
      <charset val="129"/>
    </font>
    <font>
      <sz val="11"/>
      <name val="Arial Narrow"/>
      <family val="2"/>
    </font>
    <font>
      <sz val="8"/>
      <name val="Arial Narrow"/>
      <family val="2"/>
    </font>
    <font>
      <sz val="8"/>
      <name val="맑은 고딕"/>
      <family val="3"/>
      <charset val="129"/>
    </font>
    <font>
      <sz val="9"/>
      <name val="Arial Narrow"/>
      <family val="2"/>
    </font>
    <font>
      <b/>
      <u/>
      <sz val="16"/>
      <name val="08서울남산체 L"/>
      <family val="1"/>
      <charset val="129"/>
    </font>
    <font>
      <b/>
      <sz val="16"/>
      <name val="돋움"/>
      <family val="3"/>
      <charset val="129"/>
    </font>
    <font>
      <b/>
      <sz val="12"/>
      <name val="돋움"/>
      <family val="3"/>
      <charset val="129"/>
    </font>
    <font>
      <b/>
      <sz val="12"/>
      <name val="Arial Narrow"/>
      <family val="2"/>
    </font>
    <font>
      <b/>
      <sz val="20"/>
      <name val="08서울남산체 L"/>
      <family val="1"/>
      <charset val="129"/>
    </font>
    <font>
      <sz val="10"/>
      <name val="Arial"/>
      <family val="2"/>
    </font>
    <font>
      <sz val="11"/>
      <name val="바탕체"/>
      <family val="1"/>
      <charset val="129"/>
    </font>
    <font>
      <sz val="12"/>
      <name val="바탕체"/>
      <family val="1"/>
      <charset val="129"/>
    </font>
    <font>
      <sz val="12"/>
      <name val="굴림체"/>
      <family val="3"/>
      <charset val="129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sz val="10"/>
      <name val="MS Sans Serif"/>
      <family val="2"/>
    </font>
    <font>
      <u/>
      <sz val="10.8"/>
      <color indexed="36"/>
      <name val="바탕체"/>
      <family val="1"/>
      <charset val="129"/>
    </font>
    <font>
      <sz val="14"/>
      <name val="뼻뮝"/>
      <family val="3"/>
      <charset val="129"/>
    </font>
    <font>
      <sz val="10"/>
      <name val="굴림체"/>
      <family val="3"/>
      <charset val="129"/>
    </font>
    <font>
      <sz val="10"/>
      <name val="돋움체"/>
      <family val="3"/>
      <charset val="129"/>
    </font>
    <font>
      <sz val="12"/>
      <name val="뼻뮝"/>
      <family val="1"/>
      <charset val="129"/>
    </font>
    <font>
      <b/>
      <sz val="12"/>
      <color indexed="16"/>
      <name val="굴림체"/>
      <family val="3"/>
      <charset val="129"/>
    </font>
    <font>
      <sz val="12"/>
      <name val="¹UAAA¼"/>
      <family val="3"/>
    </font>
    <font>
      <b/>
      <sz val="10"/>
      <name val="Helv"/>
      <family val="2"/>
    </font>
    <font>
      <sz val="10"/>
      <name val="Times New Roman"/>
      <family val="1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u/>
      <sz val="10"/>
      <color indexed="12"/>
      <name val="MS Sans Serif"/>
      <family val="2"/>
    </font>
    <font>
      <b/>
      <sz val="11"/>
      <name val="Helv"/>
      <family val="2"/>
    </font>
    <font>
      <b/>
      <i/>
      <sz val="18"/>
      <color indexed="39"/>
      <name val="돋움체"/>
      <family val="3"/>
      <charset val="129"/>
    </font>
    <font>
      <sz val="8"/>
      <name val="바탕체"/>
      <family val="1"/>
      <charset val="129"/>
    </font>
    <font>
      <b/>
      <sz val="10"/>
      <name val="Arial Narrow"/>
      <family val="2"/>
    </font>
    <font>
      <sz val="10"/>
      <name val="맑은 고딕"/>
      <family val="3"/>
      <charset val="129"/>
    </font>
    <font>
      <sz val="9"/>
      <name val="돋움"/>
      <family val="3"/>
      <charset val="129"/>
    </font>
    <font>
      <sz val="10"/>
      <color rgb="FFFF0000"/>
      <name val="Arial Narrow"/>
      <family val="2"/>
    </font>
    <font>
      <b/>
      <sz val="10"/>
      <color rgb="FFFF0000"/>
      <name val="08서울남산체 L"/>
      <family val="1"/>
      <charset val="129"/>
    </font>
    <font>
      <sz val="10"/>
      <name val="Verdana"/>
      <family val="2"/>
    </font>
    <font>
      <sz val="10"/>
      <color rgb="FFFF0000"/>
      <name val="맑은 고딕"/>
      <family val="3"/>
      <charset val="129"/>
    </font>
    <font>
      <sz val="10"/>
      <color rgb="FFFF0000"/>
      <name val="08서울남산체 L"/>
      <family val="1"/>
      <charset val="129"/>
    </font>
    <font>
      <sz val="11"/>
      <color rgb="FFFF0000"/>
      <name val="08서울남산체 L"/>
      <family val="1"/>
      <charset val="129"/>
    </font>
    <font>
      <sz val="10"/>
      <color rgb="FF0070C0"/>
      <name val="08서울남산체 L"/>
      <family val="1"/>
      <charset val="129"/>
    </font>
    <font>
      <sz val="9"/>
      <color rgb="FF0070C0"/>
      <name val="08서울남산체 L"/>
      <family val="1"/>
      <charset val="129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8"/>
      </left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hair">
        <color indexed="8"/>
      </right>
      <top/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100">
    <xf numFmtId="0" fontId="0" fillId="0" borderId="0">
      <alignment vertical="center"/>
    </xf>
    <xf numFmtId="176" fontId="1" fillId="0" borderId="0" applyFont="0" applyFill="0" applyBorder="0" applyAlignment="0" applyProtection="0">
      <alignment vertical="center"/>
    </xf>
    <xf numFmtId="0" fontId="36" fillId="0" borderId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72" fontId="1" fillId="0" borderId="0" applyFont="0" applyFill="0" applyBorder="0" applyProtection="0">
      <alignment vertical="center"/>
    </xf>
    <xf numFmtId="235" fontId="1" fillId="0" borderId="0">
      <alignment vertical="center"/>
    </xf>
    <xf numFmtId="234" fontId="1" fillId="0" borderId="0" applyFont="0" applyFill="0" applyBorder="0" applyAlignment="0" applyProtection="0">
      <alignment vertical="center"/>
    </xf>
    <xf numFmtId="181" fontId="37" fillId="0" borderId="1">
      <alignment vertical="center"/>
    </xf>
    <xf numFmtId="236" fontId="38" fillId="0" borderId="0">
      <alignment vertical="center"/>
    </xf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2" fillId="0" borderId="0"/>
    <xf numFmtId="0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9" fillId="0" borderId="0"/>
    <xf numFmtId="0" fontId="50" fillId="0" borderId="0"/>
    <xf numFmtId="0" fontId="42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51" fillId="0" borderId="0"/>
    <xf numFmtId="38" fontId="52" fillId="2" borderId="0" applyNumberFormat="0" applyBorder="0" applyAlignment="0" applyProtection="0"/>
    <xf numFmtId="0" fontId="53" fillId="0" borderId="0">
      <alignment horizontal="left"/>
    </xf>
    <xf numFmtId="0" fontId="54" fillId="0" borderId="2" applyNumberFormat="0" applyAlignment="0" applyProtection="0">
      <alignment horizontal="left" vertical="center"/>
    </xf>
    <xf numFmtId="0" fontId="54" fillId="0" borderId="3">
      <alignment horizontal="left" vertical="center"/>
    </xf>
    <xf numFmtId="0" fontId="55" fillId="0" borderId="0" applyNumberFormat="0" applyFill="0" applyBorder="0" applyAlignment="0" applyProtection="0"/>
    <xf numFmtId="10" fontId="52" fillId="2" borderId="1" applyNumberFormat="0" applyBorder="0" applyAlignment="0" applyProtection="0"/>
    <xf numFmtId="0" fontId="56" fillId="0" borderId="4"/>
    <xf numFmtId="241" fontId="1" fillId="0" borderId="0"/>
    <xf numFmtId="0" fontId="36" fillId="0" borderId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10" fontId="36" fillId="0" borderId="0" applyFont="0" applyFill="0" applyBorder="0" applyAlignment="0" applyProtection="0"/>
    <xf numFmtId="0" fontId="56" fillId="0" borderId="0"/>
    <xf numFmtId="49" fontId="57" fillId="0" borderId="0" applyFill="0" applyBorder="0" applyProtection="0">
      <alignment horizontal="centerContinuous" vertical="center"/>
    </xf>
    <xf numFmtId="0" fontId="58" fillId="0" borderId="5">
      <alignment horizontal="left"/>
    </xf>
    <xf numFmtId="173" fontId="39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3" fontId="42" fillId="0" borderId="6">
      <alignment horizontal="center"/>
    </xf>
    <xf numFmtId="0" fontId="41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40" fontId="44" fillId="0" borderId="0" applyFont="0" applyFill="0" applyBorder="0" applyAlignment="0" applyProtection="0"/>
    <xf numFmtId="38" fontId="44" fillId="0" borderId="0" applyFont="0" applyFill="0" applyBorder="0" applyAlignment="0" applyProtection="0"/>
    <xf numFmtId="181" fontId="45" fillId="0" borderId="7">
      <alignment vertical="center"/>
    </xf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6" fillId="0" borderId="0" applyNumberFormat="0" applyFont="0" applyFill="0" applyBorder="0" applyProtection="0">
      <alignment horizontal="distributed" vertical="center" justifyLastLine="1"/>
    </xf>
    <xf numFmtId="238" fontId="38" fillId="0" borderId="0" applyFont="0" applyFill="0" applyBorder="0" applyProtection="0">
      <alignment horizontal="center" vertical="center"/>
    </xf>
    <xf numFmtId="239" fontId="38" fillId="0" borderId="0" applyFont="0" applyFill="0" applyBorder="0" applyProtection="0">
      <alignment horizontal="center" vertical="center"/>
    </xf>
    <xf numFmtId="237" fontId="1" fillId="0" borderId="0" applyFont="0" applyFill="0" applyBorder="0" applyAlignment="0" applyProtection="0"/>
    <xf numFmtId="227" fontId="46" fillId="0" borderId="0" applyFont="0" applyFill="0" applyBorder="0" applyAlignment="0" applyProtection="0"/>
    <xf numFmtId="0" fontId="47" fillId="0" borderId="0"/>
    <xf numFmtId="0" fontId="46" fillId="0" borderId="0" applyNumberFormat="0" applyFont="0" applyFill="0" applyBorder="0" applyProtection="0">
      <alignment horizontal="centerContinuous" vertical="center"/>
    </xf>
    <xf numFmtId="243" fontId="48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0" fontId="36" fillId="0" borderId="0"/>
    <xf numFmtId="4" fontId="41" fillId="0" borderId="0">
      <protection locked="0"/>
    </xf>
    <xf numFmtId="172" fontId="39" fillId="0" borderId="0">
      <protection locked="0"/>
    </xf>
    <xf numFmtId="240" fontId="38" fillId="0" borderId="0" applyFont="0" applyFill="0" applyBorder="0" applyProtection="0">
      <alignment vertical="center"/>
    </xf>
    <xf numFmtId="38" fontId="46" fillId="0" borderId="0" applyFont="0" applyFill="0" applyBorder="0" applyProtection="0">
      <alignment vertical="center"/>
    </xf>
    <xf numFmtId="181" fontId="38" fillId="0" borderId="0" applyFont="0" applyFill="0" applyBorder="0" applyAlignment="0" applyProtection="0"/>
    <xf numFmtId="38" fontId="46" fillId="0" borderId="0" applyFont="0" applyFill="0" applyBorder="0" applyAlignment="0" applyProtection="0">
      <alignment vertical="center"/>
    </xf>
    <xf numFmtId="166" fontId="46" fillId="0" borderId="0" applyFont="0" applyFill="0" applyBorder="0" applyAlignment="0" applyProtection="0">
      <alignment vertical="center"/>
    </xf>
    <xf numFmtId="38" fontId="46" fillId="0" borderId="0" applyFill="0" applyBorder="0" applyAlignment="0" applyProtection="0">
      <alignment vertical="center"/>
    </xf>
    <xf numFmtId="242" fontId="39" fillId="0" borderId="0" applyFont="0" applyFill="0" applyBorder="0" applyAlignment="0" applyProtection="0"/>
    <xf numFmtId="164" fontId="1" fillId="0" borderId="0" applyFont="0" applyFill="0" applyBorder="0" applyAlignment="0" applyProtection="0">
      <alignment vertical="center"/>
    </xf>
    <xf numFmtId="223" fontId="39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41" fillId="0" borderId="8">
      <protection locked="0"/>
    </xf>
    <xf numFmtId="5" fontId="1" fillId="0" borderId="0">
      <protection locked="0"/>
    </xf>
    <xf numFmtId="42" fontId="1" fillId="0" borderId="0">
      <protection locked="0"/>
    </xf>
  </cellStyleXfs>
  <cellXfs count="1012">
    <xf numFmtId="0" fontId="0" fillId="0" borderId="0" xfId="0">
      <alignment vertical="center"/>
    </xf>
    <xf numFmtId="0" fontId="6" fillId="0" borderId="0" xfId="92" applyFont="1" applyBorder="1" applyAlignment="1" applyProtection="1">
      <alignment vertical="center"/>
      <protection locked="0"/>
    </xf>
    <xf numFmtId="0" fontId="6" fillId="0" borderId="0" xfId="92" applyFont="1" applyBorder="1" applyAlignment="1" applyProtection="1">
      <alignment vertical="center" shrinkToFit="1"/>
      <protection locked="0"/>
    </xf>
    <xf numFmtId="0" fontId="6" fillId="0" borderId="0" xfId="92" applyFont="1" applyFill="1" applyBorder="1" applyAlignment="1" applyProtection="1">
      <alignment vertical="center"/>
      <protection locked="0"/>
    </xf>
    <xf numFmtId="186" fontId="6" fillId="0" borderId="0" xfId="59" applyFont="1" applyBorder="1" applyAlignment="1" applyProtection="1">
      <alignment horizontal="center" vertical="center"/>
      <protection locked="0"/>
    </xf>
    <xf numFmtId="165" fontId="6" fillId="0" borderId="0" xfId="57" applyFont="1" applyBorder="1" applyAlignment="1" applyProtection="1">
      <alignment vertical="center"/>
      <protection locked="0"/>
    </xf>
    <xf numFmtId="0" fontId="7" fillId="0" borderId="0" xfId="92" applyFont="1" applyFill="1" applyBorder="1" applyAlignment="1" applyProtection="1">
      <alignment horizontal="right" vertical="center"/>
      <protection locked="0"/>
    </xf>
    <xf numFmtId="0" fontId="6" fillId="0" borderId="0" xfId="92" applyFont="1" applyFill="1" applyBorder="1" applyAlignment="1" applyProtection="1">
      <alignment vertical="center" shrinkToFit="1"/>
      <protection locked="0"/>
    </xf>
    <xf numFmtId="0" fontId="10" fillId="0" borderId="0" xfId="93" applyFont="1" applyAlignment="1">
      <alignment vertical="center"/>
    </xf>
    <xf numFmtId="0" fontId="11" fillId="0" borderId="0" xfId="93" applyFont="1" applyAlignment="1">
      <alignment vertical="center"/>
    </xf>
    <xf numFmtId="0" fontId="12" fillId="3" borderId="9" xfId="0" applyFont="1" applyFill="1" applyBorder="1" applyAlignment="1">
      <alignment vertical="center"/>
    </xf>
    <xf numFmtId="0" fontId="12" fillId="3" borderId="3" xfId="0" applyFont="1" applyFill="1" applyBorder="1" applyAlignment="1">
      <alignment vertical="center"/>
    </xf>
    <xf numFmtId="0" fontId="13" fillId="3" borderId="3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right" vertical="center"/>
    </xf>
    <xf numFmtId="0" fontId="12" fillId="3" borderId="3" xfId="0" applyFont="1" applyFill="1" applyBorder="1" applyAlignment="1">
      <alignment horizontal="left" vertical="center"/>
    </xf>
    <xf numFmtId="0" fontId="12" fillId="3" borderId="10" xfId="0" applyFont="1" applyFill="1" applyBorder="1" applyAlignment="1">
      <alignment vertical="center"/>
    </xf>
    <xf numFmtId="0" fontId="6" fillId="3" borderId="3" xfId="0" applyFont="1" applyFill="1" applyBorder="1" applyAlignment="1">
      <alignment vertical="center"/>
    </xf>
    <xf numFmtId="0" fontId="14" fillId="3" borderId="10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quotePrefix="1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6" fillId="0" borderId="0" xfId="0" quotePrefix="1" applyFont="1" applyBorder="1" applyAlignment="1">
      <alignment vertical="center"/>
    </xf>
    <xf numFmtId="166" fontId="6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3" fontId="6" fillId="0" borderId="0" xfId="0" applyNumberFormat="1" applyFont="1" applyBorder="1" applyAlignment="1">
      <alignment vertical="center"/>
    </xf>
    <xf numFmtId="166" fontId="6" fillId="0" borderId="0" xfId="0" applyNumberFormat="1" applyFont="1" applyFill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187" fontId="6" fillId="0" borderId="0" xfId="0" applyNumberFormat="1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6" fillId="0" borderId="17" xfId="0" applyFont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0" fontId="6" fillId="0" borderId="17" xfId="0" quotePrefix="1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188" fontId="6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190" fontId="6" fillId="0" borderId="0" xfId="0" applyNumberFormat="1" applyFont="1" applyBorder="1" applyAlignment="1">
      <alignment horizontal="center" vertical="center"/>
    </xf>
    <xf numFmtId="189" fontId="6" fillId="0" borderId="0" xfId="0" applyNumberFormat="1" applyFont="1" applyBorder="1" applyAlignment="1">
      <alignment vertical="center"/>
    </xf>
    <xf numFmtId="197" fontId="6" fillId="0" borderId="1" xfId="0" applyNumberFormat="1" applyFont="1" applyBorder="1" applyAlignment="1">
      <alignment horizontal="center" vertical="center" shrinkToFit="1"/>
    </xf>
    <xf numFmtId="165" fontId="6" fillId="0" borderId="1" xfId="57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0" xfId="0" applyFont="1" applyFill="1">
      <alignment vertical="center"/>
    </xf>
    <xf numFmtId="165" fontId="8" fillId="0" borderId="0" xfId="57" applyFont="1" applyFill="1" applyAlignment="1">
      <alignment horizontal="left" vertical="center"/>
    </xf>
    <xf numFmtId="0" fontId="8" fillId="0" borderId="0" xfId="0" applyFont="1" applyFill="1">
      <alignment vertical="center"/>
    </xf>
    <xf numFmtId="167" fontId="8" fillId="0" borderId="0" xfId="0" applyNumberFormat="1" applyFont="1" applyFill="1">
      <alignment vertical="center"/>
    </xf>
    <xf numFmtId="0" fontId="8" fillId="0" borderId="0" xfId="0" applyFont="1" applyFill="1" applyAlignment="1">
      <alignment horizontal="center" vertical="center"/>
    </xf>
    <xf numFmtId="166" fontId="8" fillId="0" borderId="0" xfId="0" applyNumberFormat="1" applyFont="1" applyFill="1" applyAlignment="1">
      <alignment vertical="center" shrinkToFit="1"/>
    </xf>
    <xf numFmtId="166" fontId="8" fillId="0" borderId="0" xfId="0" applyNumberFormat="1" applyFont="1" applyFill="1">
      <alignment vertical="center"/>
    </xf>
    <xf numFmtId="0" fontId="8" fillId="0" borderId="19" xfId="0" applyFont="1" applyFill="1" applyBorder="1" applyAlignment="1">
      <alignment horizontal="center" vertical="center" shrinkToFit="1"/>
    </xf>
    <xf numFmtId="165" fontId="8" fillId="0" borderId="19" xfId="57" applyFont="1" applyFill="1" applyBorder="1" applyAlignment="1">
      <alignment horizontal="left" vertical="center" shrinkToFit="1"/>
    </xf>
    <xf numFmtId="49" fontId="8" fillId="0" borderId="19" xfId="0" applyNumberFormat="1" applyFont="1" applyFill="1" applyBorder="1" applyAlignment="1">
      <alignment vertical="center" shrinkToFit="1"/>
    </xf>
    <xf numFmtId="171" fontId="8" fillId="0" borderId="19" xfId="0" applyNumberFormat="1" applyFont="1" applyFill="1" applyBorder="1" applyAlignment="1">
      <alignment horizontal="center" vertical="center" shrinkToFit="1"/>
    </xf>
    <xf numFmtId="166" fontId="8" fillId="0" borderId="19" xfId="57" applyNumberFormat="1" applyFont="1" applyFill="1" applyBorder="1" applyAlignment="1">
      <alignment horizontal="right" vertical="center" shrinkToFit="1"/>
    </xf>
    <xf numFmtId="218" fontId="8" fillId="0" borderId="19" xfId="0" applyNumberFormat="1" applyFont="1" applyFill="1" applyBorder="1" applyAlignment="1">
      <alignment horizontal="center" vertical="center" shrinkToFit="1"/>
    </xf>
    <xf numFmtId="0" fontId="8" fillId="0" borderId="20" xfId="0" applyFont="1" applyFill="1" applyBorder="1" applyAlignment="1">
      <alignment horizontal="center" vertical="center" shrinkToFit="1"/>
    </xf>
    <xf numFmtId="0" fontId="8" fillId="0" borderId="19" xfId="0" applyFont="1" applyFill="1" applyBorder="1" applyAlignment="1">
      <alignment vertical="center" shrinkToFit="1"/>
    </xf>
    <xf numFmtId="167" fontId="8" fillId="0" borderId="19" xfId="0" applyNumberFormat="1" applyFont="1" applyFill="1" applyBorder="1" applyAlignment="1">
      <alignment vertical="center" shrinkToFit="1"/>
    </xf>
    <xf numFmtId="166" fontId="8" fillId="0" borderId="19" xfId="0" applyNumberFormat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vertical="center" shrinkToFit="1"/>
    </xf>
    <xf numFmtId="166" fontId="8" fillId="0" borderId="0" xfId="0" applyNumberFormat="1" applyFont="1" applyFill="1" applyAlignment="1">
      <alignment horizontal="right" vertical="center" shrinkToFit="1"/>
    </xf>
    <xf numFmtId="166" fontId="8" fillId="0" borderId="0" xfId="0" applyNumberFormat="1" applyFont="1" applyFill="1" applyAlignment="1">
      <alignment horizontal="right" vertical="center"/>
    </xf>
    <xf numFmtId="165" fontId="10" fillId="0" borderId="0" xfId="57" applyFont="1" applyFill="1" applyAlignment="1">
      <alignment horizontal="left" vertical="center"/>
    </xf>
    <xf numFmtId="167" fontId="10" fillId="0" borderId="0" xfId="0" applyNumberFormat="1" applyFont="1" applyFill="1">
      <alignment vertical="center"/>
    </xf>
    <xf numFmtId="0" fontId="10" fillId="0" borderId="0" xfId="0" applyFont="1" applyFill="1" applyAlignment="1">
      <alignment horizontal="center" vertical="center"/>
    </xf>
    <xf numFmtId="166" fontId="10" fillId="0" borderId="0" xfId="0" applyNumberFormat="1" applyFont="1" applyFill="1" applyAlignment="1">
      <alignment vertical="center" shrinkToFit="1"/>
    </xf>
    <xf numFmtId="166" fontId="10" fillId="0" borderId="0" xfId="0" applyNumberFormat="1" applyFont="1" applyFill="1">
      <alignment vertical="center"/>
    </xf>
    <xf numFmtId="0" fontId="8" fillId="0" borderId="0" xfId="0" applyFont="1" applyFill="1" applyAlignment="1">
      <alignment vertical="center"/>
    </xf>
    <xf numFmtId="49" fontId="8" fillId="0" borderId="0" xfId="0" applyNumberFormat="1" applyFont="1" applyFill="1" applyAlignment="1">
      <alignment horizontal="left" vertical="center"/>
    </xf>
    <xf numFmtId="167" fontId="8" fillId="0" borderId="0" xfId="0" applyNumberFormat="1" applyFont="1" applyFill="1" applyAlignment="1">
      <alignment horizontal="right" vertical="center"/>
    </xf>
    <xf numFmtId="193" fontId="17" fillId="0" borderId="21" xfId="0" applyNumberFormat="1" applyFont="1" applyFill="1" applyBorder="1" applyAlignment="1">
      <alignment horizontal="left" vertical="center"/>
    </xf>
    <xf numFmtId="49" fontId="8" fillId="0" borderId="19" xfId="0" applyNumberFormat="1" applyFont="1" applyFill="1" applyBorder="1" applyAlignment="1">
      <alignment horizontal="left" vertical="center" shrinkToFit="1"/>
    </xf>
    <xf numFmtId="191" fontId="8" fillId="0" borderId="19" xfId="57" applyNumberFormat="1" applyFont="1" applyFill="1" applyBorder="1" applyAlignment="1">
      <alignment horizontal="right" vertical="center" shrinkToFit="1"/>
    </xf>
    <xf numFmtId="165" fontId="8" fillId="0" borderId="19" xfId="57" applyFont="1" applyFill="1" applyBorder="1" applyAlignment="1">
      <alignment horizontal="center" vertical="center" shrinkToFit="1"/>
    </xf>
    <xf numFmtId="167" fontId="8" fillId="0" borderId="19" xfId="57" applyNumberFormat="1" applyFont="1" applyFill="1" applyBorder="1" applyAlignment="1">
      <alignment horizontal="right" vertical="center" shrinkToFit="1"/>
    </xf>
    <xf numFmtId="168" fontId="8" fillId="0" borderId="19" xfId="57" applyNumberFormat="1" applyFont="1" applyFill="1" applyBorder="1" applyAlignment="1">
      <alignment horizontal="right" vertical="center" shrinkToFit="1"/>
    </xf>
    <xf numFmtId="174" fontId="8" fillId="0" borderId="19" xfId="57" applyNumberFormat="1" applyFont="1" applyFill="1" applyBorder="1" applyAlignment="1">
      <alignment horizontal="right" vertical="center" shrinkToFit="1"/>
    </xf>
    <xf numFmtId="179" fontId="8" fillId="0" borderId="19" xfId="57" applyNumberFormat="1" applyFont="1" applyFill="1" applyBorder="1" applyAlignment="1">
      <alignment horizontal="right" vertical="center" shrinkToFit="1"/>
    </xf>
    <xf numFmtId="178" fontId="8" fillId="0" borderId="19" xfId="57" applyNumberFormat="1" applyFont="1" applyFill="1" applyBorder="1" applyAlignment="1">
      <alignment horizontal="right" vertical="center" shrinkToFit="1"/>
    </xf>
    <xf numFmtId="0" fontId="8" fillId="0" borderId="19" xfId="57" applyNumberFormat="1" applyFont="1" applyFill="1" applyBorder="1" applyAlignment="1">
      <alignment horizontal="right" vertical="center" shrinkToFit="1"/>
    </xf>
    <xf numFmtId="194" fontId="8" fillId="0" borderId="19" xfId="57" applyNumberFormat="1" applyFont="1" applyFill="1" applyBorder="1" applyAlignment="1">
      <alignment horizontal="right" vertical="center" shrinkToFit="1"/>
    </xf>
    <xf numFmtId="195" fontId="8" fillId="0" borderId="19" xfId="57" applyNumberFormat="1" applyFont="1" applyFill="1" applyBorder="1" applyAlignment="1">
      <alignment horizontal="right" vertical="center" shrinkToFit="1"/>
    </xf>
    <xf numFmtId="170" fontId="8" fillId="0" borderId="19" xfId="57" applyNumberFormat="1" applyFont="1" applyFill="1" applyBorder="1" applyAlignment="1">
      <alignment horizontal="right" vertical="center" shrinkToFit="1"/>
    </xf>
    <xf numFmtId="193" fontId="17" fillId="0" borderId="21" xfId="0" applyNumberFormat="1" applyFont="1" applyFill="1" applyBorder="1" applyAlignment="1">
      <alignment horizontal="left" vertical="center" shrinkToFit="1"/>
    </xf>
    <xf numFmtId="169" fontId="8" fillId="0" borderId="19" xfId="57" applyNumberFormat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vertical="center"/>
    </xf>
    <xf numFmtId="0" fontId="7" fillId="4" borderId="3" xfId="0" applyFont="1" applyFill="1" applyBorder="1" applyAlignment="1">
      <alignment horizontal="left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vertical="center"/>
    </xf>
    <xf numFmtId="0" fontId="7" fillId="4" borderId="3" xfId="0" applyFont="1" applyFill="1" applyBorder="1">
      <alignment vertical="center"/>
    </xf>
    <xf numFmtId="224" fontId="7" fillId="4" borderId="3" xfId="57" applyNumberFormat="1" applyFont="1" applyFill="1" applyBorder="1" applyAlignment="1">
      <alignment horizontal="right" vertical="center"/>
    </xf>
    <xf numFmtId="0" fontId="7" fillId="4" borderId="3" xfId="0" applyFont="1" applyFill="1" applyBorder="1" applyAlignment="1">
      <alignment horizontal="right" vertical="center"/>
    </xf>
    <xf numFmtId="165" fontId="7" fillId="4" borderId="3" xfId="57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0" xfId="0" applyFont="1" applyFill="1">
      <alignment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224" fontId="6" fillId="0" borderId="0" xfId="57" applyNumberFormat="1" applyFont="1" applyFill="1" applyBorder="1" applyAlignment="1">
      <alignment vertical="center"/>
    </xf>
    <xf numFmtId="165" fontId="6" fillId="0" borderId="0" xfId="57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0" xfId="0" applyFont="1" applyFill="1">
      <alignment vertical="center"/>
    </xf>
    <xf numFmtId="166" fontId="6" fillId="0" borderId="11" xfId="0" applyNumberFormat="1" applyFont="1" applyFill="1" applyBorder="1" applyAlignment="1">
      <alignment vertical="center"/>
    </xf>
    <xf numFmtId="0" fontId="6" fillId="0" borderId="0" xfId="0" applyFont="1" applyFill="1" applyAlignment="1">
      <alignment horizontal="left" vertical="center"/>
    </xf>
    <xf numFmtId="166" fontId="6" fillId="0" borderId="0" xfId="0" applyNumberFormat="1" applyFont="1" applyFill="1" applyBorder="1" applyAlignment="1">
      <alignment vertical="center" shrinkToFit="1"/>
    </xf>
    <xf numFmtId="0" fontId="6" fillId="0" borderId="0" xfId="0" applyFont="1" applyFill="1" applyBorder="1" applyAlignment="1">
      <alignment horizontal="center" vertical="center"/>
    </xf>
    <xf numFmtId="224" fontId="6" fillId="0" borderId="0" xfId="57" applyNumberFormat="1" applyFont="1" applyFill="1" applyBorder="1" applyAlignment="1">
      <alignment vertical="center" shrinkToFit="1"/>
    </xf>
    <xf numFmtId="3" fontId="6" fillId="0" borderId="0" xfId="0" applyNumberFormat="1" applyFont="1" applyFill="1" applyBorder="1" applyAlignment="1">
      <alignment horizontal="center" vertical="center" shrinkToFit="1"/>
    </xf>
    <xf numFmtId="166" fontId="6" fillId="0" borderId="0" xfId="0" applyNumberFormat="1" applyFont="1" applyFill="1" applyBorder="1" applyAlignment="1">
      <alignment horizontal="center" vertical="center"/>
    </xf>
    <xf numFmtId="166" fontId="6" fillId="0" borderId="0" xfId="0" applyNumberFormat="1" applyFont="1" applyFill="1" applyBorder="1" applyAlignment="1">
      <alignment horizontal="left" vertical="center"/>
    </xf>
    <xf numFmtId="224" fontId="6" fillId="0" borderId="0" xfId="57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left" vertical="center"/>
    </xf>
    <xf numFmtId="0" fontId="6" fillId="0" borderId="17" xfId="0" applyFont="1" applyFill="1" applyBorder="1" applyAlignment="1">
      <alignment vertical="center"/>
    </xf>
    <xf numFmtId="224" fontId="6" fillId="0" borderId="17" xfId="57" applyNumberFormat="1" applyFont="1" applyFill="1" applyBorder="1" applyAlignment="1">
      <alignment vertical="center"/>
    </xf>
    <xf numFmtId="165" fontId="6" fillId="0" borderId="17" xfId="57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 shrinkToFit="1"/>
    </xf>
    <xf numFmtId="0" fontId="6" fillId="0" borderId="0" xfId="0" quotePrefix="1" applyFont="1" applyFill="1" applyBorder="1" applyAlignment="1">
      <alignment vertical="center"/>
    </xf>
    <xf numFmtId="176" fontId="6" fillId="0" borderId="0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 shrinkToFit="1"/>
    </xf>
    <xf numFmtId="0" fontId="6" fillId="0" borderId="13" xfId="0" applyFont="1" applyFill="1" applyBorder="1" applyAlignment="1">
      <alignment vertical="center"/>
    </xf>
    <xf numFmtId="0" fontId="6" fillId="0" borderId="15" xfId="0" applyFont="1" applyFill="1" applyBorder="1" applyAlignment="1">
      <alignment horizontal="left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vertical="center"/>
    </xf>
    <xf numFmtId="224" fontId="6" fillId="0" borderId="15" xfId="57" applyNumberFormat="1" applyFont="1" applyFill="1" applyBorder="1" applyAlignment="1">
      <alignment vertical="center"/>
    </xf>
    <xf numFmtId="165" fontId="6" fillId="0" borderId="15" xfId="57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230" fontId="6" fillId="0" borderId="17" xfId="57" applyNumberFormat="1" applyFont="1" applyFill="1" applyBorder="1" applyAlignment="1">
      <alignment horizontal="center" vertical="center"/>
    </xf>
    <xf numFmtId="165" fontId="6" fillId="0" borderId="0" xfId="57" applyNumberFormat="1" applyFont="1" applyFill="1" applyBorder="1" applyAlignment="1">
      <alignment horizontal="center" vertical="center"/>
    </xf>
    <xf numFmtId="9" fontId="6" fillId="0" borderId="0" xfId="0" applyNumberFormat="1" applyFont="1" applyFill="1" applyBorder="1" applyAlignment="1">
      <alignment horizontal="center" vertical="center"/>
    </xf>
    <xf numFmtId="0" fontId="7" fillId="0" borderId="9" xfId="0" applyFont="1" applyFill="1" applyBorder="1">
      <alignment vertical="center"/>
    </xf>
    <xf numFmtId="0" fontId="7" fillId="0" borderId="3" xfId="0" applyFont="1" applyFill="1" applyBorder="1" applyAlignment="1">
      <alignment horizontal="left" vertical="center"/>
    </xf>
    <xf numFmtId="0" fontId="7" fillId="0" borderId="3" xfId="0" applyFont="1" applyFill="1" applyBorder="1">
      <alignment vertical="center"/>
    </xf>
    <xf numFmtId="224" fontId="7" fillId="0" borderId="3" xfId="57" applyNumberFormat="1" applyFont="1" applyFill="1" applyBorder="1">
      <alignment vertical="center"/>
    </xf>
    <xf numFmtId="165" fontId="7" fillId="0" borderId="3" xfId="57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0" xfId="0" applyFont="1" applyFill="1">
      <alignment vertical="center"/>
    </xf>
    <xf numFmtId="0" fontId="6" fillId="0" borderId="17" xfId="0" applyFont="1" applyFill="1" applyBorder="1">
      <alignment vertical="center"/>
    </xf>
    <xf numFmtId="224" fontId="6" fillId="0" borderId="17" xfId="57" applyNumberFormat="1" applyFont="1" applyFill="1" applyBorder="1">
      <alignment vertical="center"/>
    </xf>
    <xf numFmtId="0" fontId="6" fillId="0" borderId="15" xfId="0" applyFont="1" applyFill="1" applyBorder="1">
      <alignment vertical="center"/>
    </xf>
    <xf numFmtId="224" fontId="6" fillId="0" borderId="15" xfId="57" applyNumberFormat="1" applyFont="1" applyFill="1" applyBorder="1">
      <alignment vertical="center"/>
    </xf>
    <xf numFmtId="224" fontId="7" fillId="4" borderId="3" xfId="57" applyNumberFormat="1" applyFont="1" applyFill="1" applyBorder="1" applyAlignment="1">
      <alignment horizontal="right" vertical="center" shrinkToFit="1"/>
    </xf>
    <xf numFmtId="3" fontId="6" fillId="0" borderId="0" xfId="0" applyNumberFormat="1" applyFont="1" applyFill="1" applyBorder="1" applyAlignment="1">
      <alignment horizontal="center" vertical="center"/>
    </xf>
    <xf numFmtId="0" fontId="6" fillId="4" borderId="0" xfId="0" applyFont="1" applyFill="1">
      <alignment vertical="center"/>
    </xf>
    <xf numFmtId="38" fontId="6" fillId="0" borderId="0" xfId="0" applyNumberFormat="1" applyFont="1" applyFill="1" applyBorder="1" applyAlignment="1">
      <alignment horizontal="center" vertical="center"/>
    </xf>
    <xf numFmtId="38" fontId="6" fillId="0" borderId="0" xfId="0" applyNumberFormat="1" applyFont="1" applyFill="1" applyAlignment="1">
      <alignment horizontal="center" vertical="center"/>
    </xf>
    <xf numFmtId="0" fontId="7" fillId="0" borderId="11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5" fontId="7" fillId="0" borderId="0" xfId="57" applyFont="1" applyFill="1" applyBorder="1" applyAlignment="1">
      <alignment horizontal="center" vertical="center"/>
    </xf>
    <xf numFmtId="0" fontId="7" fillId="4" borderId="3" xfId="0" applyFont="1" applyFill="1" applyBorder="1" applyAlignment="1">
      <alignment vertical="center" shrinkToFit="1"/>
    </xf>
    <xf numFmtId="165" fontId="7" fillId="4" borderId="3" xfId="57" applyFont="1" applyFill="1" applyBorder="1" applyAlignment="1">
      <alignment horizontal="left" vertical="center"/>
    </xf>
    <xf numFmtId="0" fontId="7" fillId="0" borderId="0" xfId="0" applyFont="1" applyFill="1" applyBorder="1">
      <alignment vertical="center"/>
    </xf>
    <xf numFmtId="224" fontId="7" fillId="0" borderId="0" xfId="57" applyNumberFormat="1" applyFont="1" applyFill="1" applyBorder="1">
      <alignment vertical="center"/>
    </xf>
    <xf numFmtId="224" fontId="7" fillId="4" borderId="3" xfId="57" applyNumberFormat="1" applyFont="1" applyFill="1" applyBorder="1" applyAlignment="1">
      <alignment vertical="center"/>
    </xf>
    <xf numFmtId="224" fontId="7" fillId="4" borderId="3" xfId="57" applyNumberFormat="1" applyFont="1" applyFill="1" applyBorder="1" applyAlignment="1">
      <alignment horizontal="left" vertical="center"/>
    </xf>
    <xf numFmtId="166" fontId="6" fillId="0" borderId="0" xfId="0" applyNumberFormat="1" applyFont="1" applyFill="1" applyBorder="1" applyAlignment="1">
      <alignment horizontal="right" vertical="center" shrinkToFit="1"/>
    </xf>
    <xf numFmtId="227" fontId="6" fillId="0" borderId="0" xfId="0" applyNumberFormat="1" applyFont="1" applyFill="1" applyBorder="1" applyAlignment="1">
      <alignment horizontal="center" vertical="center"/>
    </xf>
    <xf numFmtId="224" fontId="6" fillId="0" borderId="0" xfId="57" applyNumberFormat="1" applyFont="1" applyFill="1">
      <alignment vertical="center"/>
    </xf>
    <xf numFmtId="165" fontId="6" fillId="0" borderId="0" xfId="57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95" applyFont="1" applyAlignment="1">
      <alignment vertical="center"/>
    </xf>
    <xf numFmtId="0" fontId="6" fillId="0" borderId="15" xfId="95" applyFont="1" applyBorder="1" applyAlignment="1">
      <alignment vertical="center"/>
    </xf>
    <xf numFmtId="0" fontId="7" fillId="4" borderId="9" xfId="95" applyFont="1" applyFill="1" applyBorder="1" applyAlignment="1">
      <alignment vertical="center"/>
    </xf>
    <xf numFmtId="0" fontId="7" fillId="4" borderId="3" xfId="95" applyFont="1" applyFill="1" applyBorder="1" applyAlignment="1">
      <alignment vertical="center"/>
    </xf>
    <xf numFmtId="0" fontId="7" fillId="4" borderId="3" xfId="95" applyFont="1" applyFill="1" applyBorder="1" applyAlignment="1">
      <alignment horizontal="center" vertical="center"/>
    </xf>
    <xf numFmtId="0" fontId="7" fillId="4" borderId="10" xfId="95" applyFont="1" applyFill="1" applyBorder="1" applyAlignment="1">
      <alignment vertical="center"/>
    </xf>
    <xf numFmtId="0" fontId="7" fillId="0" borderId="0" xfId="95" applyFont="1" applyAlignment="1">
      <alignment vertical="center"/>
    </xf>
    <xf numFmtId="166" fontId="7" fillId="4" borderId="3" xfId="95" applyNumberFormat="1" applyFont="1" applyFill="1" applyBorder="1" applyAlignment="1">
      <alignment horizontal="center" vertical="center"/>
    </xf>
    <xf numFmtId="0" fontId="6" fillId="0" borderId="16" xfId="95" applyFont="1" applyBorder="1" applyAlignment="1">
      <alignment vertical="center"/>
    </xf>
    <xf numFmtId="0" fontId="6" fillId="0" borderId="17" xfId="95" applyFont="1" applyBorder="1" applyAlignment="1">
      <alignment vertical="center"/>
    </xf>
    <xf numFmtId="0" fontId="6" fillId="0" borderId="0" xfId="95" applyFont="1" applyBorder="1" applyAlignment="1">
      <alignment horizontal="center" vertical="center"/>
    </xf>
    <xf numFmtId="0" fontId="6" fillId="0" borderId="0" xfId="95" applyFont="1" applyBorder="1" applyAlignment="1">
      <alignment vertical="center"/>
    </xf>
    <xf numFmtId="0" fontId="6" fillId="0" borderId="12" xfId="95" applyFont="1" applyBorder="1" applyAlignment="1">
      <alignment vertical="center"/>
    </xf>
    <xf numFmtId="0" fontId="6" fillId="0" borderId="11" xfId="95" applyFont="1" applyBorder="1" applyAlignment="1">
      <alignment vertical="center"/>
    </xf>
    <xf numFmtId="0" fontId="6" fillId="0" borderId="18" xfId="95" applyFont="1" applyBorder="1" applyAlignment="1">
      <alignment vertical="center"/>
    </xf>
    <xf numFmtId="0" fontId="6" fillId="0" borderId="0" xfId="95" applyFont="1" applyBorder="1" applyAlignment="1">
      <alignment horizontal="right" vertical="center"/>
    </xf>
    <xf numFmtId="0" fontId="6" fillId="0" borderId="11" xfId="95" applyFont="1" applyBorder="1" applyAlignment="1">
      <alignment horizontal="right" vertical="center"/>
    </xf>
    <xf numFmtId="173" fontId="6" fillId="0" borderId="0" xfId="95" applyNumberFormat="1" applyFont="1" applyBorder="1" applyAlignment="1">
      <alignment horizontal="center" vertical="center"/>
    </xf>
    <xf numFmtId="0" fontId="6" fillId="0" borderId="0" xfId="95" applyFont="1" applyBorder="1" applyAlignment="1">
      <alignment horizontal="left" vertical="center"/>
    </xf>
    <xf numFmtId="0" fontId="6" fillId="0" borderId="0" xfId="95" quotePrefix="1" applyFont="1" applyBorder="1" applyAlignment="1">
      <alignment horizontal="left" vertical="center"/>
    </xf>
    <xf numFmtId="0" fontId="6" fillId="0" borderId="0" xfId="95" applyNumberFormat="1" applyFont="1" applyBorder="1" applyAlignment="1">
      <alignment horizontal="center" vertical="center"/>
    </xf>
    <xf numFmtId="174" fontId="6" fillId="0" borderId="0" xfId="95" applyNumberFormat="1" applyFont="1" applyAlignment="1">
      <alignment horizontal="center" vertical="center"/>
    </xf>
    <xf numFmtId="167" fontId="6" fillId="0" borderId="0" xfId="95" applyNumberFormat="1" applyFont="1" applyBorder="1" applyAlignment="1">
      <alignment horizontal="center" vertical="center"/>
    </xf>
    <xf numFmtId="179" fontId="6" fillId="0" borderId="0" xfId="95" applyNumberFormat="1" applyFont="1" applyBorder="1" applyAlignment="1">
      <alignment horizontal="center" vertical="center"/>
    </xf>
    <xf numFmtId="173" fontId="6" fillId="0" borderId="0" xfId="95" applyNumberFormat="1" applyFont="1" applyAlignment="1">
      <alignment vertical="center"/>
    </xf>
    <xf numFmtId="166" fontId="6" fillId="0" borderId="0" xfId="95" applyNumberFormat="1" applyFont="1" applyBorder="1" applyAlignment="1">
      <alignment horizontal="center" vertical="center"/>
    </xf>
    <xf numFmtId="0" fontId="6" fillId="0" borderId="0" xfId="95" applyFont="1" applyAlignment="1">
      <alignment horizontal="right" vertical="center"/>
    </xf>
    <xf numFmtId="0" fontId="6" fillId="0" borderId="0" xfId="95" applyNumberFormat="1" applyFont="1" applyAlignment="1">
      <alignment horizontal="center" vertical="center"/>
    </xf>
    <xf numFmtId="166" fontId="6" fillId="0" borderId="0" xfId="95" applyNumberFormat="1" applyFont="1" applyBorder="1" applyAlignment="1">
      <alignment vertical="center"/>
    </xf>
    <xf numFmtId="212" fontId="6" fillId="0" borderId="0" xfId="95" applyNumberFormat="1" applyFont="1" applyAlignment="1">
      <alignment vertical="center"/>
    </xf>
    <xf numFmtId="213" fontId="6" fillId="0" borderId="0" xfId="95" applyNumberFormat="1" applyFont="1" applyAlignment="1">
      <alignment vertical="center"/>
    </xf>
    <xf numFmtId="174" fontId="6" fillId="0" borderId="0" xfId="95" applyNumberFormat="1" applyFont="1" applyBorder="1" applyAlignment="1">
      <alignment horizontal="center" vertical="center"/>
    </xf>
    <xf numFmtId="0" fontId="6" fillId="0" borderId="0" xfId="95" quotePrefix="1" applyFont="1" applyBorder="1" applyAlignment="1">
      <alignment vertical="center"/>
    </xf>
    <xf numFmtId="0" fontId="7" fillId="0" borderId="0" xfId="95" applyFont="1" applyBorder="1" applyAlignment="1">
      <alignment vertical="center"/>
    </xf>
    <xf numFmtId="179" fontId="6" fillId="0" borderId="0" xfId="95" applyNumberFormat="1" applyFont="1" applyBorder="1" applyAlignment="1">
      <alignment vertical="center"/>
    </xf>
    <xf numFmtId="173" fontId="6" fillId="0" borderId="0" xfId="95" applyNumberFormat="1" applyFont="1" applyBorder="1" applyAlignment="1">
      <alignment vertical="center"/>
    </xf>
    <xf numFmtId="173" fontId="6" fillId="0" borderId="0" xfId="95" applyNumberFormat="1" applyFont="1" applyAlignment="1">
      <alignment horizontal="center" vertical="center"/>
    </xf>
    <xf numFmtId="191" fontId="6" fillId="0" borderId="0" xfId="95" applyNumberFormat="1" applyFont="1" applyBorder="1" applyAlignment="1">
      <alignment horizontal="center" vertical="center"/>
    </xf>
    <xf numFmtId="0" fontId="6" fillId="0" borderId="13" xfId="95" applyFont="1" applyBorder="1" applyAlignment="1">
      <alignment vertical="center"/>
    </xf>
    <xf numFmtId="0" fontId="6" fillId="0" borderId="14" xfId="95" applyFont="1" applyBorder="1" applyAlignment="1">
      <alignment vertical="center"/>
    </xf>
    <xf numFmtId="3" fontId="6" fillId="0" borderId="0" xfId="95" applyNumberFormat="1" applyFont="1" applyBorder="1" applyAlignment="1">
      <alignment horizontal="center" vertical="center"/>
    </xf>
    <xf numFmtId="171" fontId="6" fillId="0" borderId="0" xfId="95" applyNumberFormat="1" applyFont="1" applyBorder="1" applyAlignment="1">
      <alignment horizontal="center" vertical="center"/>
    </xf>
    <xf numFmtId="3" fontId="6" fillId="0" borderId="0" xfId="95" applyNumberFormat="1" applyFont="1" applyBorder="1" applyAlignment="1">
      <alignment vertical="center"/>
    </xf>
    <xf numFmtId="208" fontId="6" fillId="0" borderId="0" xfId="95" applyNumberFormat="1" applyFont="1" applyBorder="1" applyAlignment="1">
      <alignment horizontal="center" vertical="center"/>
    </xf>
    <xf numFmtId="0" fontId="6" fillId="0" borderId="22" xfId="95" applyFont="1" applyBorder="1" applyAlignment="1">
      <alignment horizontal="center" vertical="center"/>
    </xf>
    <xf numFmtId="0" fontId="6" fillId="0" borderId="23" xfId="95" applyFont="1" applyBorder="1" applyAlignment="1">
      <alignment horizontal="center" vertical="center"/>
    </xf>
    <xf numFmtId="0" fontId="6" fillId="0" borderId="24" xfId="95" applyFont="1" applyBorder="1" applyAlignment="1">
      <alignment horizontal="center" vertical="center"/>
    </xf>
    <xf numFmtId="0" fontId="7" fillId="0" borderId="0" xfId="95" applyFont="1" applyBorder="1" applyAlignment="1">
      <alignment horizontal="center" vertical="center"/>
    </xf>
    <xf numFmtId="0" fontId="6" fillId="0" borderId="0" xfId="95" quotePrefix="1" applyFont="1" applyBorder="1" applyAlignment="1">
      <alignment horizontal="center" vertical="center"/>
    </xf>
    <xf numFmtId="0" fontId="6" fillId="0" borderId="11" xfId="95" applyFont="1" applyBorder="1" applyAlignment="1">
      <alignment horizontal="center" vertical="center"/>
    </xf>
    <xf numFmtId="0" fontId="6" fillId="0" borderId="15" xfId="95" applyFont="1" applyBorder="1" applyAlignment="1">
      <alignment horizontal="center" vertical="center"/>
    </xf>
    <xf numFmtId="38" fontId="6" fillId="0" borderId="0" xfId="95" applyNumberFormat="1" applyFont="1" applyBorder="1" applyAlignment="1">
      <alignment horizontal="center" vertical="center"/>
    </xf>
    <xf numFmtId="200" fontId="6" fillId="0" borderId="0" xfId="95" applyNumberFormat="1" applyFont="1" applyBorder="1" applyAlignment="1">
      <alignment horizontal="center" vertical="center"/>
    </xf>
    <xf numFmtId="214" fontId="6" fillId="0" borderId="0" xfId="95" applyNumberFormat="1" applyFont="1" applyAlignment="1">
      <alignment vertical="center"/>
    </xf>
    <xf numFmtId="211" fontId="6" fillId="0" borderId="0" xfId="95" applyNumberFormat="1" applyFont="1" applyBorder="1" applyAlignment="1">
      <alignment vertical="center" shrinkToFit="1"/>
    </xf>
    <xf numFmtId="0" fontId="6" fillId="0" borderId="0" xfId="95" applyNumberFormat="1" applyFont="1" applyBorder="1" applyAlignment="1">
      <alignment vertical="center" shrinkToFit="1"/>
    </xf>
    <xf numFmtId="0" fontId="6" fillId="0" borderId="0" xfId="95" applyFont="1" applyAlignment="1">
      <alignment horizontal="center" vertical="center"/>
    </xf>
    <xf numFmtId="179" fontId="6" fillId="0" borderId="0" xfId="95" applyNumberFormat="1" applyFont="1" applyAlignment="1">
      <alignment horizontal="center" vertical="center"/>
    </xf>
    <xf numFmtId="166" fontId="6" fillId="0" borderId="0" xfId="95" applyNumberFormat="1" applyFont="1" applyAlignment="1">
      <alignment horizontal="center" vertical="center"/>
    </xf>
    <xf numFmtId="222" fontId="6" fillId="0" borderId="0" xfId="95" applyNumberFormat="1" applyFont="1" applyBorder="1" applyAlignment="1">
      <alignment vertical="center" shrinkToFit="1"/>
    </xf>
    <xf numFmtId="0" fontId="6" fillId="4" borderId="10" xfId="95" applyFont="1" applyFill="1" applyBorder="1" applyAlignment="1">
      <alignment vertical="center"/>
    </xf>
    <xf numFmtId="0" fontId="6" fillId="0" borderId="0" xfId="95" applyFont="1" applyBorder="1" applyAlignment="1">
      <alignment horizontal="center" vertical="center" shrinkToFit="1"/>
    </xf>
    <xf numFmtId="0" fontId="6" fillId="0" borderId="0" xfId="95" applyFont="1" applyBorder="1" applyAlignment="1">
      <alignment vertical="center" shrinkToFit="1"/>
    </xf>
    <xf numFmtId="213" fontId="6" fillId="0" borderId="0" xfId="95" applyNumberFormat="1" applyFont="1" applyBorder="1" applyAlignment="1">
      <alignment vertical="center"/>
    </xf>
    <xf numFmtId="213" fontId="6" fillId="0" borderId="15" xfId="95" applyNumberFormat="1" applyFont="1" applyBorder="1" applyAlignment="1">
      <alignment vertical="center"/>
    </xf>
    <xf numFmtId="3" fontId="6" fillId="0" borderId="15" xfId="95" applyNumberFormat="1" applyFont="1" applyBorder="1" applyAlignment="1">
      <alignment horizontal="center" vertical="center"/>
    </xf>
    <xf numFmtId="215" fontId="6" fillId="0" borderId="0" xfId="95" applyNumberFormat="1" applyFont="1" applyBorder="1" applyAlignment="1">
      <alignment vertical="center"/>
    </xf>
    <xf numFmtId="0" fontId="10" fillId="0" borderId="16" xfId="94" applyFont="1" applyFill="1" applyBorder="1" applyAlignment="1">
      <alignment vertical="center"/>
    </xf>
    <xf numFmtId="0" fontId="10" fillId="0" borderId="18" xfId="94" applyFont="1" applyFill="1" applyBorder="1" applyAlignment="1">
      <alignment vertical="center"/>
    </xf>
    <xf numFmtId="0" fontId="10" fillId="0" borderId="0" xfId="94" applyFont="1" applyAlignment="1">
      <alignment vertical="center"/>
    </xf>
    <xf numFmtId="0" fontId="6" fillId="0" borderId="11" xfId="94" applyFont="1" applyFill="1" applyBorder="1" applyAlignment="1">
      <alignment vertical="center"/>
    </xf>
    <xf numFmtId="0" fontId="6" fillId="0" borderId="0" xfId="94" applyFont="1" applyFill="1" applyBorder="1" applyAlignment="1">
      <alignment vertical="center"/>
    </xf>
    <xf numFmtId="0" fontId="6" fillId="0" borderId="12" xfId="94" applyFont="1" applyFill="1" applyBorder="1" applyAlignment="1">
      <alignment vertical="center"/>
    </xf>
    <xf numFmtId="0" fontId="6" fillId="0" borderId="0" xfId="94" applyFont="1" applyFill="1" applyBorder="1" applyAlignment="1">
      <alignment horizontal="center" vertical="center"/>
    </xf>
    <xf numFmtId="166" fontId="6" fillId="0" borderId="0" xfId="94" applyNumberFormat="1" applyFont="1" applyFill="1" applyBorder="1" applyAlignment="1">
      <alignment horizontal="center" vertical="center"/>
    </xf>
    <xf numFmtId="172" fontId="6" fillId="0" borderId="0" xfId="94" quotePrefix="1" applyNumberFormat="1" applyFont="1" applyFill="1" applyBorder="1" applyAlignment="1">
      <alignment horizontal="center" vertical="center"/>
    </xf>
    <xf numFmtId="0" fontId="6" fillId="0" borderId="0" xfId="94" quotePrefix="1" applyFont="1" applyFill="1" applyBorder="1" applyAlignment="1">
      <alignment horizontal="center" vertical="center"/>
    </xf>
    <xf numFmtId="166" fontId="6" fillId="0" borderId="0" xfId="94" applyNumberFormat="1" applyFont="1" applyFill="1" applyBorder="1" applyAlignment="1">
      <alignment vertical="center"/>
    </xf>
    <xf numFmtId="179" fontId="6" fillId="0" borderId="0" xfId="94" applyNumberFormat="1" applyFont="1" applyFill="1" applyBorder="1" applyAlignment="1">
      <alignment vertical="center"/>
    </xf>
    <xf numFmtId="177" fontId="6" fillId="0" borderId="0" xfId="94" applyNumberFormat="1" applyFont="1" applyFill="1" applyBorder="1" applyAlignment="1">
      <alignment vertical="center"/>
    </xf>
    <xf numFmtId="0" fontId="6" fillId="0" borderId="0" xfId="94" applyNumberFormat="1" applyFont="1" applyFill="1" applyBorder="1" applyAlignment="1">
      <alignment vertical="center"/>
    </xf>
    <xf numFmtId="0" fontId="6" fillId="0" borderId="0" xfId="94" quotePrefix="1" applyFont="1" applyFill="1" applyBorder="1" applyAlignment="1">
      <alignment vertical="center"/>
    </xf>
    <xf numFmtId="0" fontId="7" fillId="3" borderId="9" xfId="0" applyNumberFormat="1" applyFont="1" applyFill="1" applyBorder="1" applyAlignment="1">
      <alignment vertical="center"/>
    </xf>
    <xf numFmtId="0" fontId="7" fillId="3" borderId="3" xfId="0" applyFont="1" applyFill="1" applyBorder="1" applyAlignment="1">
      <alignment vertical="center"/>
    </xf>
    <xf numFmtId="0" fontId="7" fillId="3" borderId="3" xfId="0" applyNumberFormat="1" applyFont="1" applyFill="1" applyBorder="1" applyAlignment="1">
      <alignment vertical="center"/>
    </xf>
    <xf numFmtId="0" fontId="7" fillId="3" borderId="3" xfId="0" applyNumberFormat="1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vertical="center"/>
    </xf>
    <xf numFmtId="0" fontId="7" fillId="3" borderId="0" xfId="0" applyFont="1" applyFill="1" applyAlignment="1">
      <alignment vertical="center"/>
    </xf>
    <xf numFmtId="0" fontId="6" fillId="0" borderId="16" xfId="0" applyNumberFormat="1" applyFont="1" applyFill="1" applyBorder="1" applyAlignment="1">
      <alignment vertical="center"/>
    </xf>
    <xf numFmtId="0" fontId="6" fillId="0" borderId="17" xfId="0" applyNumberFormat="1" applyFont="1" applyFill="1" applyBorder="1" applyAlignment="1">
      <alignment horizontal="center" vertical="center"/>
    </xf>
    <xf numFmtId="166" fontId="6" fillId="0" borderId="17" xfId="0" applyNumberFormat="1" applyFont="1" applyFill="1" applyBorder="1" applyAlignment="1">
      <alignment horizontal="center" vertical="center"/>
    </xf>
    <xf numFmtId="166" fontId="6" fillId="0" borderId="17" xfId="0" applyNumberFormat="1" applyFont="1" applyFill="1" applyBorder="1" applyAlignment="1">
      <alignment vertical="center"/>
    </xf>
    <xf numFmtId="0" fontId="6" fillId="0" borderId="17" xfId="0" applyNumberFormat="1" applyFont="1" applyFill="1" applyBorder="1" applyAlignment="1">
      <alignment vertical="center"/>
    </xf>
    <xf numFmtId="0" fontId="6" fillId="0" borderId="18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11" xfId="0" applyNumberFormat="1" applyFont="1" applyFill="1" applyBorder="1" applyAlignment="1">
      <alignment vertical="center"/>
    </xf>
    <xf numFmtId="166" fontId="6" fillId="0" borderId="0" xfId="0" applyNumberFormat="1" applyFont="1" applyFill="1" applyBorder="1" applyAlignment="1">
      <alignment horizontal="right"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horizontal="left" vertical="center"/>
    </xf>
    <xf numFmtId="166" fontId="6" fillId="0" borderId="0" xfId="0" quotePrefix="1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73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174" fontId="6" fillId="0" borderId="0" xfId="0" applyNumberFormat="1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vertical="center"/>
    </xf>
    <xf numFmtId="166" fontId="6" fillId="0" borderId="0" xfId="0" applyNumberFormat="1" applyFont="1" applyFill="1" applyBorder="1" applyAlignment="1">
      <alignment horizontal="center" vertical="center" shrinkToFit="1"/>
    </xf>
    <xf numFmtId="192" fontId="6" fillId="0" borderId="0" xfId="0" applyNumberFormat="1" applyFont="1" applyFill="1" applyBorder="1" applyAlignment="1">
      <alignment vertical="center"/>
    </xf>
    <xf numFmtId="38" fontId="6" fillId="0" borderId="0" xfId="0" applyNumberFormat="1" applyFont="1" applyFill="1" applyBorder="1" applyAlignment="1">
      <alignment vertical="center"/>
    </xf>
    <xf numFmtId="166" fontId="7" fillId="0" borderId="0" xfId="0" applyNumberFormat="1" applyFont="1" applyFill="1" applyBorder="1" applyAlignment="1">
      <alignment vertical="center"/>
    </xf>
    <xf numFmtId="0" fontId="6" fillId="0" borderId="14" xfId="0" applyFont="1" applyFill="1" applyBorder="1" applyAlignment="1">
      <alignment vertical="center"/>
    </xf>
    <xf numFmtId="0" fontId="6" fillId="0" borderId="0" xfId="0" applyNumberFormat="1" applyFont="1" applyFill="1" applyAlignment="1">
      <alignment vertical="center"/>
    </xf>
    <xf numFmtId="166" fontId="6" fillId="0" borderId="0" xfId="0" applyNumberFormat="1" applyFont="1" applyFill="1" applyAlignment="1">
      <alignment horizontal="right" vertical="center"/>
    </xf>
    <xf numFmtId="0" fontId="6" fillId="0" borderId="0" xfId="0" applyNumberFormat="1" applyFont="1" applyFill="1" applyAlignment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166" fontId="6" fillId="0" borderId="0" xfId="0" applyNumberFormat="1" applyFont="1" applyFill="1" applyAlignment="1">
      <alignment vertical="center"/>
    </xf>
    <xf numFmtId="166" fontId="7" fillId="0" borderId="0" xfId="0" applyNumberFormat="1" applyFont="1" applyFill="1" applyBorder="1" applyAlignment="1">
      <alignment horizontal="center" vertical="center"/>
    </xf>
    <xf numFmtId="38" fontId="7" fillId="0" borderId="0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38" fontId="6" fillId="0" borderId="0" xfId="0" quotePrefix="1" applyNumberFormat="1" applyFont="1" applyFill="1" applyBorder="1" applyAlignment="1">
      <alignment horizontal="center" vertical="center"/>
    </xf>
    <xf numFmtId="192" fontId="6" fillId="0" borderId="0" xfId="0" applyNumberFormat="1" applyFont="1" applyFill="1" applyAlignment="1">
      <alignment vertical="center"/>
    </xf>
    <xf numFmtId="2" fontId="6" fillId="0" borderId="0" xfId="0" applyNumberFormat="1" applyFont="1" applyFill="1" applyAlignment="1">
      <alignment vertical="center"/>
    </xf>
    <xf numFmtId="0" fontId="7" fillId="3" borderId="9" xfId="0" applyNumberFormat="1" applyFont="1" applyFill="1" applyBorder="1" applyAlignment="1">
      <alignment horizontal="right" vertical="center"/>
    </xf>
    <xf numFmtId="177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right" vertical="center"/>
    </xf>
    <xf numFmtId="0" fontId="6" fillId="0" borderId="0" xfId="0" quotePrefix="1" applyFont="1" applyFill="1" applyBorder="1" applyAlignment="1">
      <alignment horizontal="right" vertical="center"/>
    </xf>
    <xf numFmtId="38" fontId="7" fillId="0" borderId="0" xfId="0" quotePrefix="1" applyNumberFormat="1" applyFont="1" applyFill="1" applyBorder="1" applyAlignment="1">
      <alignment horizontal="center" vertical="center"/>
    </xf>
    <xf numFmtId="171" fontId="7" fillId="3" borderId="3" xfId="0" applyNumberFormat="1" applyFont="1" applyFill="1" applyBorder="1" applyAlignment="1">
      <alignment horizontal="center" vertical="center"/>
    </xf>
    <xf numFmtId="166" fontId="7" fillId="0" borderId="0" xfId="57" applyNumberFormat="1" applyFont="1" applyFill="1" applyBorder="1" applyAlignment="1">
      <alignment vertical="center"/>
    </xf>
    <xf numFmtId="0" fontId="6" fillId="0" borderId="17" xfId="0" applyFont="1" applyFill="1" applyBorder="1" applyAlignment="1">
      <alignment horizontal="right" vertical="center"/>
    </xf>
    <xf numFmtId="176" fontId="6" fillId="0" borderId="17" xfId="0" applyNumberFormat="1" applyFont="1" applyFill="1" applyBorder="1" applyAlignment="1">
      <alignment vertical="center"/>
    </xf>
    <xf numFmtId="176" fontId="6" fillId="0" borderId="17" xfId="0" applyNumberFormat="1" applyFont="1" applyFill="1" applyBorder="1" applyAlignment="1">
      <alignment horizontal="center" vertical="center"/>
    </xf>
    <xf numFmtId="2" fontId="6" fillId="0" borderId="17" xfId="0" applyNumberFormat="1" applyFont="1" applyFill="1" applyBorder="1" applyAlignment="1">
      <alignment vertical="center"/>
    </xf>
    <xf numFmtId="177" fontId="6" fillId="0" borderId="17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 shrinkToFit="1"/>
    </xf>
    <xf numFmtId="0" fontId="7" fillId="0" borderId="13" xfId="0" applyFont="1" applyFill="1" applyBorder="1" applyAlignment="1">
      <alignment vertical="center"/>
    </xf>
    <xf numFmtId="0" fontId="7" fillId="0" borderId="15" xfId="0" applyFont="1" applyFill="1" applyBorder="1" applyAlignment="1">
      <alignment vertical="center"/>
    </xf>
    <xf numFmtId="166" fontId="7" fillId="0" borderId="15" xfId="0" applyNumberFormat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166" fontId="7" fillId="0" borderId="15" xfId="0" applyNumberFormat="1" applyFont="1" applyFill="1" applyBorder="1" applyAlignment="1">
      <alignment vertical="center"/>
    </xf>
    <xf numFmtId="38" fontId="7" fillId="0" borderId="15" xfId="0" quotePrefix="1" applyNumberFormat="1" applyFont="1" applyFill="1" applyBorder="1" applyAlignment="1">
      <alignment horizontal="center" vertical="center"/>
    </xf>
    <xf numFmtId="38" fontId="7" fillId="0" borderId="15" xfId="0" applyNumberFormat="1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vertical="center"/>
    </xf>
    <xf numFmtId="165" fontId="6" fillId="0" borderId="0" xfId="57" applyFont="1" applyFill="1" applyBorder="1" applyAlignment="1">
      <alignment horizontal="right" vertical="center"/>
    </xf>
    <xf numFmtId="165" fontId="7" fillId="0" borderId="0" xfId="57" applyFont="1" applyFill="1" applyBorder="1" applyAlignment="1">
      <alignment vertical="center"/>
    </xf>
    <xf numFmtId="173" fontId="6" fillId="0" borderId="0" xfId="0" applyNumberFormat="1" applyFont="1" applyFill="1" applyBorder="1" applyAlignment="1">
      <alignment horizontal="center" vertical="center" shrinkToFit="1"/>
    </xf>
    <xf numFmtId="206" fontId="6" fillId="0" borderId="0" xfId="0" applyNumberFormat="1" applyFont="1" applyFill="1" applyBorder="1" applyAlignment="1">
      <alignment horizontal="center" vertical="center"/>
    </xf>
    <xf numFmtId="200" fontId="6" fillId="0" borderId="0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vertical="center" shrinkToFit="1"/>
    </xf>
    <xf numFmtId="0" fontId="7" fillId="0" borderId="0" xfId="91" applyFont="1" applyAlignment="1">
      <alignment vertical="center" shrinkToFit="1"/>
    </xf>
    <xf numFmtId="0" fontId="6" fillId="0" borderId="0" xfId="91" applyFont="1" applyAlignment="1">
      <alignment horizontal="center" vertical="center" shrinkToFit="1"/>
    </xf>
    <xf numFmtId="0" fontId="6" fillId="0" borderId="0" xfId="91" applyFont="1" applyAlignment="1">
      <alignment vertical="center" shrinkToFit="1"/>
    </xf>
    <xf numFmtId="0" fontId="6" fillId="0" borderId="0" xfId="91" applyFont="1" applyAlignment="1">
      <alignment vertical="center"/>
    </xf>
    <xf numFmtId="0" fontId="7" fillId="0" borderId="0" xfId="91" quotePrefix="1" applyFont="1" applyAlignment="1">
      <alignment horizontal="right" vertical="center"/>
    </xf>
    <xf numFmtId="0" fontId="10" fillId="0" borderId="0" xfId="91" applyFont="1" applyAlignment="1">
      <alignment vertical="center"/>
    </xf>
    <xf numFmtId="0" fontId="6" fillId="5" borderId="25" xfId="91" applyFont="1" applyFill="1" applyBorder="1" applyAlignment="1">
      <alignment horizontal="centerContinuous" vertical="center"/>
    </xf>
    <xf numFmtId="0" fontId="6" fillId="5" borderId="19" xfId="91" applyFont="1" applyFill="1" applyBorder="1" applyAlignment="1">
      <alignment horizontal="center" vertical="center"/>
    </xf>
    <xf numFmtId="0" fontId="6" fillId="5" borderId="19" xfId="91" quotePrefix="1" applyFont="1" applyFill="1" applyBorder="1" applyAlignment="1">
      <alignment horizontal="center" vertical="center" wrapText="1"/>
    </xf>
    <xf numFmtId="0" fontId="6" fillId="6" borderId="26" xfId="91" quotePrefix="1" applyFont="1" applyFill="1" applyBorder="1" applyAlignment="1">
      <alignment horizontal="left" vertical="center" shrinkToFit="1"/>
    </xf>
    <xf numFmtId="0" fontId="6" fillId="0" borderId="27" xfId="91" applyFont="1" applyBorder="1" applyAlignment="1">
      <alignment vertical="center" shrinkToFit="1"/>
    </xf>
    <xf numFmtId="165" fontId="6" fillId="0" borderId="27" xfId="57" applyNumberFormat="1" applyFont="1" applyBorder="1" applyAlignment="1">
      <alignment vertical="center"/>
    </xf>
    <xf numFmtId="181" fontId="6" fillId="0" borderId="27" xfId="91" applyNumberFormat="1" applyFont="1" applyBorder="1" applyAlignment="1">
      <alignment vertical="center"/>
    </xf>
    <xf numFmtId="165" fontId="6" fillId="0" borderId="27" xfId="57" quotePrefix="1" applyNumberFormat="1" applyFont="1" applyBorder="1" applyAlignment="1">
      <alignment horizontal="centerContinuous" vertical="center"/>
    </xf>
    <xf numFmtId="182" fontId="6" fillId="0" borderId="27" xfId="91" applyNumberFormat="1" applyFont="1" applyFill="1" applyBorder="1" applyAlignment="1">
      <alignment vertical="center"/>
    </xf>
    <xf numFmtId="181" fontId="6" fillId="0" borderId="27" xfId="57" applyNumberFormat="1" applyFont="1" applyFill="1" applyBorder="1" applyAlignment="1">
      <alignment vertical="center"/>
    </xf>
    <xf numFmtId="182" fontId="6" fillId="0" borderId="27" xfId="57" applyNumberFormat="1" applyFont="1" applyFill="1" applyBorder="1" applyAlignment="1">
      <alignment vertical="center"/>
    </xf>
    <xf numFmtId="182" fontId="6" fillId="0" borderId="28" xfId="57" applyNumberFormat="1" applyFont="1" applyFill="1" applyBorder="1" applyAlignment="1">
      <alignment vertical="center"/>
    </xf>
    <xf numFmtId="0" fontId="6" fillId="0" borderId="19" xfId="91" quotePrefix="1" applyFont="1" applyBorder="1" applyAlignment="1">
      <alignment horizontal="center" vertical="center" shrinkToFit="1"/>
    </xf>
    <xf numFmtId="0" fontId="6" fillId="0" borderId="19" xfId="91" applyFont="1" applyBorder="1" applyAlignment="1">
      <alignment horizontal="left" vertical="center" shrinkToFit="1"/>
    </xf>
    <xf numFmtId="165" fontId="6" fillId="0" borderId="19" xfId="57" applyFont="1" applyBorder="1" applyAlignment="1">
      <alignment vertical="center"/>
    </xf>
    <xf numFmtId="182" fontId="6" fillId="0" borderId="19" xfId="70" applyNumberFormat="1" applyFont="1" applyFill="1" applyBorder="1" applyAlignment="1">
      <alignment vertical="center"/>
    </xf>
    <xf numFmtId="181" fontId="6" fillId="0" borderId="19" xfId="57" applyNumberFormat="1" applyFont="1" applyFill="1" applyBorder="1" applyAlignment="1">
      <alignment vertical="center"/>
    </xf>
    <xf numFmtId="182" fontId="6" fillId="0" borderId="19" xfId="57" applyNumberFormat="1" applyFont="1" applyFill="1" applyBorder="1" applyAlignment="1">
      <alignment vertical="center"/>
    </xf>
    <xf numFmtId="182" fontId="6" fillId="0" borderId="29" xfId="57" applyNumberFormat="1" applyFont="1" applyFill="1" applyBorder="1" applyAlignment="1">
      <alignment vertical="center"/>
    </xf>
    <xf numFmtId="0" fontId="6" fillId="6" borderId="26" xfId="91" applyFont="1" applyFill="1" applyBorder="1" applyAlignment="1">
      <alignment horizontal="left" vertical="center" shrinkToFit="1"/>
    </xf>
    <xf numFmtId="0" fontId="6" fillId="6" borderId="30" xfId="91" applyFont="1" applyFill="1" applyBorder="1" applyAlignment="1">
      <alignment horizontal="left" vertical="center" shrinkToFit="1"/>
    </xf>
    <xf numFmtId="0" fontId="6" fillId="6" borderId="31" xfId="91" quotePrefix="1" applyFont="1" applyFill="1" applyBorder="1" applyAlignment="1">
      <alignment horizontal="left" vertical="center" shrinkToFit="1"/>
    </xf>
    <xf numFmtId="0" fontId="6" fillId="0" borderId="19" xfId="91" applyFont="1" applyBorder="1" applyAlignment="1">
      <alignment horizontal="center" vertical="center" shrinkToFit="1"/>
    </xf>
    <xf numFmtId="0" fontId="6" fillId="0" borderId="19" xfId="91" quotePrefix="1" applyFont="1" applyBorder="1" applyAlignment="1">
      <alignment horizontal="left" vertical="center" shrinkToFit="1"/>
    </xf>
    <xf numFmtId="181" fontId="6" fillId="0" borderId="27" xfId="91" applyNumberFormat="1" applyFont="1" applyFill="1" applyBorder="1" applyAlignment="1">
      <alignment vertical="center"/>
    </xf>
    <xf numFmtId="176" fontId="6" fillId="0" borderId="19" xfId="91" applyNumberFormat="1" applyFont="1" applyBorder="1" applyAlignment="1">
      <alignment horizontal="left" vertical="center" shrinkToFit="1"/>
    </xf>
    <xf numFmtId="0" fontId="6" fillId="6" borderId="5" xfId="91" quotePrefix="1" applyFont="1" applyFill="1" applyBorder="1" applyAlignment="1">
      <alignment horizontal="left" vertical="center" shrinkToFit="1"/>
    </xf>
    <xf numFmtId="0" fontId="20" fillId="0" borderId="0" xfId="91" applyFont="1" applyAlignment="1">
      <alignment vertical="center"/>
    </xf>
    <xf numFmtId="0" fontId="6" fillId="6" borderId="30" xfId="91" quotePrefix="1" applyFont="1" applyFill="1" applyBorder="1" applyAlignment="1">
      <alignment horizontal="left" vertical="center" shrinkToFit="1"/>
    </xf>
    <xf numFmtId="182" fontId="21" fillId="0" borderId="19" xfId="57" applyNumberFormat="1" applyFont="1" applyFill="1" applyBorder="1" applyAlignment="1">
      <alignment vertical="center"/>
    </xf>
    <xf numFmtId="181" fontId="21" fillId="0" borderId="19" xfId="57" applyNumberFormat="1" applyFont="1" applyFill="1" applyBorder="1" applyAlignment="1">
      <alignment vertical="center"/>
    </xf>
    <xf numFmtId="182" fontId="21" fillId="0" borderId="29" xfId="57" applyNumberFormat="1" applyFont="1" applyFill="1" applyBorder="1" applyAlignment="1">
      <alignment vertical="center"/>
    </xf>
    <xf numFmtId="1" fontId="6" fillId="0" borderId="19" xfId="91" applyNumberFormat="1" applyFont="1" applyBorder="1" applyAlignment="1">
      <alignment horizontal="center" vertical="center" shrinkToFit="1"/>
    </xf>
    <xf numFmtId="0" fontId="6" fillId="6" borderId="31" xfId="91" applyFont="1" applyFill="1" applyBorder="1" applyAlignment="1">
      <alignment horizontal="left" vertical="center" shrinkToFit="1"/>
    </xf>
    <xf numFmtId="14" fontId="6" fillId="0" borderId="19" xfId="91" applyNumberFormat="1" applyFont="1" applyBorder="1" applyAlignment="1">
      <alignment horizontal="left" vertical="center" shrinkToFit="1"/>
    </xf>
    <xf numFmtId="183" fontId="6" fillId="0" borderId="19" xfId="91" applyNumberFormat="1" applyFont="1" applyBorder="1" applyAlignment="1">
      <alignment horizontal="left" vertical="center" shrinkToFit="1"/>
    </xf>
    <xf numFmtId="1" fontId="6" fillId="0" borderId="19" xfId="91" applyNumberFormat="1" applyFont="1" applyBorder="1" applyAlignment="1">
      <alignment horizontal="left" vertical="center" shrinkToFit="1"/>
    </xf>
    <xf numFmtId="181" fontId="6" fillId="0" borderId="19" xfId="91" applyNumberFormat="1" applyFont="1" applyBorder="1" applyAlignment="1">
      <alignment vertical="center"/>
    </xf>
    <xf numFmtId="0" fontId="14" fillId="0" borderId="19" xfId="91" applyFont="1" applyFill="1" applyBorder="1" applyAlignment="1">
      <alignment vertical="center"/>
    </xf>
    <xf numFmtId="0" fontId="6" fillId="6" borderId="26" xfId="91" applyFont="1" applyFill="1" applyBorder="1" applyAlignment="1">
      <alignment vertical="center" shrinkToFit="1"/>
    </xf>
    <xf numFmtId="165" fontId="6" fillId="0" borderId="19" xfId="57" applyFont="1" applyFill="1" applyBorder="1" applyAlignment="1">
      <alignment vertical="center"/>
    </xf>
    <xf numFmtId="165" fontId="6" fillId="0" borderId="29" xfId="57" applyFont="1" applyFill="1" applyBorder="1" applyAlignment="1">
      <alignment vertical="center"/>
    </xf>
    <xf numFmtId="0" fontId="6" fillId="6" borderId="30" xfId="91" applyFont="1" applyFill="1" applyBorder="1" applyAlignment="1">
      <alignment vertical="center" shrinkToFit="1"/>
    </xf>
    <xf numFmtId="180" fontId="6" fillId="0" borderId="19" xfId="57" applyNumberFormat="1" applyFont="1" applyFill="1" applyBorder="1" applyAlignment="1">
      <alignment vertical="center"/>
    </xf>
    <xf numFmtId="1" fontId="6" fillId="0" borderId="19" xfId="91" quotePrefix="1" applyNumberFormat="1" applyFont="1" applyBorder="1" applyAlignment="1">
      <alignment horizontal="left" vertical="center" shrinkToFit="1"/>
    </xf>
    <xf numFmtId="182" fontId="6" fillId="0" borderId="19" xfId="57" applyNumberFormat="1" applyFont="1" applyFill="1" applyBorder="1" applyAlignment="1">
      <alignment horizontal="right" vertical="center"/>
    </xf>
    <xf numFmtId="182" fontId="6" fillId="0" borderId="19" xfId="57" quotePrefix="1" applyNumberFormat="1" applyFont="1" applyFill="1" applyBorder="1" applyAlignment="1">
      <alignment horizontal="right" vertical="center"/>
    </xf>
    <xf numFmtId="2" fontId="6" fillId="0" borderId="19" xfId="91" applyNumberFormat="1" applyFont="1" applyBorder="1" applyAlignment="1">
      <alignment horizontal="left" vertical="center" shrinkToFit="1"/>
    </xf>
    <xf numFmtId="2" fontId="6" fillId="0" borderId="19" xfId="91" quotePrefix="1" applyNumberFormat="1" applyFont="1" applyBorder="1" applyAlignment="1">
      <alignment horizontal="left" vertical="center" shrinkToFit="1"/>
    </xf>
    <xf numFmtId="176" fontId="6" fillId="0" borderId="19" xfId="91" quotePrefix="1" applyNumberFormat="1" applyFont="1" applyBorder="1" applyAlignment="1">
      <alignment horizontal="left" vertical="center" shrinkToFit="1"/>
    </xf>
    <xf numFmtId="0" fontId="6" fillId="6" borderId="5" xfId="91" applyFont="1" applyFill="1" applyBorder="1" applyAlignment="1">
      <alignment horizontal="left" vertical="center" shrinkToFit="1"/>
    </xf>
    <xf numFmtId="182" fontId="6" fillId="0" borderId="19" xfId="57" quotePrefix="1" applyNumberFormat="1" applyFont="1" applyFill="1" applyBorder="1" applyAlignment="1">
      <alignment horizontal="left" vertical="center" wrapText="1"/>
    </xf>
    <xf numFmtId="182" fontId="6" fillId="0" borderId="19" xfId="91" applyNumberFormat="1" applyFont="1" applyFill="1" applyBorder="1" applyAlignment="1">
      <alignment vertical="center"/>
    </xf>
    <xf numFmtId="181" fontId="6" fillId="0" borderId="19" xfId="91" applyNumberFormat="1" applyFont="1" applyFill="1" applyBorder="1" applyAlignment="1">
      <alignment vertical="center"/>
    </xf>
    <xf numFmtId="182" fontId="6" fillId="0" borderId="29" xfId="91" applyNumberFormat="1" applyFont="1" applyFill="1" applyBorder="1" applyAlignment="1">
      <alignment vertical="center"/>
    </xf>
    <xf numFmtId="0" fontId="6" fillId="0" borderId="19" xfId="91" quotePrefix="1" applyFont="1" applyFill="1" applyBorder="1" applyAlignment="1">
      <alignment horizontal="center" vertical="center" shrinkToFit="1"/>
    </xf>
    <xf numFmtId="176" fontId="6" fillId="0" borderId="19" xfId="91" applyNumberFormat="1" applyFont="1" applyFill="1" applyBorder="1" applyAlignment="1">
      <alignment horizontal="left" vertical="center" shrinkToFit="1"/>
    </xf>
    <xf numFmtId="165" fontId="6" fillId="0" borderId="27" xfId="57" quotePrefix="1" applyNumberFormat="1" applyFont="1" applyFill="1" applyBorder="1" applyAlignment="1">
      <alignment horizontal="centerContinuous" vertical="center"/>
    </xf>
    <xf numFmtId="176" fontId="6" fillId="0" borderId="19" xfId="91" applyNumberFormat="1" applyFont="1" applyBorder="1" applyAlignment="1">
      <alignment vertical="center" shrinkToFit="1"/>
    </xf>
    <xf numFmtId="182" fontId="6" fillId="0" borderId="19" xfId="91" applyNumberFormat="1" applyFont="1" applyFill="1" applyBorder="1" applyAlignment="1">
      <alignment horizontal="right" vertical="center"/>
    </xf>
    <xf numFmtId="180" fontId="6" fillId="0" borderId="19" xfId="91" applyNumberFormat="1" applyFont="1" applyFill="1" applyBorder="1" applyAlignment="1">
      <alignment horizontal="right" vertical="center"/>
    </xf>
    <xf numFmtId="165" fontId="6" fillId="2" borderId="19" xfId="57" applyFont="1" applyFill="1" applyBorder="1" applyAlignment="1">
      <alignment horizontal="center" vertical="center" shrinkToFit="1"/>
    </xf>
    <xf numFmtId="165" fontId="6" fillId="2" borderId="19" xfId="57" applyFont="1" applyFill="1" applyBorder="1" applyAlignment="1">
      <alignment horizontal="center" vertical="center"/>
    </xf>
    <xf numFmtId="182" fontId="6" fillId="0" borderId="19" xfId="57" quotePrefix="1" applyNumberFormat="1" applyFont="1" applyFill="1" applyBorder="1" applyAlignment="1">
      <alignment horizontal="center" vertical="center"/>
    </xf>
    <xf numFmtId="165" fontId="6" fillId="0" borderId="19" xfId="57" quotePrefix="1" applyFont="1" applyFill="1" applyBorder="1" applyAlignment="1">
      <alignment vertical="center"/>
    </xf>
    <xf numFmtId="182" fontId="6" fillId="0" borderId="29" xfId="57" quotePrefix="1" applyNumberFormat="1" applyFont="1" applyFill="1" applyBorder="1" applyAlignment="1">
      <alignment horizontal="center" vertical="center"/>
    </xf>
    <xf numFmtId="165" fontId="6" fillId="0" borderId="19" xfId="57" quotePrefix="1" applyFont="1" applyFill="1" applyBorder="1" applyAlignment="1">
      <alignment horizontal="center" vertical="center"/>
    </xf>
    <xf numFmtId="165" fontId="6" fillId="0" borderId="29" xfId="57" quotePrefix="1" applyFont="1" applyFill="1" applyBorder="1" applyAlignment="1">
      <alignment horizontal="center" vertical="center"/>
    </xf>
    <xf numFmtId="0" fontId="6" fillId="2" borderId="19" xfId="91" quotePrefix="1" applyFont="1" applyFill="1" applyBorder="1" applyAlignment="1">
      <alignment horizontal="center" vertical="center" shrinkToFit="1"/>
    </xf>
    <xf numFmtId="0" fontId="6" fillId="2" borderId="19" xfId="91" applyFont="1" applyFill="1" applyBorder="1" applyAlignment="1">
      <alignment horizontal="left" vertical="center" shrinkToFit="1"/>
    </xf>
    <xf numFmtId="0" fontId="6" fillId="2" borderId="19" xfId="91" applyFont="1" applyFill="1" applyBorder="1" applyAlignment="1">
      <alignment horizontal="center" vertical="center"/>
    </xf>
    <xf numFmtId="0" fontId="6" fillId="0" borderId="19" xfId="91" quotePrefix="1" applyFont="1" applyFill="1" applyBorder="1" applyAlignment="1">
      <alignment horizontal="center" vertical="center"/>
    </xf>
    <xf numFmtId="0" fontId="6" fillId="0" borderId="29" xfId="91" quotePrefix="1" applyFont="1" applyFill="1" applyBorder="1" applyAlignment="1">
      <alignment horizontal="center" vertical="center"/>
    </xf>
    <xf numFmtId="1" fontId="6" fillId="0" borderId="19" xfId="91" quotePrefix="1" applyNumberFormat="1" applyFont="1" applyBorder="1" applyAlignment="1">
      <alignment horizontal="center" vertical="center" shrinkToFit="1"/>
    </xf>
    <xf numFmtId="181" fontId="6" fillId="0" borderId="19" xfId="91" applyNumberFormat="1" applyFont="1" applyFill="1" applyBorder="1" applyAlignment="1">
      <alignment horizontal="right" vertical="center"/>
    </xf>
    <xf numFmtId="181" fontId="6" fillId="0" borderId="19" xfId="91" quotePrefix="1" applyNumberFormat="1" applyFont="1" applyFill="1" applyBorder="1" applyAlignment="1">
      <alignment horizontal="right" vertical="center"/>
    </xf>
    <xf numFmtId="180" fontId="6" fillId="0" borderId="19" xfId="91" applyNumberFormat="1" applyFont="1" applyFill="1" applyBorder="1" applyAlignment="1">
      <alignment horizontal="center" vertical="center"/>
    </xf>
    <xf numFmtId="0" fontId="6" fillId="0" borderId="29" xfId="91" applyFont="1" applyFill="1" applyBorder="1" applyAlignment="1">
      <alignment vertical="center"/>
    </xf>
    <xf numFmtId="182" fontId="6" fillId="0" borderId="19" xfId="91" applyNumberFormat="1" applyFont="1" applyFill="1" applyBorder="1" applyAlignment="1">
      <alignment horizontal="centerContinuous" vertical="center"/>
    </xf>
    <xf numFmtId="0" fontId="6" fillId="0" borderId="29" xfId="91" applyFont="1" applyFill="1" applyBorder="1" applyAlignment="1">
      <alignment horizontal="centerContinuous" vertical="center"/>
    </xf>
    <xf numFmtId="0" fontId="6" fillId="0" borderId="19" xfId="91" applyFont="1" applyFill="1" applyBorder="1" applyAlignment="1">
      <alignment horizontal="right" vertical="center"/>
    </xf>
    <xf numFmtId="0" fontId="10" fillId="0" borderId="0" xfId="91" applyFont="1" applyAlignment="1">
      <alignment vertical="center" shrinkToFit="1"/>
    </xf>
    <xf numFmtId="0" fontId="10" fillId="0" borderId="0" xfId="91" applyFont="1" applyAlignment="1">
      <alignment horizontal="center" vertical="center" shrinkToFit="1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38" fontId="23" fillId="0" borderId="0" xfId="0" applyNumberFormat="1" applyFont="1" applyAlignment="1">
      <alignment horizontal="right" vertical="center"/>
    </xf>
    <xf numFmtId="0" fontId="24" fillId="0" borderId="0" xfId="0" applyFont="1">
      <alignment vertical="center"/>
    </xf>
    <xf numFmtId="38" fontId="23" fillId="0" borderId="0" xfId="0" applyNumberFormat="1" applyFont="1" applyAlignment="1">
      <alignment horizontal="right"/>
    </xf>
    <xf numFmtId="0" fontId="26" fillId="6" borderId="32" xfId="0" applyFont="1" applyFill="1" applyBorder="1" applyAlignment="1">
      <alignment horizontal="center" vertical="center" wrapText="1"/>
    </xf>
    <xf numFmtId="0" fontId="26" fillId="6" borderId="33" xfId="0" applyFont="1" applyFill="1" applyBorder="1" applyAlignment="1">
      <alignment horizontal="center" vertical="center" wrapText="1"/>
    </xf>
    <xf numFmtId="38" fontId="26" fillId="6" borderId="34" xfId="0" applyNumberFormat="1" applyFont="1" applyFill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6" fillId="0" borderId="36" xfId="0" applyFont="1" applyBorder="1" applyAlignment="1">
      <alignment vertical="center" wrapText="1"/>
    </xf>
    <xf numFmtId="0" fontId="22" fillId="0" borderId="37" xfId="0" applyFont="1" applyBorder="1" applyAlignment="1">
      <alignment horizontal="center" vertical="center" wrapText="1"/>
    </xf>
    <xf numFmtId="0" fontId="26" fillId="0" borderId="38" xfId="0" applyFont="1" applyBorder="1" applyAlignment="1">
      <alignment vertical="center" wrapText="1"/>
    </xf>
    <xf numFmtId="0" fontId="22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vertical="center" wrapText="1"/>
    </xf>
    <xf numFmtId="0" fontId="23" fillId="0" borderId="0" xfId="0" applyFont="1" applyAlignment="1"/>
    <xf numFmtId="0" fontId="6" fillId="0" borderId="22" xfId="0" applyFont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26" fillId="0" borderId="39" xfId="0" applyFont="1" applyBorder="1" applyAlignment="1">
      <alignment vertical="center" wrapText="1"/>
    </xf>
    <xf numFmtId="38" fontId="22" fillId="0" borderId="40" xfId="0" applyNumberFormat="1" applyFont="1" applyBorder="1" applyAlignment="1">
      <alignment horizontal="right" vertical="center" wrapText="1"/>
    </xf>
    <xf numFmtId="0" fontId="26" fillId="0" borderId="41" xfId="0" applyFont="1" applyBorder="1" applyAlignment="1">
      <alignment vertical="center" wrapText="1"/>
    </xf>
    <xf numFmtId="0" fontId="26" fillId="0" borderId="42" xfId="0" applyFont="1" applyBorder="1" applyAlignment="1">
      <alignment vertical="center" wrapText="1"/>
    </xf>
    <xf numFmtId="38" fontId="22" fillId="0" borderId="43" xfId="0" applyNumberFormat="1" applyFont="1" applyBorder="1" applyAlignment="1">
      <alignment horizontal="right" vertical="center" wrapText="1"/>
    </xf>
    <xf numFmtId="0" fontId="26" fillId="0" borderId="35" xfId="0" applyFont="1" applyBorder="1" applyAlignment="1">
      <alignment horizontal="center" vertical="center" wrapText="1"/>
    </xf>
    <xf numFmtId="3" fontId="6" fillId="0" borderId="16" xfId="0" applyNumberFormat="1" applyFont="1" applyFill="1" applyBorder="1" applyAlignment="1">
      <alignment vertical="center"/>
    </xf>
    <xf numFmtId="0" fontId="6" fillId="7" borderId="0" xfId="92" applyFont="1" applyFill="1" applyBorder="1" applyAlignment="1" applyProtection="1">
      <alignment vertical="center"/>
      <protection locked="0"/>
    </xf>
    <xf numFmtId="173" fontId="8" fillId="0" borderId="19" xfId="57" applyNumberFormat="1" applyFont="1" applyFill="1" applyBorder="1" applyAlignment="1">
      <alignment horizontal="right" vertical="center" shrinkToFit="1"/>
    </xf>
    <xf numFmtId="166" fontId="8" fillId="0" borderId="44" xfId="57" applyNumberFormat="1" applyFont="1" applyFill="1" applyBorder="1" applyAlignment="1">
      <alignment horizontal="right" vertical="center" shrinkToFit="1"/>
    </xf>
    <xf numFmtId="166" fontId="8" fillId="0" borderId="20" xfId="57" applyNumberFormat="1" applyFont="1" applyFill="1" applyBorder="1" applyAlignment="1">
      <alignment horizontal="right" vertical="center" shrinkToFit="1"/>
    </xf>
    <xf numFmtId="0" fontId="7" fillId="4" borderId="9" xfId="0" applyFont="1" applyFill="1" applyBorder="1" applyAlignment="1">
      <alignment horizontal="left" vertical="center"/>
    </xf>
    <xf numFmtId="0" fontId="7" fillId="0" borderId="15" xfId="0" applyFont="1" applyFill="1" applyBorder="1">
      <alignment vertical="center"/>
    </xf>
    <xf numFmtId="0" fontId="7" fillId="0" borderId="15" xfId="0" applyFont="1" applyFill="1" applyBorder="1" applyAlignment="1">
      <alignment horizontal="left" vertical="center"/>
    </xf>
    <xf numFmtId="224" fontId="7" fillId="0" borderId="15" xfId="57" applyNumberFormat="1" applyFont="1" applyFill="1" applyBorder="1">
      <alignment vertical="center"/>
    </xf>
    <xf numFmtId="165" fontId="7" fillId="0" borderId="15" xfId="57" applyFont="1" applyFill="1" applyBorder="1" applyAlignment="1">
      <alignment horizontal="center" vertical="center"/>
    </xf>
    <xf numFmtId="165" fontId="28" fillId="0" borderId="19" xfId="96" applyNumberFormat="1" applyFont="1" applyFill="1" applyBorder="1" applyAlignment="1">
      <alignment horizontal="justify" vertical="center"/>
    </xf>
    <xf numFmtId="165" fontId="8" fillId="0" borderId="19" xfId="0" applyNumberFormat="1" applyFont="1" applyFill="1" applyBorder="1" applyAlignment="1">
      <alignment horizontal="left" vertical="center" shrinkToFit="1"/>
    </xf>
    <xf numFmtId="231" fontId="8" fillId="0" borderId="19" xfId="0" applyNumberFormat="1" applyFont="1" applyFill="1" applyBorder="1" applyAlignment="1">
      <alignment horizontal="left" vertical="center" shrinkToFit="1"/>
    </xf>
    <xf numFmtId="166" fontId="8" fillId="0" borderId="19" xfId="57" applyNumberFormat="1" applyFont="1" applyFill="1" applyBorder="1" applyAlignment="1">
      <alignment horizontal="left" vertical="center" shrinkToFit="1"/>
    </xf>
    <xf numFmtId="233" fontId="8" fillId="0" borderId="19" xfId="57" applyNumberFormat="1" applyFont="1" applyFill="1" applyBorder="1" applyAlignment="1">
      <alignment horizontal="left" vertical="center" shrinkToFit="1"/>
    </xf>
    <xf numFmtId="232" fontId="8" fillId="0" borderId="19" xfId="57" applyNumberFormat="1" applyFont="1" applyFill="1" applyBorder="1" applyAlignment="1">
      <alignment horizontal="left" vertical="center" shrinkToFit="1"/>
    </xf>
    <xf numFmtId="231" fontId="8" fillId="0" borderId="19" xfId="57" applyNumberFormat="1" applyFont="1" applyFill="1" applyBorder="1" applyAlignment="1">
      <alignment horizontal="left" vertical="center" shrinkToFit="1"/>
    </xf>
    <xf numFmtId="233" fontId="8" fillId="0" borderId="19" xfId="0" applyNumberFormat="1" applyFont="1" applyFill="1" applyBorder="1" applyAlignment="1">
      <alignment horizontal="left" vertical="center" shrinkToFit="1"/>
    </xf>
    <xf numFmtId="216" fontId="8" fillId="0" borderId="19" xfId="0" applyNumberFormat="1" applyFont="1" applyFill="1" applyBorder="1" applyAlignment="1">
      <alignment horizontal="left" vertical="center" shrinkToFit="1"/>
    </xf>
    <xf numFmtId="217" fontId="8" fillId="0" borderId="19" xfId="0" applyNumberFormat="1" applyFont="1" applyFill="1" applyBorder="1" applyAlignment="1">
      <alignment horizontal="left" vertical="center" shrinkToFit="1"/>
    </xf>
    <xf numFmtId="217" fontId="17" fillId="0" borderId="19" xfId="0" applyNumberFormat="1" applyFont="1" applyFill="1" applyBorder="1" applyAlignment="1">
      <alignment horizontal="left" vertical="center" shrinkToFit="1"/>
    </xf>
    <xf numFmtId="233" fontId="8" fillId="0" borderId="0" xfId="57" applyNumberFormat="1" applyFont="1" applyFill="1" applyBorder="1" applyAlignment="1">
      <alignment horizontal="center" vertical="center" shrinkToFit="1"/>
    </xf>
    <xf numFmtId="232" fontId="8" fillId="0" borderId="0" xfId="57" applyNumberFormat="1" applyFont="1" applyFill="1" applyBorder="1" applyAlignment="1">
      <alignment horizontal="center" vertical="center" shrinkToFit="1"/>
    </xf>
    <xf numFmtId="166" fontId="30" fillId="0" borderId="0" xfId="0" applyNumberFormat="1" applyFont="1" applyFill="1" applyAlignment="1">
      <alignment vertical="center"/>
    </xf>
    <xf numFmtId="166" fontId="30" fillId="0" borderId="19" xfId="57" applyNumberFormat="1" applyFont="1" applyFill="1" applyBorder="1" applyAlignment="1">
      <alignment vertical="center" shrinkToFit="1"/>
    </xf>
    <xf numFmtId="179" fontId="30" fillId="0" borderId="19" xfId="57" applyNumberFormat="1" applyFont="1" applyFill="1" applyBorder="1" applyAlignment="1">
      <alignment vertical="center" shrinkToFit="1"/>
    </xf>
    <xf numFmtId="0" fontId="7" fillId="0" borderId="0" xfId="0" applyFont="1" applyFill="1" applyAlignment="1">
      <alignment horizontal="left" vertical="center"/>
    </xf>
    <xf numFmtId="0" fontId="6" fillId="0" borderId="16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left" vertical="center"/>
    </xf>
    <xf numFmtId="0" fontId="6" fillId="0" borderId="11" xfId="0" applyFont="1" applyFill="1" applyBorder="1" applyAlignment="1">
      <alignment horizontal="left" vertical="center"/>
    </xf>
    <xf numFmtId="0" fontId="6" fillId="0" borderId="12" xfId="0" applyFont="1" applyFill="1" applyBorder="1" applyAlignment="1">
      <alignment horizontal="left" vertical="center"/>
    </xf>
    <xf numFmtId="232" fontId="6" fillId="0" borderId="11" xfId="0" applyNumberFormat="1" applyFont="1" applyFill="1" applyBorder="1" applyAlignment="1">
      <alignment horizontal="left" vertical="center"/>
    </xf>
    <xf numFmtId="175" fontId="6" fillId="0" borderId="0" xfId="0" applyNumberFormat="1" applyFont="1" applyFill="1" applyBorder="1" applyAlignment="1">
      <alignment horizontal="right" vertical="center" shrinkToFit="1"/>
    </xf>
    <xf numFmtId="0" fontId="6" fillId="0" borderId="0" xfId="0" quotePrefix="1" applyFont="1" applyFill="1" applyBorder="1" applyAlignment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 shrinkToFit="1"/>
    </xf>
    <xf numFmtId="165" fontId="6" fillId="0" borderId="0" xfId="0" applyNumberFormat="1" applyFont="1" applyFill="1" applyBorder="1" applyAlignment="1">
      <alignment horizontal="left" vertical="center" shrinkToFit="1"/>
    </xf>
    <xf numFmtId="0" fontId="6" fillId="0" borderId="13" xfId="0" applyFont="1" applyFill="1" applyBorder="1" applyAlignment="1">
      <alignment horizontal="left" vertical="center"/>
    </xf>
    <xf numFmtId="0" fontId="6" fillId="0" borderId="14" xfId="0" applyFont="1" applyFill="1" applyBorder="1" applyAlignment="1">
      <alignment horizontal="left" vertical="center"/>
    </xf>
    <xf numFmtId="226" fontId="6" fillId="0" borderId="0" xfId="0" applyNumberFormat="1" applyFont="1" applyFill="1" applyBorder="1" applyAlignment="1">
      <alignment horizontal="left" vertical="center"/>
    </xf>
    <xf numFmtId="174" fontId="6" fillId="0" borderId="0" xfId="0" applyNumberFormat="1" applyFont="1" applyFill="1" applyBorder="1" applyAlignment="1">
      <alignment horizontal="right" vertical="center" shrinkToFit="1"/>
    </xf>
    <xf numFmtId="175" fontId="6" fillId="0" borderId="0" xfId="0" applyNumberFormat="1" applyFont="1" applyFill="1" applyBorder="1" applyAlignment="1">
      <alignment horizontal="center" vertical="center" shrinkToFit="1"/>
    </xf>
    <xf numFmtId="174" fontId="6" fillId="0" borderId="0" xfId="0" applyNumberFormat="1" applyFont="1" applyFill="1" applyBorder="1" applyAlignment="1">
      <alignment horizontal="center" vertical="center" shrinkToFit="1"/>
    </xf>
    <xf numFmtId="171" fontId="6" fillId="0" borderId="0" xfId="0" applyNumberFormat="1" applyFont="1" applyFill="1" applyBorder="1" applyAlignment="1">
      <alignment horizontal="right" vertical="center" shrinkToFit="1"/>
    </xf>
    <xf numFmtId="171" fontId="6" fillId="0" borderId="0" xfId="0" applyNumberFormat="1" applyFont="1" applyFill="1" applyBorder="1" applyAlignment="1">
      <alignment horizontal="center" vertical="center" shrinkToFit="1"/>
    </xf>
    <xf numFmtId="175" fontId="6" fillId="0" borderId="0" xfId="0" applyNumberFormat="1" applyFont="1" applyFill="1" applyBorder="1" applyAlignment="1">
      <alignment horizontal="left" vertical="center" shrinkToFit="1"/>
    </xf>
    <xf numFmtId="0" fontId="6" fillId="0" borderId="12" xfId="0" applyFont="1" applyFill="1" applyBorder="1" applyAlignment="1">
      <alignment horizontal="left" vertical="center" shrinkToFit="1"/>
    </xf>
    <xf numFmtId="185" fontId="6" fillId="0" borderId="12" xfId="0" applyNumberFormat="1" applyFont="1" applyFill="1" applyBorder="1" applyAlignment="1">
      <alignment horizontal="center" vertical="center" shrinkToFit="1"/>
    </xf>
    <xf numFmtId="184" fontId="6" fillId="0" borderId="12" xfId="0" applyNumberFormat="1" applyFont="1" applyFill="1" applyBorder="1" applyAlignment="1">
      <alignment horizontal="left" vertical="center" shrinkToFit="1"/>
    </xf>
    <xf numFmtId="184" fontId="6" fillId="0" borderId="0" xfId="0" applyNumberFormat="1" applyFont="1" applyFill="1" applyBorder="1" applyAlignment="1">
      <alignment horizontal="center" vertical="center" shrinkToFit="1"/>
    </xf>
    <xf numFmtId="175" fontId="6" fillId="0" borderId="0" xfId="0" applyNumberFormat="1" applyFont="1" applyFill="1" applyBorder="1" applyAlignment="1">
      <alignment horizontal="center" vertical="center"/>
    </xf>
    <xf numFmtId="174" fontId="6" fillId="0" borderId="0" xfId="0" applyNumberFormat="1" applyFont="1" applyFill="1" applyBorder="1" applyAlignment="1">
      <alignment horizontal="center" vertical="center"/>
    </xf>
    <xf numFmtId="223" fontId="6" fillId="0" borderId="0" xfId="0" applyNumberFormat="1" applyFont="1" applyFill="1" applyBorder="1" applyAlignment="1">
      <alignment horizontal="center" vertical="center" shrinkToFit="1"/>
    </xf>
    <xf numFmtId="0" fontId="33" fillId="0" borderId="0" xfId="0" applyFont="1" applyAlignment="1"/>
    <xf numFmtId="166" fontId="8" fillId="8" borderId="19" xfId="0" applyNumberFormat="1" applyFont="1" applyFill="1" applyBorder="1" applyAlignment="1">
      <alignment horizontal="center" vertical="center" shrinkToFit="1"/>
    </xf>
    <xf numFmtId="166" fontId="30" fillId="8" borderId="19" xfId="0" applyNumberFormat="1" applyFont="1" applyFill="1" applyBorder="1" applyAlignment="1">
      <alignment horizontal="center" vertical="center" shrinkToFit="1"/>
    </xf>
    <xf numFmtId="0" fontId="10" fillId="0" borderId="11" xfId="94" applyFont="1" applyBorder="1" applyAlignment="1">
      <alignment vertical="center"/>
    </xf>
    <xf numFmtId="0" fontId="10" fillId="0" borderId="0" xfId="94" applyFont="1" applyBorder="1" applyAlignment="1">
      <alignment vertical="center"/>
    </xf>
    <xf numFmtId="0" fontId="10" fillId="0" borderId="12" xfId="94" applyFont="1" applyBorder="1" applyAlignment="1">
      <alignment vertical="center"/>
    </xf>
    <xf numFmtId="0" fontId="10" fillId="0" borderId="13" xfId="94" applyFont="1" applyBorder="1" applyAlignment="1">
      <alignment vertical="center"/>
    </xf>
    <xf numFmtId="0" fontId="10" fillId="0" borderId="15" xfId="94" applyFont="1" applyBorder="1" applyAlignment="1">
      <alignment vertical="center"/>
    </xf>
    <xf numFmtId="0" fontId="10" fillId="0" borderId="14" xfId="94" applyFont="1" applyBorder="1" applyAlignment="1">
      <alignment vertical="center"/>
    </xf>
    <xf numFmtId="0" fontId="7" fillId="0" borderId="19" xfId="92" applyFont="1" applyFill="1" applyBorder="1" applyAlignment="1" applyProtection="1">
      <alignment horizontal="center" vertical="center"/>
      <protection locked="0"/>
    </xf>
    <xf numFmtId="0" fontId="7" fillId="0" borderId="19" xfId="92" applyFont="1" applyFill="1" applyBorder="1" applyAlignment="1" applyProtection="1">
      <alignment horizontal="center" vertical="center" shrinkToFit="1"/>
      <protection locked="0"/>
    </xf>
    <xf numFmtId="165" fontId="6" fillId="0" borderId="19" xfId="57" applyFont="1" applyBorder="1" applyAlignment="1" applyProtection="1">
      <alignment vertical="center"/>
      <protection locked="0"/>
    </xf>
    <xf numFmtId="0" fontId="6" fillId="0" borderId="19" xfId="92" applyFont="1" applyBorder="1" applyAlignment="1" applyProtection="1">
      <alignment horizontal="center" vertical="center"/>
      <protection locked="0"/>
    </xf>
    <xf numFmtId="165" fontId="6" fillId="0" borderId="19" xfId="57" applyFont="1" applyBorder="1" applyAlignment="1" applyProtection="1">
      <alignment horizontal="center" vertical="center"/>
      <protection locked="0"/>
    </xf>
    <xf numFmtId="165" fontId="6" fillId="0" borderId="19" xfId="57" applyFont="1" applyBorder="1" applyAlignment="1" applyProtection="1">
      <alignment horizontal="left" vertical="center"/>
      <protection locked="0"/>
    </xf>
    <xf numFmtId="0" fontId="6" fillId="0" borderId="19" xfId="92" applyFont="1" applyFill="1" applyBorder="1" applyAlignment="1" applyProtection="1">
      <alignment horizontal="center" vertical="center"/>
      <protection locked="0"/>
    </xf>
    <xf numFmtId="38" fontId="7" fillId="0" borderId="19" xfId="59" applyNumberFormat="1" applyFont="1" applyFill="1" applyBorder="1" applyAlignment="1" applyProtection="1">
      <alignment horizontal="right" vertical="center"/>
      <protection locked="0"/>
    </xf>
    <xf numFmtId="0" fontId="6" fillId="0" borderId="0" xfId="92" applyFont="1" applyBorder="1" applyAlignment="1" applyProtection="1">
      <alignment horizontal="center" vertical="center"/>
      <protection locked="0"/>
    </xf>
    <xf numFmtId="165" fontId="28" fillId="0" borderId="19" xfId="57" applyNumberFormat="1" applyFont="1" applyFill="1" applyBorder="1" applyAlignment="1">
      <alignment horizontal="center" vertical="center"/>
    </xf>
    <xf numFmtId="165" fontId="28" fillId="0" borderId="19" xfId="96" applyNumberFormat="1" applyFont="1" applyFill="1" applyBorder="1" applyAlignment="1">
      <alignment horizontal="center" vertical="center"/>
    </xf>
    <xf numFmtId="0" fontId="6" fillId="0" borderId="19" xfId="92" applyFont="1" applyBorder="1" applyAlignment="1" applyProtection="1">
      <alignment vertical="center"/>
      <protection locked="0"/>
    </xf>
    <xf numFmtId="0" fontId="6" fillId="0" borderId="19" xfId="92" applyFont="1" applyBorder="1" applyAlignment="1" applyProtection="1">
      <alignment vertical="center" shrinkToFit="1"/>
      <protection locked="0"/>
    </xf>
    <xf numFmtId="0" fontId="8" fillId="9" borderId="0" xfId="0" applyFont="1" applyFill="1" applyAlignment="1">
      <alignment vertical="center"/>
    </xf>
    <xf numFmtId="38" fontId="6" fillId="0" borderId="19" xfId="59" applyNumberFormat="1" applyFont="1" applyFill="1" applyBorder="1" applyAlignment="1" applyProtection="1">
      <alignment horizontal="right" vertical="center" shrinkToFit="1"/>
      <protection locked="0"/>
    </xf>
    <xf numFmtId="38" fontId="6" fillId="0" borderId="19" xfId="59" applyNumberFormat="1" applyFont="1" applyFill="1" applyBorder="1" applyAlignment="1" applyProtection="1">
      <alignment horizontal="right" vertical="center"/>
      <protection locked="0"/>
    </xf>
    <xf numFmtId="165" fontId="6" fillId="0" borderId="19" xfId="57" applyFont="1" applyFill="1" applyBorder="1" applyAlignment="1" applyProtection="1">
      <alignment horizontal="left" vertical="center"/>
      <protection locked="0"/>
    </xf>
    <xf numFmtId="186" fontId="6" fillId="0" borderId="19" xfId="59" applyFont="1" applyFill="1" applyBorder="1" applyAlignment="1" applyProtection="1">
      <alignment horizontal="center" vertical="center"/>
      <protection locked="0"/>
    </xf>
    <xf numFmtId="229" fontId="7" fillId="0" borderId="19" xfId="92" applyNumberFormat="1" applyFont="1" applyFill="1" applyBorder="1" applyAlignment="1" applyProtection="1">
      <alignment horizontal="right" vertical="center"/>
      <protection locked="0"/>
    </xf>
    <xf numFmtId="0" fontId="6" fillId="9" borderId="0" xfId="92" applyFont="1" applyFill="1" applyBorder="1" applyAlignment="1" applyProtection="1">
      <alignment vertical="center"/>
      <protection locked="0"/>
    </xf>
    <xf numFmtId="0" fontId="25" fillId="0" borderId="0" xfId="0" applyFont="1" applyAlignment="1"/>
    <xf numFmtId="0" fontId="22" fillId="0" borderId="45" xfId="0" applyFont="1" applyBorder="1" applyAlignment="1">
      <alignment horizontal="center" vertical="center" wrapText="1"/>
    </xf>
    <xf numFmtId="0" fontId="22" fillId="0" borderId="46" xfId="0" applyFont="1" applyBorder="1" applyAlignment="1">
      <alignment horizontal="center" vertical="center" wrapText="1"/>
    </xf>
    <xf numFmtId="0" fontId="26" fillId="0" borderId="47" xfId="0" applyFont="1" applyBorder="1" applyAlignment="1">
      <alignment vertical="center" wrapText="1"/>
    </xf>
    <xf numFmtId="0" fontId="22" fillId="0" borderId="48" xfId="0" applyFont="1" applyBorder="1" applyAlignment="1">
      <alignment horizontal="center" vertical="center" wrapText="1"/>
    </xf>
    <xf numFmtId="0" fontId="22" fillId="0" borderId="49" xfId="0" applyFont="1" applyBorder="1" applyAlignment="1">
      <alignment horizontal="center" vertical="center" wrapText="1"/>
    </xf>
    <xf numFmtId="0" fontId="26" fillId="0" borderId="50" xfId="0" applyFont="1" applyFill="1" applyBorder="1" applyAlignment="1">
      <alignment horizontal="center" vertical="center" wrapText="1"/>
    </xf>
    <xf numFmtId="0" fontId="26" fillId="0" borderId="51" xfId="0" applyFont="1" applyFill="1" applyBorder="1" applyAlignment="1">
      <alignment horizontal="center" vertical="center" wrapText="1"/>
    </xf>
    <xf numFmtId="38" fontId="26" fillId="0" borderId="53" xfId="0" applyNumberFormat="1" applyFont="1" applyFill="1" applyBorder="1" applyAlignment="1">
      <alignment horizontal="center" vertical="center" wrapText="1"/>
    </xf>
    <xf numFmtId="0" fontId="7" fillId="3" borderId="55" xfId="93" applyFont="1" applyFill="1" applyBorder="1" applyAlignment="1">
      <alignment horizontal="center" vertical="center"/>
    </xf>
    <xf numFmtId="0" fontId="7" fillId="0" borderId="56" xfId="93" applyFont="1" applyBorder="1" applyAlignment="1">
      <alignment horizontal="center" vertical="center"/>
    </xf>
    <xf numFmtId="0" fontId="7" fillId="0" borderId="57" xfId="93" applyFont="1" applyBorder="1" applyAlignment="1">
      <alignment horizontal="left" vertical="center"/>
    </xf>
    <xf numFmtId="0" fontId="6" fillId="0" borderId="57" xfId="93" applyFont="1" applyBorder="1" applyAlignment="1">
      <alignment vertical="center" shrinkToFit="1"/>
    </xf>
    <xf numFmtId="0" fontId="6" fillId="0" borderId="25" xfId="93" applyFont="1" applyBorder="1" applyAlignment="1">
      <alignment vertical="center" shrinkToFit="1"/>
    </xf>
    <xf numFmtId="0" fontId="6" fillId="0" borderId="19" xfId="93" applyFont="1" applyBorder="1" applyAlignment="1">
      <alignment vertical="center" shrinkToFit="1"/>
    </xf>
    <xf numFmtId="0" fontId="6" fillId="0" borderId="6" xfId="93" applyFont="1" applyBorder="1" applyAlignment="1">
      <alignment vertical="center" shrinkToFit="1"/>
    </xf>
    <xf numFmtId="0" fontId="6" fillId="0" borderId="27" xfId="93" applyFont="1" applyBorder="1" applyAlignment="1">
      <alignment vertical="center" shrinkToFit="1"/>
    </xf>
    <xf numFmtId="0" fontId="6" fillId="0" borderId="25" xfId="93" applyFont="1" applyBorder="1" applyAlignment="1">
      <alignment vertical="center"/>
    </xf>
    <xf numFmtId="0" fontId="6" fillId="0" borderId="6" xfId="93" applyFont="1" applyBorder="1" applyAlignment="1">
      <alignment vertical="center"/>
    </xf>
    <xf numFmtId="0" fontId="6" fillId="0" borderId="0" xfId="0" applyFont="1" applyFill="1" applyBorder="1">
      <alignment vertical="center"/>
    </xf>
    <xf numFmtId="224" fontId="6" fillId="0" borderId="0" xfId="57" applyNumberFormat="1" applyFont="1" applyFill="1" applyBorder="1">
      <alignment vertical="center"/>
    </xf>
    <xf numFmtId="0" fontId="7" fillId="0" borderId="17" xfId="0" applyFont="1" applyFill="1" applyBorder="1">
      <alignment vertical="center"/>
    </xf>
    <xf numFmtId="0" fontId="7" fillId="0" borderId="17" xfId="0" applyFont="1" applyFill="1" applyBorder="1" applyAlignment="1">
      <alignment horizontal="left" vertical="center"/>
    </xf>
    <xf numFmtId="224" fontId="7" fillId="0" borderId="17" xfId="57" applyNumberFormat="1" applyFont="1" applyFill="1" applyBorder="1">
      <alignment vertical="center"/>
    </xf>
    <xf numFmtId="165" fontId="7" fillId="0" borderId="17" xfId="57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59" fillId="4" borderId="9" xfId="0" applyFont="1" applyFill="1" applyBorder="1" applyAlignment="1">
      <alignment horizontal="left" vertical="center"/>
    </xf>
    <xf numFmtId="0" fontId="6" fillId="0" borderId="19" xfId="91" quotePrefix="1" applyFont="1" applyFill="1" applyBorder="1" applyAlignment="1">
      <alignment horizontal="left" vertical="center" shrinkToFit="1"/>
    </xf>
    <xf numFmtId="223" fontId="6" fillId="0" borderId="19" xfId="91" quotePrefix="1" applyNumberFormat="1" applyFont="1" applyFill="1" applyBorder="1" applyAlignment="1">
      <alignment horizontal="left" vertical="center" shrinkToFit="1"/>
    </xf>
    <xf numFmtId="0" fontId="6" fillId="0" borderId="19" xfId="91" applyFont="1" applyFill="1" applyBorder="1" applyAlignment="1">
      <alignment horizontal="center" vertical="center" shrinkToFit="1"/>
    </xf>
    <xf numFmtId="0" fontId="6" fillId="0" borderId="19" xfId="91" applyFont="1" applyFill="1" applyBorder="1" applyAlignment="1">
      <alignment horizontal="left" vertical="center" shrinkToFit="1"/>
    </xf>
    <xf numFmtId="38" fontId="6" fillId="0" borderId="19" xfId="59" applyNumberFormat="1" applyFont="1" applyFill="1" applyBorder="1" applyAlignment="1" applyProtection="1">
      <alignment horizontal="center" vertical="center" shrinkToFit="1"/>
      <protection locked="0"/>
    </xf>
    <xf numFmtId="166" fontId="6" fillId="0" borderId="0" xfId="95" quotePrefix="1" applyNumberFormat="1" applyFont="1" applyBorder="1" applyAlignment="1">
      <alignment vertical="center"/>
    </xf>
    <xf numFmtId="209" fontId="6" fillId="0" borderId="0" xfId="95" applyNumberFormat="1" applyFont="1" applyBorder="1" applyAlignment="1">
      <alignment horizontal="left" vertical="center"/>
    </xf>
    <xf numFmtId="0" fontId="6" fillId="10" borderId="0" xfId="95" applyFont="1" applyFill="1" applyBorder="1" applyAlignment="1">
      <alignment vertical="center"/>
    </xf>
    <xf numFmtId="0" fontId="6" fillId="0" borderId="0" xfId="95" applyFont="1" applyFill="1" applyBorder="1" applyAlignment="1">
      <alignment vertical="center"/>
    </xf>
    <xf numFmtId="0" fontId="6" fillId="10" borderId="0" xfId="95" applyFont="1" applyFill="1" applyBorder="1" applyAlignment="1">
      <alignment horizontal="center" vertical="center"/>
    </xf>
    <xf numFmtId="0" fontId="6" fillId="10" borderId="12" xfId="95" applyFont="1" applyFill="1" applyBorder="1" applyAlignment="1">
      <alignment vertical="center"/>
    </xf>
    <xf numFmtId="0" fontId="7" fillId="0" borderId="11" xfId="95" applyFont="1" applyBorder="1" applyAlignment="1">
      <alignment vertical="center"/>
    </xf>
    <xf numFmtId="0" fontId="7" fillId="0" borderId="11" xfId="95" applyFont="1" applyFill="1" applyBorder="1" applyAlignment="1">
      <alignment vertical="center"/>
    </xf>
    <xf numFmtId="0" fontId="7" fillId="10" borderId="11" xfId="95" applyFont="1" applyFill="1" applyBorder="1" applyAlignment="1">
      <alignment vertical="center"/>
    </xf>
    <xf numFmtId="0" fontId="6" fillId="0" borderId="12" xfId="95" applyFont="1" applyFill="1" applyBorder="1" applyAlignment="1">
      <alignment vertical="center"/>
    </xf>
    <xf numFmtId="0" fontId="7" fillId="0" borderId="58" xfId="95" applyFont="1" applyFill="1" applyBorder="1" applyAlignment="1">
      <alignment vertical="center"/>
    </xf>
    <xf numFmtId="0" fontId="6" fillId="0" borderId="59" xfId="95" applyFont="1" applyFill="1" applyBorder="1" applyAlignment="1">
      <alignment vertical="center"/>
    </xf>
    <xf numFmtId="0" fontId="6" fillId="0" borderId="59" xfId="95" applyFont="1" applyBorder="1" applyAlignment="1">
      <alignment vertical="center"/>
    </xf>
    <xf numFmtId="0" fontId="6" fillId="0" borderId="60" xfId="95" applyFont="1" applyBorder="1" applyAlignment="1">
      <alignment vertical="center"/>
    </xf>
    <xf numFmtId="0" fontId="6" fillId="0" borderId="59" xfId="95" applyFont="1" applyBorder="1" applyAlignment="1">
      <alignment horizontal="center" vertical="center"/>
    </xf>
    <xf numFmtId="0" fontId="6" fillId="0" borderId="61" xfId="95" applyFont="1" applyBorder="1" applyAlignment="1">
      <alignment vertical="center"/>
    </xf>
    <xf numFmtId="0" fontId="6" fillId="0" borderId="62" xfId="95" applyFont="1" applyBorder="1" applyAlignment="1">
      <alignment vertical="center"/>
    </xf>
    <xf numFmtId="0" fontId="6" fillId="0" borderId="63" xfId="95" applyFont="1" applyBorder="1" applyAlignment="1">
      <alignment vertical="center"/>
    </xf>
    <xf numFmtId="0" fontId="6" fillId="0" borderId="60" xfId="95" applyFont="1" applyFill="1" applyBorder="1" applyAlignment="1">
      <alignment vertical="center"/>
    </xf>
    <xf numFmtId="0" fontId="6" fillId="0" borderId="62" xfId="95" quotePrefix="1" applyFont="1" applyBorder="1" applyAlignment="1">
      <alignment vertical="center"/>
    </xf>
    <xf numFmtId="166" fontId="6" fillId="0" borderId="62" xfId="95" applyNumberFormat="1" applyFont="1" applyBorder="1" applyAlignment="1">
      <alignment horizontal="center" vertical="center"/>
    </xf>
    <xf numFmtId="0" fontId="6" fillId="0" borderId="62" xfId="95" applyFont="1" applyBorder="1" applyAlignment="1">
      <alignment horizontal="center" vertical="center"/>
    </xf>
    <xf numFmtId="179" fontId="6" fillId="0" borderId="62" xfId="95" applyNumberFormat="1" applyFont="1" applyBorder="1" applyAlignment="1">
      <alignment horizontal="center" vertical="center"/>
    </xf>
    <xf numFmtId="0" fontId="6" fillId="0" borderId="17" xfId="95" applyFont="1" applyBorder="1" applyAlignment="1">
      <alignment horizontal="center" vertical="center"/>
    </xf>
    <xf numFmtId="0" fontId="6" fillId="10" borderId="0" xfId="95" applyFont="1" applyFill="1" applyBorder="1" applyAlignment="1">
      <alignment horizontal="right" vertical="center"/>
    </xf>
    <xf numFmtId="223" fontId="6" fillId="10" borderId="0" xfId="95" applyNumberFormat="1" applyFont="1" applyFill="1" applyBorder="1" applyAlignment="1">
      <alignment vertical="center" shrinkToFit="1"/>
    </xf>
    <xf numFmtId="49" fontId="7" fillId="10" borderId="11" xfId="95" applyNumberFormat="1" applyFont="1" applyFill="1" applyBorder="1" applyAlignment="1">
      <alignment horizontal="right" vertical="center"/>
    </xf>
    <xf numFmtId="0" fontId="7" fillId="10" borderId="0" xfId="95" applyFont="1" applyFill="1" applyBorder="1" applyAlignment="1">
      <alignment vertical="center"/>
    </xf>
    <xf numFmtId="49" fontId="7" fillId="0" borderId="11" xfId="95" applyNumberFormat="1" applyFont="1" applyBorder="1" applyAlignment="1">
      <alignment horizontal="right" vertical="center"/>
    </xf>
    <xf numFmtId="0" fontId="7" fillId="10" borderId="11" xfId="95" applyFont="1" applyFill="1" applyBorder="1" applyAlignment="1">
      <alignment horizontal="center" vertical="center"/>
    </xf>
    <xf numFmtId="0" fontId="7" fillId="10" borderId="11" xfId="95" quotePrefix="1" applyFont="1" applyFill="1" applyBorder="1" applyAlignment="1">
      <alignment horizontal="right" vertical="center"/>
    </xf>
    <xf numFmtId="0" fontId="7" fillId="10" borderId="0" xfId="95" quotePrefix="1" applyFont="1" applyFill="1" applyBorder="1" applyAlignment="1">
      <alignment horizontal="right" vertical="center"/>
    </xf>
    <xf numFmtId="49" fontId="7" fillId="0" borderId="11" xfId="95" applyNumberFormat="1" applyFont="1" applyFill="1" applyBorder="1" applyAlignment="1">
      <alignment horizontal="right" vertical="center"/>
    </xf>
    <xf numFmtId="0" fontId="7" fillId="0" borderId="0" xfId="95" applyFont="1" applyFill="1" applyBorder="1" applyAlignment="1">
      <alignment vertical="center"/>
    </xf>
    <xf numFmtId="49" fontId="7" fillId="0" borderId="58" xfId="95" applyNumberFormat="1" applyFont="1" applyBorder="1" applyAlignment="1">
      <alignment horizontal="right" vertical="center"/>
    </xf>
    <xf numFmtId="0" fontId="7" fillId="0" borderId="59" xfId="95" applyFont="1" applyBorder="1" applyAlignment="1">
      <alignment vertical="center"/>
    </xf>
    <xf numFmtId="0" fontId="6" fillId="0" borderId="59" xfId="95" applyFont="1" applyBorder="1" applyAlignment="1">
      <alignment horizontal="right" vertical="center"/>
    </xf>
    <xf numFmtId="166" fontId="6" fillId="0" borderId="0" xfId="95" applyNumberFormat="1" applyFont="1" applyBorder="1" applyAlignment="1">
      <alignment horizontal="left" vertical="center"/>
    </xf>
    <xf numFmtId="0" fontId="6" fillId="0" borderId="64" xfId="91" applyFont="1" applyBorder="1" applyAlignment="1">
      <alignment horizontal="center" vertical="center" shrinkToFit="1"/>
    </xf>
    <xf numFmtId="2" fontId="6" fillId="0" borderId="64" xfId="91" applyNumberFormat="1" applyFont="1" applyBorder="1" applyAlignment="1">
      <alignment horizontal="left" vertical="center" shrinkToFit="1"/>
    </xf>
    <xf numFmtId="165" fontId="6" fillId="0" borderId="64" xfId="57" applyFont="1" applyBorder="1" applyAlignment="1">
      <alignment vertical="center"/>
    </xf>
    <xf numFmtId="181" fontId="6" fillId="0" borderId="65" xfId="91" applyNumberFormat="1" applyFont="1" applyBorder="1" applyAlignment="1">
      <alignment vertical="center"/>
    </xf>
    <xf numFmtId="165" fontId="6" fillId="0" borderId="64" xfId="57" quotePrefix="1" applyNumberFormat="1" applyFont="1" applyBorder="1" applyAlignment="1">
      <alignment horizontal="centerContinuous" vertical="center"/>
    </xf>
    <xf numFmtId="0" fontId="6" fillId="0" borderId="64" xfId="91" applyFont="1" applyFill="1" applyBorder="1" applyAlignment="1">
      <alignment horizontal="right" vertical="center"/>
    </xf>
    <xf numFmtId="182" fontId="6" fillId="0" borderId="64" xfId="91" applyNumberFormat="1" applyFont="1" applyFill="1" applyBorder="1" applyAlignment="1">
      <alignment vertical="center"/>
    </xf>
    <xf numFmtId="0" fontId="6" fillId="0" borderId="66" xfId="91" applyFont="1" applyFill="1" applyBorder="1" applyAlignment="1">
      <alignment vertical="center"/>
    </xf>
    <xf numFmtId="165" fontId="6" fillId="0" borderId="19" xfId="57" quotePrefix="1" applyNumberFormat="1" applyFont="1" applyBorder="1" applyAlignment="1">
      <alignment horizontal="centerContinuous" vertical="center"/>
    </xf>
    <xf numFmtId="0" fontId="6" fillId="0" borderId="19" xfId="91" applyFont="1" applyFill="1" applyBorder="1" applyAlignment="1">
      <alignment vertical="center"/>
    </xf>
    <xf numFmtId="182" fontId="6" fillId="0" borderId="19" xfId="91" applyNumberFormat="1" applyFont="1" applyFill="1" applyBorder="1" applyAlignment="1">
      <alignment horizontal="left" vertical="center"/>
    </xf>
    <xf numFmtId="49" fontId="8" fillId="0" borderId="19" xfId="0" applyNumberFormat="1" applyFont="1" applyFill="1" applyBorder="1" applyAlignment="1">
      <alignment horizontal="center" vertical="center" shrinkToFit="1"/>
    </xf>
    <xf numFmtId="182" fontId="6" fillId="0" borderId="19" xfId="91" quotePrefix="1" applyNumberFormat="1" applyFont="1" applyFill="1" applyBorder="1" applyAlignment="1">
      <alignment horizontal="right" vertical="center"/>
    </xf>
    <xf numFmtId="0" fontId="6" fillId="6" borderId="26" xfId="91" quotePrefix="1" applyFont="1" applyFill="1" applyBorder="1" applyAlignment="1">
      <alignment horizontal="left" vertical="center" shrinkToFit="1"/>
    </xf>
    <xf numFmtId="0" fontId="6" fillId="6" borderId="30" xfId="91" quotePrefix="1" applyFont="1" applyFill="1" applyBorder="1" applyAlignment="1">
      <alignment horizontal="left" vertical="center" shrinkToFit="1"/>
    </xf>
    <xf numFmtId="0" fontId="6" fillId="6" borderId="30" xfId="91" applyFont="1" applyFill="1" applyBorder="1" applyAlignment="1">
      <alignment horizontal="left" vertical="center" shrinkToFit="1"/>
    </xf>
    <xf numFmtId="0" fontId="61" fillId="0" borderId="0" xfId="0" applyFont="1" applyBorder="1">
      <alignment vertical="center"/>
    </xf>
    <xf numFmtId="38" fontId="62" fillId="0" borderId="54" xfId="0" applyNumberFormat="1" applyFont="1" applyFill="1" applyBorder="1" applyAlignment="1">
      <alignment horizontal="right" vertical="center" wrapText="1"/>
    </xf>
    <xf numFmtId="38" fontId="62" fillId="0" borderId="68" xfId="0" applyNumberFormat="1" applyFont="1" applyFill="1" applyBorder="1" applyAlignment="1">
      <alignment horizontal="right" vertical="center" wrapText="1"/>
    </xf>
    <xf numFmtId="180" fontId="63" fillId="0" borderId="0" xfId="57" applyNumberFormat="1" applyFont="1" applyAlignment="1">
      <alignment horizontal="left" vertical="center"/>
    </xf>
    <xf numFmtId="0" fontId="7" fillId="0" borderId="0" xfId="92" applyFont="1" applyBorder="1" applyAlignment="1" applyProtection="1">
      <alignment vertical="center"/>
      <protection locked="0"/>
    </xf>
    <xf numFmtId="166" fontId="8" fillId="0" borderId="19" xfId="57" applyNumberFormat="1" applyFont="1" applyFill="1" applyBorder="1" applyAlignment="1">
      <alignment horizontal="right" vertical="center" shrinkToFit="1"/>
    </xf>
    <xf numFmtId="0" fontId="17" fillId="0" borderId="0" xfId="0" applyFont="1" applyFill="1" applyAlignment="1">
      <alignment horizontal="left" vertical="center"/>
    </xf>
    <xf numFmtId="165" fontId="17" fillId="0" borderId="0" xfId="57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49" fontId="8" fillId="0" borderId="19" xfId="0" applyNumberFormat="1" applyFont="1" applyFill="1" applyBorder="1" applyAlignment="1">
      <alignment horizontal="left" vertical="center" shrinkToFit="1"/>
    </xf>
    <xf numFmtId="165" fontId="8" fillId="0" borderId="19" xfId="57" applyFont="1" applyFill="1" applyBorder="1" applyAlignment="1">
      <alignment horizontal="center" vertical="center" shrinkToFit="1"/>
    </xf>
    <xf numFmtId="167" fontId="8" fillId="0" borderId="19" xfId="57" applyNumberFormat="1" applyFont="1" applyFill="1" applyBorder="1" applyAlignment="1">
      <alignment horizontal="right" vertical="center" shrinkToFit="1"/>
    </xf>
    <xf numFmtId="216" fontId="8" fillId="0" borderId="19" xfId="0" applyNumberFormat="1" applyFont="1" applyFill="1" applyBorder="1" applyAlignment="1">
      <alignment horizontal="left" vertical="center" shrinkToFit="1"/>
    </xf>
    <xf numFmtId="166" fontId="30" fillId="0" borderId="19" xfId="57" applyNumberFormat="1" applyFont="1" applyFill="1" applyBorder="1" applyAlignment="1">
      <alignment vertical="center" shrinkToFit="1"/>
    </xf>
    <xf numFmtId="0" fontId="8" fillId="0" borderId="21" xfId="0" applyFont="1" applyFill="1" applyBorder="1" applyAlignment="1">
      <alignment vertical="center" shrinkToFit="1"/>
    </xf>
    <xf numFmtId="0" fontId="8" fillId="0" borderId="20" xfId="0" applyFont="1" applyFill="1" applyBorder="1" applyAlignment="1">
      <alignment vertical="center" shrinkToFit="1"/>
    </xf>
    <xf numFmtId="165" fontId="8" fillId="0" borderId="19" xfId="57" applyFont="1" applyFill="1" applyBorder="1" applyAlignment="1">
      <alignment horizontal="right" vertical="center" shrinkToFit="1"/>
    </xf>
    <xf numFmtId="166" fontId="7" fillId="0" borderId="7" xfId="92" applyNumberFormat="1" applyFont="1" applyBorder="1" applyAlignment="1">
      <alignment vertical="center"/>
    </xf>
    <xf numFmtId="166" fontId="7" fillId="0" borderId="94" xfId="92" applyNumberFormat="1" applyFont="1" applyBorder="1" applyAlignment="1">
      <alignment vertical="center"/>
    </xf>
    <xf numFmtId="166" fontId="7" fillId="0" borderId="20" xfId="92" applyNumberFormat="1" applyFont="1" applyBorder="1" applyAlignment="1">
      <alignment vertical="center"/>
    </xf>
    <xf numFmtId="166" fontId="7" fillId="0" borderId="93" xfId="92" applyNumberFormat="1" applyFont="1" applyBorder="1" applyAlignment="1">
      <alignment vertical="center"/>
    </xf>
    <xf numFmtId="166" fontId="7" fillId="0" borderId="92" xfId="92" applyNumberFormat="1" applyFont="1" applyBorder="1" applyAlignment="1">
      <alignment vertical="center"/>
    </xf>
    <xf numFmtId="0" fontId="6" fillId="0" borderId="72" xfId="93" applyFont="1" applyBorder="1" applyAlignment="1">
      <alignment horizontal="center" vertical="center"/>
    </xf>
    <xf numFmtId="0" fontId="6" fillId="0" borderId="91" xfId="93" applyFont="1" applyBorder="1" applyAlignment="1">
      <alignment horizontal="center" vertical="center"/>
    </xf>
    <xf numFmtId="0" fontId="6" fillId="0" borderId="21" xfId="93" applyFont="1" applyBorder="1" applyAlignment="1">
      <alignment horizontal="center" vertical="center"/>
    </xf>
    <xf numFmtId="0" fontId="6" fillId="0" borderId="90" xfId="93" applyFont="1" applyBorder="1" applyAlignment="1">
      <alignment horizontal="center" vertical="center"/>
    </xf>
    <xf numFmtId="0" fontId="6" fillId="0" borderId="81" xfId="93" applyFont="1" applyBorder="1" applyAlignment="1">
      <alignment horizontal="center" vertical="center"/>
    </xf>
    <xf numFmtId="0" fontId="8" fillId="0" borderId="0" xfId="0" applyFont="1" applyFill="1">
      <alignment vertical="center"/>
    </xf>
    <xf numFmtId="0" fontId="8" fillId="0" borderId="19" xfId="0" applyFont="1" applyFill="1" applyBorder="1" applyAlignment="1">
      <alignment horizontal="center" vertical="center" shrinkToFit="1"/>
    </xf>
    <xf numFmtId="165" fontId="8" fillId="0" borderId="19" xfId="57" applyFont="1" applyFill="1" applyBorder="1" applyAlignment="1">
      <alignment horizontal="left" vertical="center" shrinkToFit="1"/>
    </xf>
    <xf numFmtId="49" fontId="8" fillId="0" borderId="19" xfId="0" applyNumberFormat="1" applyFont="1" applyFill="1" applyBorder="1" applyAlignment="1">
      <alignment vertical="center" shrinkToFit="1"/>
    </xf>
    <xf numFmtId="171" fontId="8" fillId="0" borderId="19" xfId="0" applyNumberFormat="1" applyFont="1" applyFill="1" applyBorder="1" applyAlignment="1">
      <alignment horizontal="center" vertical="center" shrinkToFit="1"/>
    </xf>
    <xf numFmtId="166" fontId="8" fillId="0" borderId="19" xfId="57" applyNumberFormat="1" applyFont="1" applyFill="1" applyBorder="1" applyAlignment="1">
      <alignment horizontal="right" vertical="center" shrinkToFit="1"/>
    </xf>
    <xf numFmtId="218" fontId="8" fillId="0" borderId="19" xfId="0" applyNumberFormat="1" applyFont="1" applyFill="1" applyBorder="1" applyAlignment="1">
      <alignment horizontal="center" vertical="center" shrinkToFit="1"/>
    </xf>
    <xf numFmtId="0" fontId="8" fillId="0" borderId="0" xfId="0" applyFont="1" applyFill="1" applyAlignment="1">
      <alignment vertical="center"/>
    </xf>
    <xf numFmtId="49" fontId="8" fillId="0" borderId="19" xfId="0" applyNumberFormat="1" applyFont="1" applyFill="1" applyBorder="1" applyAlignment="1">
      <alignment horizontal="left" vertical="center" shrinkToFit="1"/>
    </xf>
    <xf numFmtId="165" fontId="8" fillId="0" borderId="19" xfId="57" applyFont="1" applyFill="1" applyBorder="1" applyAlignment="1">
      <alignment horizontal="center" vertical="center" shrinkToFit="1"/>
    </xf>
    <xf numFmtId="167" fontId="8" fillId="0" borderId="19" xfId="57" applyNumberFormat="1" applyFont="1" applyFill="1" applyBorder="1" applyAlignment="1">
      <alignment horizontal="right" vertical="center" shrinkToFit="1"/>
    </xf>
    <xf numFmtId="168" fontId="8" fillId="0" borderId="19" xfId="57" applyNumberFormat="1" applyFont="1" applyFill="1" applyBorder="1" applyAlignment="1">
      <alignment horizontal="right" vertical="center" shrinkToFit="1"/>
    </xf>
    <xf numFmtId="193" fontId="17" fillId="0" borderId="21" xfId="0" applyNumberFormat="1" applyFont="1" applyFill="1" applyBorder="1" applyAlignment="1">
      <alignment horizontal="left" vertical="center" shrinkToFit="1"/>
    </xf>
    <xf numFmtId="165" fontId="8" fillId="0" borderId="19" xfId="0" applyNumberFormat="1" applyFont="1" applyFill="1" applyBorder="1" applyAlignment="1">
      <alignment horizontal="left" vertical="center" shrinkToFit="1"/>
    </xf>
    <xf numFmtId="216" fontId="8" fillId="0" borderId="19" xfId="0" applyNumberFormat="1" applyFont="1" applyFill="1" applyBorder="1" applyAlignment="1">
      <alignment horizontal="left" vertical="center" shrinkToFit="1"/>
    </xf>
    <xf numFmtId="166" fontId="30" fillId="0" borderId="19" xfId="57" applyNumberFormat="1" applyFont="1" applyFill="1" applyBorder="1" applyAlignment="1">
      <alignment vertical="center" shrinkToFit="1"/>
    </xf>
    <xf numFmtId="179" fontId="30" fillId="0" borderId="19" xfId="57" applyNumberFormat="1" applyFont="1" applyFill="1" applyBorder="1" applyAlignment="1">
      <alignment vertical="center" shrinkToFit="1"/>
    </xf>
    <xf numFmtId="165" fontId="6" fillId="0" borderId="19" xfId="57" applyFont="1" applyBorder="1" applyAlignment="1" applyProtection="1">
      <alignment vertical="center"/>
      <protection locked="0"/>
    </xf>
    <xf numFmtId="0" fontId="6" fillId="0" borderId="19" xfId="92" applyFont="1" applyBorder="1" applyAlignment="1" applyProtection="1">
      <alignment horizontal="center" vertical="center"/>
      <protection locked="0"/>
    </xf>
    <xf numFmtId="165" fontId="6" fillId="0" borderId="19" xfId="57" applyFont="1" applyBorder="1" applyAlignment="1" applyProtection="1">
      <alignment horizontal="center" vertical="center"/>
      <protection locked="0"/>
    </xf>
    <xf numFmtId="165" fontId="6" fillId="0" borderId="19" xfId="57" applyFont="1" applyBorder="1" applyAlignment="1" applyProtection="1">
      <alignment horizontal="left" vertical="center"/>
      <protection locked="0"/>
    </xf>
    <xf numFmtId="0" fontId="6" fillId="0" borderId="19" xfId="92" applyFont="1" applyFill="1" applyBorder="1" applyAlignment="1" applyProtection="1">
      <alignment horizontal="center" vertical="center"/>
      <protection locked="0"/>
    </xf>
    <xf numFmtId="0" fontId="6" fillId="0" borderId="19" xfId="92" applyFont="1" applyBorder="1" applyAlignment="1" applyProtection="1">
      <alignment vertical="center"/>
      <protection locked="0"/>
    </xf>
    <xf numFmtId="0" fontId="6" fillId="0" borderId="19" xfId="92" applyFont="1" applyBorder="1" applyAlignment="1" applyProtection="1">
      <alignment vertical="center" shrinkToFit="1"/>
      <protection locked="0"/>
    </xf>
    <xf numFmtId="165" fontId="6" fillId="0" borderId="19" xfId="57" applyFont="1" applyBorder="1" applyAlignment="1" applyProtection="1">
      <alignment vertical="center" wrapText="1"/>
      <protection locked="0"/>
    </xf>
    <xf numFmtId="165" fontId="6" fillId="0" borderId="19" xfId="57" applyFont="1" applyFill="1" applyBorder="1" applyAlignment="1" applyProtection="1">
      <alignment vertical="center"/>
      <protection locked="0"/>
    </xf>
    <xf numFmtId="38" fontId="6" fillId="0" borderId="19" xfId="92" applyNumberFormat="1" applyFont="1" applyBorder="1" applyAlignment="1" applyProtection="1">
      <alignment horizontal="right" vertical="center" shrinkToFit="1"/>
      <protection locked="0"/>
    </xf>
    <xf numFmtId="38" fontId="6" fillId="0" borderId="19" xfId="92" applyNumberFormat="1" applyFont="1" applyBorder="1" applyAlignment="1" applyProtection="1">
      <alignment horizontal="right" vertical="center"/>
      <protection locked="0"/>
    </xf>
    <xf numFmtId="38" fontId="6" fillId="0" borderId="19" xfId="92" applyNumberFormat="1" applyFont="1" applyFill="1" applyBorder="1" applyAlignment="1" applyProtection="1">
      <alignment horizontal="right" vertical="center" shrinkToFit="1"/>
      <protection locked="0"/>
    </xf>
    <xf numFmtId="38" fontId="6" fillId="0" borderId="19" xfId="92" applyNumberFormat="1" applyFont="1" applyFill="1" applyBorder="1" applyAlignment="1" applyProtection="1">
      <alignment horizontal="right" vertical="center"/>
      <protection locked="0"/>
    </xf>
    <xf numFmtId="38" fontId="6" fillId="0" borderId="19" xfId="59" applyNumberFormat="1" applyFont="1" applyFill="1" applyBorder="1" applyAlignment="1" applyProtection="1">
      <alignment horizontal="right" vertical="center" shrinkToFit="1"/>
      <protection locked="0"/>
    </xf>
    <xf numFmtId="38" fontId="6" fillId="0" borderId="19" xfId="59" applyNumberFormat="1" applyFont="1" applyFill="1" applyBorder="1" applyAlignment="1" applyProtection="1">
      <alignment horizontal="right" vertical="center"/>
      <protection locked="0"/>
    </xf>
    <xf numFmtId="38" fontId="8" fillId="0" borderId="19" xfId="92" applyNumberFormat="1" applyFont="1" applyBorder="1" applyAlignment="1" applyProtection="1">
      <alignment horizontal="right" vertical="center" shrinkToFit="1"/>
      <protection locked="0"/>
    </xf>
    <xf numFmtId="229" fontId="6" fillId="0" borderId="19" xfId="92" applyNumberFormat="1" applyFont="1" applyBorder="1" applyAlignment="1" applyProtection="1">
      <alignment horizontal="right" vertical="center"/>
      <protection locked="0"/>
    </xf>
    <xf numFmtId="165" fontId="6" fillId="7" borderId="19" xfId="57" applyFont="1" applyFill="1" applyBorder="1" applyAlignment="1" applyProtection="1">
      <alignment vertical="center"/>
      <protection locked="0"/>
    </xf>
    <xf numFmtId="0" fontId="6" fillId="7" borderId="19" xfId="92" applyFont="1" applyFill="1" applyBorder="1" applyAlignment="1" applyProtection="1">
      <alignment horizontal="center" vertical="center"/>
      <protection locked="0"/>
    </xf>
    <xf numFmtId="38" fontId="6" fillId="7" borderId="19" xfId="92" applyNumberFormat="1" applyFont="1" applyFill="1" applyBorder="1" applyAlignment="1" applyProtection="1">
      <alignment horizontal="right" vertical="center" shrinkToFit="1"/>
      <protection locked="0"/>
    </xf>
    <xf numFmtId="38" fontId="6" fillId="7" borderId="19" xfId="92" applyNumberFormat="1" applyFont="1" applyFill="1" applyBorder="1" applyAlignment="1" applyProtection="1">
      <alignment horizontal="right" vertical="center"/>
      <protection locked="0"/>
    </xf>
    <xf numFmtId="165" fontId="6" fillId="0" borderId="19" xfId="57" applyFont="1" applyFill="1" applyBorder="1" applyAlignment="1" applyProtection="1">
      <alignment horizontal="left" vertical="center"/>
      <protection locked="0"/>
    </xf>
    <xf numFmtId="186" fontId="6" fillId="0" borderId="19" xfId="59" applyFont="1" applyFill="1" applyBorder="1" applyAlignment="1" applyProtection="1">
      <alignment horizontal="center" vertical="center"/>
      <protection locked="0"/>
    </xf>
    <xf numFmtId="165" fontId="6" fillId="0" borderId="19" xfId="57" applyFont="1" applyFill="1" applyBorder="1" applyAlignment="1" applyProtection="1">
      <alignment vertical="center" wrapText="1"/>
      <protection locked="0"/>
    </xf>
    <xf numFmtId="38" fontId="6" fillId="0" borderId="19" xfId="59" applyNumberFormat="1" applyFont="1" applyBorder="1" applyAlignment="1" applyProtection="1">
      <alignment horizontal="right" vertical="center" shrinkToFit="1"/>
      <protection locked="0"/>
    </xf>
    <xf numFmtId="38" fontId="6" fillId="0" borderId="19" xfId="59" applyNumberFormat="1" applyFont="1" applyBorder="1" applyAlignment="1" applyProtection="1">
      <alignment horizontal="right" vertical="center"/>
      <protection locked="0"/>
    </xf>
    <xf numFmtId="165" fontId="6" fillId="0" borderId="19" xfId="57" applyFont="1" applyBorder="1" applyAlignment="1">
      <alignment horizontal="left" vertical="center"/>
    </xf>
    <xf numFmtId="229" fontId="6" fillId="0" borderId="19" xfId="92" applyNumberFormat="1" applyFont="1" applyFill="1" applyBorder="1" applyAlignment="1" applyProtection="1">
      <alignment horizontal="right" vertical="center"/>
      <protection locked="0"/>
    </xf>
    <xf numFmtId="229" fontId="7" fillId="0" borderId="19" xfId="92" applyNumberFormat="1" applyFont="1" applyFill="1" applyBorder="1" applyAlignment="1" applyProtection="1">
      <alignment horizontal="right" vertical="center"/>
      <protection locked="0"/>
    </xf>
    <xf numFmtId="165" fontId="6" fillId="0" borderId="19" xfId="57" applyFont="1" applyFill="1" applyBorder="1" applyAlignment="1">
      <alignment horizontal="left" vertical="center"/>
    </xf>
    <xf numFmtId="166" fontId="6" fillId="0" borderId="19" xfId="57" applyNumberFormat="1" applyFont="1" applyBorder="1" applyAlignment="1" applyProtection="1">
      <alignment horizontal="center" vertical="center"/>
      <protection locked="0"/>
    </xf>
    <xf numFmtId="165" fontId="6" fillId="7" borderId="19" xfId="57" applyFont="1" applyFill="1" applyBorder="1" applyAlignment="1" applyProtection="1">
      <alignment vertical="center" shrinkToFit="1"/>
      <protection locked="0"/>
    </xf>
    <xf numFmtId="229" fontId="7" fillId="7" borderId="19" xfId="92" applyNumberFormat="1" applyFont="1" applyFill="1" applyBorder="1" applyAlignment="1" applyProtection="1">
      <alignment horizontal="right" vertical="center"/>
      <protection locked="0"/>
    </xf>
    <xf numFmtId="191" fontId="6" fillId="0" borderId="19" xfId="92" applyNumberFormat="1" applyFont="1" applyBorder="1" applyAlignment="1" applyProtection="1">
      <alignment horizontal="right" vertical="center" shrinkToFit="1"/>
      <protection locked="0"/>
    </xf>
    <xf numFmtId="191" fontId="6" fillId="0" borderId="19" xfId="92" applyNumberFormat="1" applyFont="1" applyFill="1" applyBorder="1" applyAlignment="1" applyProtection="1">
      <alignment horizontal="right" vertical="center"/>
      <protection locked="0"/>
    </xf>
    <xf numFmtId="191" fontId="6" fillId="0" borderId="19" xfId="92" applyNumberFormat="1" applyFont="1" applyFill="1" applyBorder="1" applyAlignment="1" applyProtection="1">
      <alignment horizontal="right" vertical="center" shrinkToFit="1"/>
      <protection locked="0"/>
    </xf>
    <xf numFmtId="165" fontId="8" fillId="0" borderId="19" xfId="57" applyFont="1" applyBorder="1" applyAlignment="1" applyProtection="1">
      <alignment horizontal="left" vertical="center"/>
      <protection locked="0"/>
    </xf>
    <xf numFmtId="229" fontId="6" fillId="0" borderId="19" xfId="59" applyNumberFormat="1" applyFont="1" applyBorder="1" applyAlignment="1" applyProtection="1">
      <alignment horizontal="right" vertical="center"/>
      <protection locked="0"/>
    </xf>
    <xf numFmtId="0" fontId="8" fillId="0" borderId="21" xfId="0" applyFont="1" applyFill="1" applyBorder="1" applyAlignment="1">
      <alignment vertical="center" shrinkToFit="1"/>
    </xf>
    <xf numFmtId="0" fontId="8" fillId="0" borderId="20" xfId="0" applyFont="1" applyFill="1" applyBorder="1" applyAlignment="1">
      <alignment vertical="center" shrinkToFit="1"/>
    </xf>
    <xf numFmtId="38" fontId="24" fillId="0" borderId="52" xfId="0" applyNumberFormat="1" applyFont="1" applyFill="1" applyBorder="1" applyAlignment="1">
      <alignment horizontal="center" vertical="center" wrapText="1"/>
    </xf>
    <xf numFmtId="38" fontId="23" fillId="0" borderId="0" xfId="0" applyNumberFormat="1" applyFont="1" applyBorder="1" applyAlignment="1">
      <alignment horizontal="right" vertical="center" wrapText="1"/>
    </xf>
    <xf numFmtId="38" fontId="24" fillId="6" borderId="34" xfId="0" applyNumberFormat="1" applyFont="1" applyFill="1" applyBorder="1" applyAlignment="1">
      <alignment horizontal="center" vertical="center" wrapText="1"/>
    </xf>
    <xf numFmtId="3" fontId="64" fillId="0" borderId="0" xfId="0" applyNumberFormat="1" applyFont="1" applyFill="1" applyBorder="1" applyAlignment="1">
      <alignment horizontal="center" wrapText="1"/>
    </xf>
    <xf numFmtId="3" fontId="23" fillId="0" borderId="54" xfId="87" applyNumberFormat="1" applyFont="1" applyBorder="1" applyAlignment="1">
      <alignment horizontal="right" vertical="center" wrapText="1"/>
    </xf>
    <xf numFmtId="38" fontId="23" fillId="0" borderId="0" xfId="0" applyNumberFormat="1" applyFont="1" applyFill="1" applyBorder="1" applyAlignment="1">
      <alignment horizontal="right" vertical="center" wrapText="1"/>
    </xf>
    <xf numFmtId="0" fontId="6" fillId="0" borderId="27" xfId="91" applyFont="1" applyBorder="1" applyAlignment="1">
      <alignment horizontal="center" vertical="center" shrinkToFit="1"/>
    </xf>
    <xf numFmtId="165" fontId="6" fillId="0" borderId="19" xfId="57" applyFont="1" applyBorder="1" applyAlignment="1" applyProtection="1">
      <alignment vertical="center"/>
      <protection locked="0"/>
    </xf>
    <xf numFmtId="165" fontId="6" fillId="0" borderId="19" xfId="57" applyFont="1" applyFill="1" applyBorder="1" applyAlignment="1" applyProtection="1">
      <alignment horizontal="left" vertical="center" shrinkToFit="1"/>
      <protection locked="0"/>
    </xf>
    <xf numFmtId="164" fontId="6" fillId="0" borderId="19" xfId="57" applyNumberFormat="1" applyFont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left" vertical="center"/>
    </xf>
    <xf numFmtId="3" fontId="62" fillId="0" borderId="54" xfId="82" applyNumberFormat="1" applyFont="1" applyFill="1" applyBorder="1" applyAlignment="1">
      <alignment horizontal="right" vertical="center" wrapText="1"/>
    </xf>
    <xf numFmtId="3" fontId="62" fillId="0" borderId="67" xfId="82" applyNumberFormat="1" applyFont="1" applyFill="1" applyBorder="1" applyAlignment="1">
      <alignment horizontal="right" vertical="center" wrapText="1"/>
    </xf>
    <xf numFmtId="3" fontId="62" fillId="0" borderId="54" xfId="84" applyNumberFormat="1" applyFont="1" applyFill="1" applyBorder="1" applyAlignment="1">
      <alignment horizontal="right" vertical="center" wrapText="1"/>
    </xf>
    <xf numFmtId="3" fontId="62" fillId="0" borderId="54" xfId="85" applyNumberFormat="1" applyFont="1" applyFill="1" applyBorder="1" applyAlignment="1">
      <alignment horizontal="right" vertical="center" wrapText="1"/>
    </xf>
    <xf numFmtId="3" fontId="65" fillId="0" borderId="54" xfId="85" applyNumberFormat="1" applyFont="1" applyFill="1" applyBorder="1" applyAlignment="1">
      <alignment horizontal="right" vertical="center" wrapText="1"/>
    </xf>
    <xf numFmtId="3" fontId="62" fillId="0" borderId="68" xfId="85" applyNumberFormat="1" applyFont="1" applyFill="1" applyBorder="1" applyAlignment="1">
      <alignment horizontal="right" vertical="center" wrapText="1"/>
    </xf>
    <xf numFmtId="3" fontId="62" fillId="0" borderId="54" xfId="86" applyNumberFormat="1" applyFont="1" applyFill="1" applyBorder="1" applyAlignment="1">
      <alignment horizontal="right" vertical="center" wrapText="1"/>
    </xf>
    <xf numFmtId="3" fontId="62" fillId="0" borderId="67" xfId="86" applyNumberFormat="1" applyFont="1" applyFill="1" applyBorder="1" applyAlignment="1">
      <alignment horizontal="right" vertical="center" wrapText="1"/>
    </xf>
    <xf numFmtId="3" fontId="62" fillId="0" borderId="54" xfId="87" applyNumberFormat="1" applyFont="1" applyFill="1" applyBorder="1" applyAlignment="1">
      <alignment horizontal="right" vertical="center" wrapText="1"/>
    </xf>
    <xf numFmtId="3" fontId="62" fillId="0" borderId="54" xfId="88" applyNumberFormat="1" applyFont="1" applyFill="1" applyBorder="1" applyAlignment="1">
      <alignment horizontal="right" vertical="center" wrapText="1"/>
    </xf>
    <xf numFmtId="3" fontId="62" fillId="0" borderId="68" xfId="88" applyNumberFormat="1" applyFont="1" applyFill="1" applyBorder="1" applyAlignment="1">
      <alignment horizontal="right" vertical="center" wrapText="1"/>
    </xf>
    <xf numFmtId="165" fontId="67" fillId="0" borderId="57" xfId="57" applyFont="1" applyBorder="1" applyAlignment="1">
      <alignment vertical="center"/>
    </xf>
    <xf numFmtId="165" fontId="67" fillId="0" borderId="27" xfId="57" applyFont="1" applyBorder="1" applyAlignment="1">
      <alignment vertical="center"/>
    </xf>
    <xf numFmtId="165" fontId="67" fillId="0" borderId="19" xfId="57" applyFont="1" applyBorder="1" applyAlignment="1">
      <alignment vertical="center"/>
    </xf>
    <xf numFmtId="165" fontId="67" fillId="0" borderId="6" xfId="57" applyFont="1" applyBorder="1" applyAlignment="1">
      <alignment vertical="center"/>
    </xf>
    <xf numFmtId="38" fontId="66" fillId="0" borderId="19" xfId="92" applyNumberFormat="1" applyFont="1" applyFill="1" applyBorder="1" applyAlignment="1" applyProtection="1">
      <alignment horizontal="right" vertical="center" shrinkToFit="1"/>
      <protection locked="0"/>
    </xf>
    <xf numFmtId="38" fontId="66" fillId="0" borderId="19" xfId="92" applyNumberFormat="1" applyFont="1" applyFill="1" applyBorder="1" applyAlignment="1" applyProtection="1">
      <alignment horizontal="right" vertical="center"/>
      <protection locked="0"/>
    </xf>
    <xf numFmtId="38" fontId="66" fillId="0" borderId="19" xfId="59" applyNumberFormat="1" applyFont="1" applyFill="1" applyBorder="1" applyAlignment="1" applyProtection="1">
      <alignment horizontal="right" vertical="center" shrinkToFit="1"/>
      <protection locked="0"/>
    </xf>
    <xf numFmtId="38" fontId="66" fillId="0" borderId="19" xfId="59" applyNumberFormat="1" applyFont="1" applyFill="1" applyBorder="1" applyAlignment="1" applyProtection="1">
      <alignment horizontal="right" vertical="center"/>
      <protection locked="0"/>
    </xf>
    <xf numFmtId="191" fontId="66" fillId="0" borderId="19" xfId="92" applyNumberFormat="1" applyFont="1" applyFill="1" applyBorder="1" applyAlignment="1" applyProtection="1">
      <alignment horizontal="right" vertical="center" shrinkToFit="1"/>
      <protection locked="0"/>
    </xf>
    <xf numFmtId="191" fontId="66" fillId="0" borderId="19" xfId="92" applyNumberFormat="1" applyFont="1" applyFill="1" applyBorder="1" applyAlignment="1" applyProtection="1">
      <alignment horizontal="right" vertical="center"/>
      <protection locked="0"/>
    </xf>
    <xf numFmtId="229" fontId="66" fillId="0" borderId="19" xfId="92" applyNumberFormat="1" applyFont="1" applyFill="1" applyBorder="1" applyAlignment="1" applyProtection="1">
      <alignment horizontal="right" vertical="center"/>
      <protection locked="0"/>
    </xf>
    <xf numFmtId="38" fontId="66" fillId="7" borderId="19" xfId="92" applyNumberFormat="1" applyFont="1" applyFill="1" applyBorder="1" applyAlignment="1" applyProtection="1">
      <alignment horizontal="right" vertical="center" shrinkToFit="1"/>
      <protection locked="0"/>
    </xf>
    <xf numFmtId="229" fontId="66" fillId="0" borderId="19" xfId="59" applyNumberFormat="1" applyFont="1" applyFill="1" applyBorder="1" applyAlignment="1" applyProtection="1">
      <alignment horizontal="right" vertical="center"/>
      <protection locked="0"/>
    </xf>
    <xf numFmtId="38" fontId="66" fillId="0" borderId="19" xfId="92" applyNumberFormat="1" applyFont="1" applyBorder="1" applyAlignment="1" applyProtection="1">
      <alignment horizontal="right" vertical="center" shrinkToFit="1"/>
      <protection locked="0"/>
    </xf>
    <xf numFmtId="38" fontId="66" fillId="0" borderId="19" xfId="92" applyNumberFormat="1" applyFont="1" applyBorder="1" applyAlignment="1" applyProtection="1">
      <alignment horizontal="right" vertical="center"/>
      <protection locked="0"/>
    </xf>
    <xf numFmtId="40" fontId="66" fillId="0" borderId="19" xfId="92" applyNumberFormat="1" applyFont="1" applyBorder="1" applyAlignment="1" applyProtection="1">
      <alignment horizontal="right" vertical="center"/>
      <protection locked="0"/>
    </xf>
    <xf numFmtId="0" fontId="66" fillId="0" borderId="0" xfId="92" applyFont="1" applyBorder="1" applyAlignment="1" applyProtection="1">
      <alignment vertical="center"/>
      <protection locked="0"/>
    </xf>
    <xf numFmtId="0" fontId="63" fillId="0" borderId="0" xfId="92" applyFont="1" applyBorder="1" applyAlignment="1" applyProtection="1">
      <alignment vertical="center"/>
      <protection locked="0"/>
    </xf>
    <xf numFmtId="0" fontId="66" fillId="0" borderId="19" xfId="92" applyFont="1" applyBorder="1" applyAlignment="1" applyProtection="1">
      <alignment vertical="center" shrinkToFit="1"/>
      <protection locked="0"/>
    </xf>
    <xf numFmtId="165" fontId="66" fillId="0" borderId="19" xfId="57" applyFont="1" applyBorder="1" applyAlignment="1" applyProtection="1">
      <alignment vertical="center"/>
      <protection locked="0"/>
    </xf>
    <xf numFmtId="38" fontId="66" fillId="7" borderId="19" xfId="92" applyNumberFormat="1" applyFont="1" applyFill="1" applyBorder="1" applyAlignment="1" applyProtection="1">
      <alignment horizontal="right" vertical="center"/>
      <protection locked="0"/>
    </xf>
    <xf numFmtId="38" fontId="66" fillId="0" borderId="19" xfId="59" applyNumberFormat="1" applyFont="1" applyBorder="1" applyAlignment="1" applyProtection="1">
      <alignment horizontal="right" vertical="center" shrinkToFit="1"/>
      <protection locked="0"/>
    </xf>
    <xf numFmtId="38" fontId="66" fillId="0" borderId="19" xfId="59" applyNumberFormat="1" applyFont="1" applyBorder="1" applyAlignment="1" applyProtection="1">
      <alignment horizontal="right" vertical="center"/>
      <protection locked="0"/>
    </xf>
    <xf numFmtId="165" fontId="6" fillId="0" borderId="19" xfId="57" applyFont="1" applyBorder="1" applyAlignment="1" applyProtection="1">
      <alignment vertical="center"/>
      <protection locked="0"/>
    </xf>
    <xf numFmtId="38" fontId="68" fillId="0" borderId="19" xfId="92" applyNumberFormat="1" applyFont="1" applyFill="1" applyBorder="1" applyAlignment="1" applyProtection="1">
      <alignment horizontal="right" vertical="center" shrinkToFit="1"/>
      <protection locked="0"/>
    </xf>
    <xf numFmtId="38" fontId="68" fillId="0" borderId="19" xfId="92" applyNumberFormat="1" applyFont="1" applyFill="1" applyBorder="1" applyAlignment="1" applyProtection="1">
      <alignment horizontal="right" vertical="center"/>
      <protection locked="0"/>
    </xf>
    <xf numFmtId="38" fontId="68" fillId="0" borderId="19" xfId="59" applyNumberFormat="1" applyFont="1" applyFill="1" applyBorder="1" applyAlignment="1" applyProtection="1">
      <alignment horizontal="right" vertical="center" shrinkToFit="1"/>
      <protection locked="0"/>
    </xf>
    <xf numFmtId="38" fontId="68" fillId="0" borderId="19" xfId="59" applyNumberFormat="1" applyFont="1" applyFill="1" applyBorder="1" applyAlignment="1" applyProtection="1">
      <alignment horizontal="right" vertical="center"/>
      <protection locked="0"/>
    </xf>
    <xf numFmtId="229" fontId="68" fillId="0" borderId="19" xfId="92" applyNumberFormat="1" applyFont="1" applyFill="1" applyBorder="1" applyAlignment="1" applyProtection="1">
      <alignment horizontal="right" vertical="center"/>
      <protection locked="0"/>
    </xf>
    <xf numFmtId="38" fontId="69" fillId="0" borderId="19" xfId="92" applyNumberFormat="1" applyFont="1" applyFill="1" applyBorder="1" applyAlignment="1" applyProtection="1">
      <alignment horizontal="right" vertical="center" shrinkToFit="1"/>
      <protection locked="0"/>
    </xf>
    <xf numFmtId="229" fontId="68" fillId="0" borderId="19" xfId="59" applyNumberFormat="1" applyFont="1" applyFill="1" applyBorder="1" applyAlignment="1" applyProtection="1">
      <alignment horizontal="right" vertical="center"/>
      <protection locked="0"/>
    </xf>
    <xf numFmtId="38" fontId="66" fillId="0" borderId="19" xfId="57" applyNumberFormat="1" applyFont="1" applyFill="1" applyBorder="1" applyAlignment="1" applyProtection="1">
      <alignment horizontal="right" vertical="center"/>
      <protection locked="0"/>
    </xf>
    <xf numFmtId="0" fontId="66" fillId="0" borderId="19" xfId="92" applyFont="1" applyBorder="1" applyAlignment="1" applyProtection="1">
      <alignment vertical="center"/>
      <protection locked="0"/>
    </xf>
    <xf numFmtId="165" fontId="6" fillId="0" borderId="19" xfId="57" applyFont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left" vertical="center" shrinkToFit="1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8" fillId="0" borderId="21" xfId="0" applyFont="1" applyFill="1" applyBorder="1" applyAlignment="1">
      <alignment horizontal="left" vertical="center" shrinkToFit="1"/>
    </xf>
    <xf numFmtId="0" fontId="8" fillId="0" borderId="44" xfId="0" applyFont="1" applyFill="1" applyBorder="1" applyAlignment="1">
      <alignment horizontal="left" vertical="center" shrinkToFit="1"/>
    </xf>
    <xf numFmtId="0" fontId="15" fillId="0" borderId="0" xfId="0" applyFont="1" applyFill="1" applyAlignment="1">
      <alignment horizontal="center" vertical="center"/>
    </xf>
    <xf numFmtId="166" fontId="8" fillId="8" borderId="19" xfId="0" applyNumberFormat="1" applyFont="1" applyFill="1" applyBorder="1" applyAlignment="1">
      <alignment horizontal="center" vertical="center" shrinkToFit="1"/>
    </xf>
    <xf numFmtId="0" fontId="8" fillId="8" borderId="19" xfId="0" applyFont="1" applyFill="1" applyBorder="1" applyAlignment="1">
      <alignment horizontal="center" vertical="center" wrapText="1" shrinkToFit="1"/>
    </xf>
    <xf numFmtId="0" fontId="8" fillId="8" borderId="19" xfId="0" applyFont="1" applyFill="1" applyBorder="1" applyAlignment="1">
      <alignment horizontal="center" vertical="center" shrinkToFit="1"/>
    </xf>
    <xf numFmtId="0" fontId="17" fillId="0" borderId="0" xfId="0" applyFont="1" applyFill="1" applyBorder="1" applyAlignment="1">
      <alignment horizontal="right" vertical="center"/>
    </xf>
    <xf numFmtId="165" fontId="8" fillId="8" borderId="64" xfId="57" applyFont="1" applyFill="1" applyBorder="1" applyAlignment="1">
      <alignment horizontal="center" vertical="center" shrinkToFit="1"/>
    </xf>
    <xf numFmtId="165" fontId="8" fillId="8" borderId="27" xfId="57" applyFont="1" applyFill="1" applyBorder="1" applyAlignment="1">
      <alignment horizontal="center" vertical="center" shrinkToFit="1"/>
    </xf>
    <xf numFmtId="167" fontId="8" fillId="8" borderId="19" xfId="0" applyNumberFormat="1" applyFont="1" applyFill="1" applyBorder="1" applyAlignment="1">
      <alignment horizontal="center" vertical="center" shrinkToFit="1"/>
    </xf>
    <xf numFmtId="0" fontId="8" fillId="0" borderId="19" xfId="0" applyFont="1" applyFill="1" applyBorder="1" applyAlignment="1">
      <alignment vertical="center" shrinkToFit="1"/>
    </xf>
    <xf numFmtId="0" fontId="8" fillId="0" borderId="69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vertical="center" shrinkToFit="1"/>
    </xf>
    <xf numFmtId="0" fontId="8" fillId="0" borderId="20" xfId="0" applyFont="1" applyFill="1" applyBorder="1" applyAlignment="1">
      <alignment vertical="center" shrinkToFit="1"/>
    </xf>
    <xf numFmtId="0" fontId="17" fillId="0" borderId="44" xfId="0" applyFont="1" applyFill="1" applyBorder="1" applyAlignment="1">
      <alignment horizontal="left" vertical="center" shrinkToFit="1"/>
    </xf>
    <xf numFmtId="0" fontId="17" fillId="0" borderId="20" xfId="0" applyFont="1" applyFill="1" applyBorder="1" applyAlignment="1">
      <alignment horizontal="left" vertical="center" shrinkToFit="1"/>
    </xf>
    <xf numFmtId="0" fontId="8" fillId="0" borderId="20" xfId="0" applyFont="1" applyFill="1" applyBorder="1" applyAlignment="1">
      <alignment horizontal="left" vertical="center" shrinkToFit="1"/>
    </xf>
    <xf numFmtId="0" fontId="8" fillId="0" borderId="19" xfId="0" applyFont="1" applyFill="1" applyBorder="1" applyAlignment="1">
      <alignment horizontal="left" vertical="center" shrinkToFit="1"/>
    </xf>
    <xf numFmtId="0" fontId="16" fillId="0" borderId="0" xfId="0" applyFont="1" applyFill="1" applyAlignment="1">
      <alignment horizontal="center" vertical="center"/>
    </xf>
    <xf numFmtId="0" fontId="8" fillId="8" borderId="64" xfId="0" applyFont="1" applyFill="1" applyBorder="1" applyAlignment="1">
      <alignment horizontal="center" vertical="center" shrinkToFit="1"/>
    </xf>
    <xf numFmtId="0" fontId="8" fillId="8" borderId="27" xfId="0" applyFont="1" applyFill="1" applyBorder="1" applyAlignment="1">
      <alignment horizontal="center" vertical="center" shrinkToFit="1"/>
    </xf>
    <xf numFmtId="166" fontId="30" fillId="8" borderId="19" xfId="0" applyNumberFormat="1" applyFont="1" applyFill="1" applyBorder="1" applyAlignment="1">
      <alignment horizontal="center" vertical="center" shrinkToFit="1"/>
    </xf>
    <xf numFmtId="0" fontId="8" fillId="8" borderId="70" xfId="0" applyFont="1" applyFill="1" applyBorder="1" applyAlignment="1">
      <alignment horizontal="center" vertical="center" shrinkToFit="1"/>
    </xf>
    <xf numFmtId="0" fontId="8" fillId="8" borderId="71" xfId="0" applyFont="1" applyFill="1" applyBorder="1" applyAlignment="1">
      <alignment horizontal="center" vertical="center" shrinkToFit="1"/>
    </xf>
    <xf numFmtId="0" fontId="8" fillId="8" borderId="72" xfId="0" applyFont="1" applyFill="1" applyBorder="1" applyAlignment="1">
      <alignment horizontal="center" vertical="center" shrinkToFit="1"/>
    </xf>
    <xf numFmtId="0" fontId="8" fillId="8" borderId="7" xfId="0" applyFont="1" applyFill="1" applyBorder="1" applyAlignment="1">
      <alignment horizontal="center" vertical="center" shrinkToFit="1"/>
    </xf>
    <xf numFmtId="49" fontId="8" fillId="8" borderId="64" xfId="0" applyNumberFormat="1" applyFont="1" applyFill="1" applyBorder="1" applyAlignment="1">
      <alignment horizontal="center" vertical="center" shrinkToFit="1"/>
    </xf>
    <xf numFmtId="49" fontId="8" fillId="8" borderId="27" xfId="0" applyNumberFormat="1" applyFont="1" applyFill="1" applyBorder="1" applyAlignment="1">
      <alignment horizontal="center" vertical="center" shrinkToFit="1"/>
    </xf>
    <xf numFmtId="167" fontId="8" fillId="8" borderId="64" xfId="0" applyNumberFormat="1" applyFont="1" applyFill="1" applyBorder="1" applyAlignment="1">
      <alignment horizontal="center" vertical="center" shrinkToFit="1"/>
    </xf>
    <xf numFmtId="167" fontId="8" fillId="8" borderId="27" xfId="0" applyNumberFormat="1" applyFont="1" applyFill="1" applyBorder="1" applyAlignment="1">
      <alignment horizontal="center" vertical="center" shrinkToFit="1"/>
    </xf>
    <xf numFmtId="0" fontId="8" fillId="0" borderId="44" xfId="0" applyFont="1" applyFill="1" applyBorder="1" applyAlignment="1">
      <alignment vertical="center"/>
    </xf>
    <xf numFmtId="0" fontId="8" fillId="0" borderId="20" xfId="0" applyFont="1" applyFill="1" applyBorder="1" applyAlignment="1">
      <alignment vertical="center"/>
    </xf>
    <xf numFmtId="0" fontId="6" fillId="0" borderId="0" xfId="94" applyFont="1" applyFill="1" applyBorder="1" applyAlignment="1">
      <alignment horizontal="center" vertical="center"/>
    </xf>
    <xf numFmtId="0" fontId="35" fillId="0" borderId="17" xfId="94" applyFont="1" applyFill="1" applyBorder="1" applyAlignment="1">
      <alignment horizontal="center" vertical="center"/>
    </xf>
    <xf numFmtId="179" fontId="66" fillId="0" borderId="0" xfId="94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220" fontId="6" fillId="0" borderId="0" xfId="0" applyNumberFormat="1" applyFont="1" applyFill="1" applyBorder="1" applyAlignment="1">
      <alignment horizontal="center" vertical="center" shrinkToFit="1"/>
    </xf>
    <xf numFmtId="219" fontId="6" fillId="0" borderId="0" xfId="0" applyNumberFormat="1" applyFont="1" applyFill="1" applyBorder="1" applyAlignment="1">
      <alignment horizontal="center" vertical="center" shrinkToFit="1"/>
    </xf>
    <xf numFmtId="221" fontId="6" fillId="0" borderId="0" xfId="0" applyNumberFormat="1" applyFont="1" applyFill="1" applyBorder="1" applyAlignment="1">
      <alignment horizontal="center" vertical="center" shrinkToFit="1"/>
    </xf>
    <xf numFmtId="0" fontId="12" fillId="0" borderId="15" xfId="0" applyFont="1" applyFill="1" applyBorder="1" applyAlignment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0" fontId="12" fillId="11" borderId="1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left" vertical="center" shrinkToFit="1"/>
    </xf>
    <xf numFmtId="166" fontId="6" fillId="0" borderId="16" xfId="95" applyNumberFormat="1" applyFont="1" applyBorder="1" applyAlignment="1">
      <alignment horizontal="center" vertical="center"/>
    </xf>
    <xf numFmtId="0" fontId="6" fillId="0" borderId="18" xfId="95" applyFont="1" applyBorder="1" applyAlignment="1">
      <alignment horizontal="center" vertical="center"/>
    </xf>
    <xf numFmtId="0" fontId="6" fillId="0" borderId="13" xfId="95" applyFont="1" applyBorder="1" applyAlignment="1">
      <alignment horizontal="center" vertical="center"/>
    </xf>
    <xf numFmtId="0" fontId="6" fillId="0" borderId="14" xfId="95" applyFont="1" applyBorder="1" applyAlignment="1">
      <alignment horizontal="center" vertical="center"/>
    </xf>
    <xf numFmtId="210" fontId="6" fillId="0" borderId="16" xfId="95" applyNumberFormat="1" applyFont="1" applyBorder="1" applyAlignment="1">
      <alignment horizontal="center" vertical="center"/>
    </xf>
    <xf numFmtId="210" fontId="6" fillId="0" borderId="18" xfId="95" applyNumberFormat="1" applyFont="1" applyBorder="1" applyAlignment="1">
      <alignment horizontal="center" vertical="center"/>
    </xf>
    <xf numFmtId="210" fontId="6" fillId="0" borderId="13" xfId="95" applyNumberFormat="1" applyFont="1" applyBorder="1" applyAlignment="1">
      <alignment horizontal="center" vertical="center"/>
    </xf>
    <xf numFmtId="210" fontId="6" fillId="0" borderId="14" xfId="95" applyNumberFormat="1" applyFont="1" applyBorder="1" applyAlignment="1">
      <alignment horizontal="center" vertical="center"/>
    </xf>
    <xf numFmtId="210" fontId="7" fillId="0" borderId="16" xfId="95" applyNumberFormat="1" applyFont="1" applyBorder="1" applyAlignment="1">
      <alignment horizontal="center" vertical="center"/>
    </xf>
    <xf numFmtId="210" fontId="7" fillId="0" borderId="18" xfId="95" applyNumberFormat="1" applyFont="1" applyBorder="1" applyAlignment="1">
      <alignment horizontal="center" vertical="center"/>
    </xf>
    <xf numFmtId="210" fontId="7" fillId="0" borderId="13" xfId="95" applyNumberFormat="1" applyFont="1" applyBorder="1" applyAlignment="1">
      <alignment horizontal="center" vertical="center"/>
    </xf>
    <xf numFmtId="210" fontId="7" fillId="0" borderId="14" xfId="95" applyNumberFormat="1" applyFont="1" applyBorder="1" applyAlignment="1">
      <alignment horizontal="center" vertical="center"/>
    </xf>
    <xf numFmtId="166" fontId="6" fillId="0" borderId="0" xfId="95" applyNumberFormat="1" applyFont="1" applyBorder="1" applyAlignment="1">
      <alignment horizontal="center" vertical="center"/>
    </xf>
    <xf numFmtId="0" fontId="6" fillId="0" borderId="16" xfId="95" applyFont="1" applyBorder="1" applyAlignment="1">
      <alignment horizontal="center" vertical="center"/>
    </xf>
    <xf numFmtId="3" fontId="6" fillId="0" borderId="0" xfId="95" applyNumberFormat="1" applyFont="1" applyBorder="1" applyAlignment="1">
      <alignment horizontal="center" vertical="center"/>
    </xf>
    <xf numFmtId="0" fontId="6" fillId="0" borderId="22" xfId="95" applyFont="1" applyBorder="1" applyAlignment="1">
      <alignment horizontal="center" vertical="center"/>
    </xf>
    <xf numFmtId="0" fontId="6" fillId="0" borderId="23" xfId="95" applyFont="1" applyBorder="1" applyAlignment="1">
      <alignment horizontal="center" vertical="center"/>
    </xf>
    <xf numFmtId="0" fontId="6" fillId="0" borderId="22" xfId="95" applyFont="1" applyBorder="1" applyAlignment="1">
      <alignment horizontal="center" vertical="center" wrapText="1"/>
    </xf>
    <xf numFmtId="0" fontId="6" fillId="0" borderId="24" xfId="95" applyFont="1" applyBorder="1" applyAlignment="1">
      <alignment horizontal="center" vertical="center" wrapText="1"/>
    </xf>
    <xf numFmtId="209" fontId="6" fillId="0" borderId="0" xfId="95" applyNumberFormat="1" applyFont="1" applyBorder="1" applyAlignment="1">
      <alignment horizontal="left" vertical="center"/>
    </xf>
    <xf numFmtId="0" fontId="6" fillId="0" borderId="0" xfId="95" applyFont="1" applyBorder="1" applyAlignment="1">
      <alignment horizontal="center" vertical="center"/>
    </xf>
    <xf numFmtId="166" fontId="6" fillId="0" borderId="0" xfId="95" quotePrefix="1" applyNumberFormat="1" applyFont="1" applyBorder="1" applyAlignment="1">
      <alignment vertical="center"/>
    </xf>
    <xf numFmtId="166" fontId="6" fillId="0" borderId="0" xfId="95" quotePrefix="1" applyNumberFormat="1" applyFont="1" applyBorder="1" applyAlignment="1">
      <alignment horizontal="center" vertical="center"/>
    </xf>
    <xf numFmtId="0" fontId="6" fillId="0" borderId="16" xfId="95" applyNumberFormat="1" applyFont="1" applyBorder="1" applyAlignment="1">
      <alignment horizontal="center" vertical="center"/>
    </xf>
    <xf numFmtId="0" fontId="6" fillId="0" borderId="18" xfId="95" applyNumberFormat="1" applyFont="1" applyBorder="1" applyAlignment="1">
      <alignment horizontal="center" vertical="center"/>
    </xf>
    <xf numFmtId="0" fontId="6" fillId="0" borderId="13" xfId="95" applyNumberFormat="1" applyFont="1" applyBorder="1" applyAlignment="1">
      <alignment horizontal="center" vertical="center"/>
    </xf>
    <xf numFmtId="0" fontId="6" fillId="0" borderId="14" xfId="95" applyNumberFormat="1" applyFont="1" applyBorder="1" applyAlignment="1">
      <alignment horizontal="center" vertical="center"/>
    </xf>
    <xf numFmtId="0" fontId="6" fillId="0" borderId="16" xfId="95" applyFont="1" applyBorder="1" applyAlignment="1">
      <alignment vertical="center"/>
    </xf>
    <xf numFmtId="0" fontId="6" fillId="0" borderId="17" xfId="95" applyFont="1" applyBorder="1" applyAlignment="1">
      <alignment vertical="center"/>
    </xf>
    <xf numFmtId="208" fontId="6" fillId="0" borderId="0" xfId="95" applyNumberFormat="1" applyFont="1" applyBorder="1" applyAlignment="1">
      <alignment horizontal="center" vertical="center"/>
    </xf>
    <xf numFmtId="0" fontId="7" fillId="10" borderId="11" xfId="95" applyFont="1" applyFill="1" applyBorder="1" applyAlignment="1">
      <alignment vertical="center"/>
    </xf>
    <xf numFmtId="0" fontId="7" fillId="10" borderId="0" xfId="95" applyFont="1" applyFill="1" applyBorder="1" applyAlignment="1">
      <alignment vertical="center"/>
    </xf>
    <xf numFmtId="179" fontId="6" fillId="0" borderId="0" xfId="95" applyNumberFormat="1" applyFont="1" applyBorder="1" applyAlignment="1">
      <alignment vertical="center"/>
    </xf>
    <xf numFmtId="209" fontId="6" fillId="0" borderId="0" xfId="95" applyNumberFormat="1" applyFont="1" applyBorder="1" applyAlignment="1">
      <alignment horizontal="center" vertical="center"/>
    </xf>
    <xf numFmtId="38" fontId="6" fillId="0" borderId="0" xfId="0" applyNumberFormat="1" applyFont="1" applyFill="1" applyBorder="1" applyAlignment="1">
      <alignment horizontal="center" vertical="center"/>
    </xf>
    <xf numFmtId="166" fontId="6" fillId="0" borderId="0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0" fontId="6" fillId="0" borderId="17" xfId="0" applyNumberFormat="1" applyFont="1" applyFill="1" applyBorder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166" fontId="7" fillId="0" borderId="0" xfId="0" applyNumberFormat="1" applyFont="1" applyFill="1" applyBorder="1" applyAlignment="1">
      <alignment horizontal="center" vertical="center"/>
    </xf>
    <xf numFmtId="173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176" fontId="6" fillId="0" borderId="17" xfId="0" applyNumberFormat="1" applyFont="1" applyFill="1" applyBorder="1" applyAlignment="1">
      <alignment horizontal="center" vertical="center"/>
    </xf>
    <xf numFmtId="166" fontId="7" fillId="0" borderId="15" xfId="0" applyNumberFormat="1" applyFont="1" applyFill="1" applyBorder="1" applyAlignment="1">
      <alignment horizontal="center" vertical="center"/>
    </xf>
    <xf numFmtId="167" fontId="6" fillId="0" borderId="17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38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207" fontId="6" fillId="0" borderId="0" xfId="0" applyNumberFormat="1" applyFont="1" applyFill="1" applyBorder="1" applyAlignment="1">
      <alignment vertical="center"/>
    </xf>
    <xf numFmtId="207" fontId="6" fillId="0" borderId="12" xfId="0" applyNumberFormat="1" applyFont="1" applyFill="1" applyBorder="1" applyAlignment="1">
      <alignment vertical="center"/>
    </xf>
    <xf numFmtId="2" fontId="6" fillId="0" borderId="17" xfId="0" applyNumberFormat="1" applyFont="1" applyFill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 vertical="center"/>
    </xf>
    <xf numFmtId="166" fontId="6" fillId="0" borderId="1" xfId="0" applyNumberFormat="1" applyFont="1" applyBorder="1" applyAlignment="1">
      <alignment horizontal="center" vertical="center"/>
    </xf>
    <xf numFmtId="204" fontId="6" fillId="0" borderId="3" xfId="0" applyNumberFormat="1" applyFont="1" applyBorder="1" applyAlignment="1">
      <alignment horizontal="center" vertical="center" shrinkToFit="1"/>
    </xf>
    <xf numFmtId="205" fontId="6" fillId="0" borderId="3" xfId="0" applyNumberFormat="1" applyFont="1" applyBorder="1" applyAlignment="1">
      <alignment horizontal="center" vertical="center" shrinkToFit="1"/>
    </xf>
    <xf numFmtId="205" fontId="6" fillId="0" borderId="10" xfId="0" applyNumberFormat="1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18" xfId="0" applyFont="1" applyBorder="1" applyAlignment="1">
      <alignment horizontal="center" vertical="center" shrinkToFit="1"/>
    </xf>
    <xf numFmtId="0" fontId="6" fillId="0" borderId="13" xfId="0" applyFont="1" applyBorder="1" applyAlignment="1">
      <alignment horizontal="center" vertical="center" shrinkToFit="1"/>
    </xf>
    <xf numFmtId="0" fontId="6" fillId="0" borderId="14" xfId="0" applyFont="1" applyBorder="1" applyAlignment="1">
      <alignment horizontal="center" vertical="center" shrinkToFit="1"/>
    </xf>
    <xf numFmtId="165" fontId="6" fillId="0" borderId="0" xfId="57" applyFont="1" applyBorder="1" applyAlignment="1">
      <alignment horizontal="center" vertical="center"/>
    </xf>
    <xf numFmtId="203" fontId="6" fillId="0" borderId="9" xfId="0" applyNumberFormat="1" applyFont="1" applyBorder="1" applyAlignment="1">
      <alignment horizontal="center" vertical="center" shrinkToFit="1"/>
    </xf>
    <xf numFmtId="203" fontId="6" fillId="0" borderId="3" xfId="0" applyNumberFormat="1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3" fontId="6" fillId="3" borderId="17" xfId="0" applyNumberFormat="1" applyFont="1" applyFill="1" applyBorder="1" applyAlignment="1">
      <alignment horizontal="center" vertical="center" shrinkToFit="1"/>
    </xf>
    <xf numFmtId="3" fontId="6" fillId="3" borderId="15" xfId="0" applyNumberFormat="1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wrapText="1"/>
    </xf>
    <xf numFmtId="201" fontId="6" fillId="0" borderId="3" xfId="0" applyNumberFormat="1" applyFont="1" applyBorder="1" applyAlignment="1">
      <alignment horizontal="center" vertical="center" shrinkToFit="1"/>
    </xf>
    <xf numFmtId="201" fontId="6" fillId="0" borderId="10" xfId="0" applyNumberFormat="1" applyFont="1" applyBorder="1" applyAlignment="1">
      <alignment horizontal="center" vertical="center" shrinkToFit="1"/>
    </xf>
    <xf numFmtId="0" fontId="6" fillId="3" borderId="17" xfId="0" applyNumberFormat="1" applyFont="1" applyFill="1" applyBorder="1" applyAlignment="1">
      <alignment horizontal="center" vertical="center"/>
    </xf>
    <xf numFmtId="0" fontId="6" fillId="3" borderId="15" xfId="0" applyNumberFormat="1" applyFont="1" applyFill="1" applyBorder="1" applyAlignment="1">
      <alignment horizontal="center" vertical="center"/>
    </xf>
    <xf numFmtId="196" fontId="6" fillId="3" borderId="17" xfId="0" applyNumberFormat="1" applyFont="1" applyFill="1" applyBorder="1" applyAlignment="1">
      <alignment horizontal="center" vertical="center"/>
    </xf>
    <xf numFmtId="196" fontId="6" fillId="3" borderId="18" xfId="0" applyNumberFormat="1" applyFont="1" applyFill="1" applyBorder="1" applyAlignment="1">
      <alignment horizontal="center" vertical="center"/>
    </xf>
    <xf numFmtId="196" fontId="6" fillId="3" borderId="15" xfId="0" applyNumberFormat="1" applyFont="1" applyFill="1" applyBorder="1" applyAlignment="1">
      <alignment horizontal="center" vertical="center"/>
    </xf>
    <xf numFmtId="196" fontId="6" fillId="3" borderId="14" xfId="0" applyNumberFormat="1" applyFont="1" applyFill="1" applyBorder="1" applyAlignment="1">
      <alignment horizontal="center" vertical="center"/>
    </xf>
    <xf numFmtId="225" fontId="6" fillId="0" borderId="15" xfId="0" applyNumberFormat="1" applyFont="1" applyBorder="1" applyAlignment="1">
      <alignment horizontal="center" vertical="center"/>
    </xf>
    <xf numFmtId="225" fontId="6" fillId="0" borderId="14" xfId="0" applyNumberFormat="1" applyFont="1" applyBorder="1" applyAlignment="1">
      <alignment horizontal="center" vertical="center"/>
    </xf>
    <xf numFmtId="198" fontId="6" fillId="0" borderId="3" xfId="0" applyNumberFormat="1" applyFont="1" applyBorder="1" applyAlignment="1">
      <alignment horizontal="center" vertical="center" shrinkToFit="1"/>
    </xf>
    <xf numFmtId="200" fontId="6" fillId="0" borderId="3" xfId="0" applyNumberFormat="1" applyFont="1" applyBorder="1" applyAlignment="1">
      <alignment horizontal="center" vertical="center" shrinkToFit="1"/>
    </xf>
    <xf numFmtId="0" fontId="6" fillId="0" borderId="1" xfId="0" applyFont="1" applyBorder="1" applyAlignment="1">
      <alignment vertical="center" shrinkToFit="1"/>
    </xf>
    <xf numFmtId="0" fontId="6" fillId="0" borderId="1" xfId="0" applyFont="1" applyBorder="1" applyAlignment="1">
      <alignment horizontal="center" vertical="center" shrinkToFit="1"/>
    </xf>
    <xf numFmtId="202" fontId="6" fillId="0" borderId="9" xfId="0" applyNumberFormat="1" applyFont="1" applyBorder="1" applyAlignment="1">
      <alignment horizontal="center" vertical="center" shrinkToFit="1"/>
    </xf>
    <xf numFmtId="202" fontId="6" fillId="0" borderId="3" xfId="0" applyNumberFormat="1" applyFont="1" applyBorder="1" applyAlignment="1">
      <alignment horizontal="center" vertical="center" shrinkToFit="1"/>
    </xf>
    <xf numFmtId="199" fontId="6" fillId="0" borderId="3" xfId="0" applyNumberFormat="1" applyFont="1" applyBorder="1" applyAlignment="1">
      <alignment horizontal="center" vertical="center" shrinkToFit="1"/>
    </xf>
    <xf numFmtId="199" fontId="6" fillId="0" borderId="9" xfId="0" applyNumberFormat="1" applyFont="1" applyBorder="1" applyAlignment="1">
      <alignment horizontal="center" vertical="center" shrinkToFit="1"/>
    </xf>
    <xf numFmtId="0" fontId="6" fillId="0" borderId="1" xfId="0" applyFont="1" applyBorder="1" applyAlignment="1">
      <alignment vertical="center"/>
    </xf>
    <xf numFmtId="166" fontId="6" fillId="0" borderId="16" xfId="0" applyNumberFormat="1" applyFont="1" applyBorder="1" applyAlignment="1">
      <alignment horizontal="center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3" xfId="0" applyNumberFormat="1" applyFont="1" applyBorder="1" applyAlignment="1">
      <alignment horizontal="center" vertical="center"/>
    </xf>
    <xf numFmtId="166" fontId="6" fillId="0" borderId="14" xfId="0" applyNumberFormat="1" applyFont="1" applyBorder="1" applyAlignment="1">
      <alignment horizontal="center" vertical="center"/>
    </xf>
    <xf numFmtId="166" fontId="6" fillId="0" borderId="22" xfId="0" applyNumberFormat="1" applyFont="1" applyBorder="1" applyAlignment="1">
      <alignment horizontal="center" vertical="center" shrinkToFit="1"/>
    </xf>
    <xf numFmtId="166" fontId="6" fillId="0" borderId="23" xfId="0" applyNumberFormat="1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3" fontId="6" fillId="0" borderId="16" xfId="0" applyNumberFormat="1" applyFont="1" applyFill="1" applyBorder="1" applyAlignment="1">
      <alignment horizontal="center" vertical="center" shrinkToFit="1"/>
    </xf>
    <xf numFmtId="3" fontId="6" fillId="0" borderId="13" xfId="0" applyNumberFormat="1" applyFont="1" applyFill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/>
    </xf>
    <xf numFmtId="3" fontId="6" fillId="0" borderId="10" xfId="0" applyNumberFormat="1" applyFont="1" applyBorder="1" applyAlignment="1">
      <alignment horizontal="center" vertical="center" shrinkToFit="1"/>
    </xf>
    <xf numFmtId="3" fontId="6" fillId="0" borderId="9" xfId="0" applyNumberFormat="1" applyFont="1" applyBorder="1" applyAlignment="1">
      <alignment horizontal="center" vertical="center" shrinkToFit="1"/>
    </xf>
    <xf numFmtId="0" fontId="6" fillId="0" borderId="0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166" fontId="6" fillId="0" borderId="9" xfId="0" applyNumberFormat="1" applyFont="1" applyFill="1" applyBorder="1" applyAlignment="1">
      <alignment horizontal="center" vertical="center"/>
    </xf>
    <xf numFmtId="166" fontId="6" fillId="0" borderId="10" xfId="0" applyNumberFormat="1" applyFont="1" applyFill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16" xfId="0" applyNumberFormat="1" applyFont="1" applyBorder="1" applyAlignment="1">
      <alignment horizontal="center" vertical="center"/>
    </xf>
    <xf numFmtId="0" fontId="6" fillId="0" borderId="17" xfId="0" applyNumberFormat="1" applyFont="1" applyBorder="1" applyAlignment="1">
      <alignment horizontal="center" vertical="center"/>
    </xf>
    <xf numFmtId="0" fontId="6" fillId="0" borderId="18" xfId="0" applyNumberFormat="1" applyFont="1" applyBorder="1" applyAlignment="1">
      <alignment horizontal="center" vertical="center"/>
    </xf>
    <xf numFmtId="0" fontId="6" fillId="0" borderId="13" xfId="0" applyNumberFormat="1" applyFont="1" applyBorder="1" applyAlignment="1">
      <alignment horizontal="center" vertical="center"/>
    </xf>
    <xf numFmtId="0" fontId="6" fillId="0" borderId="15" xfId="0" applyNumberFormat="1" applyFont="1" applyBorder="1" applyAlignment="1">
      <alignment horizontal="center" vertical="center"/>
    </xf>
    <xf numFmtId="0" fontId="6" fillId="0" borderId="14" xfId="0" applyNumberFormat="1" applyFont="1" applyBorder="1" applyAlignment="1">
      <alignment horizontal="center" vertical="center"/>
    </xf>
    <xf numFmtId="0" fontId="6" fillId="0" borderId="22" xfId="0" applyNumberFormat="1" applyFont="1" applyBorder="1" applyAlignment="1">
      <alignment horizontal="center" vertical="center"/>
    </xf>
    <xf numFmtId="0" fontId="6" fillId="0" borderId="23" xfId="0" applyNumberFormat="1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166" fontId="6" fillId="0" borderId="0" xfId="0" applyNumberFormat="1" applyFont="1" applyBorder="1" applyAlignment="1">
      <alignment horizontal="center" vertical="center"/>
    </xf>
    <xf numFmtId="0" fontId="12" fillId="3" borderId="16" xfId="0" applyNumberFormat="1" applyFont="1" applyFill="1" applyBorder="1" applyAlignment="1">
      <alignment vertical="center"/>
    </xf>
    <xf numFmtId="0" fontId="12" fillId="3" borderId="17" xfId="0" applyNumberFormat="1" applyFont="1" applyFill="1" applyBorder="1" applyAlignment="1">
      <alignment vertical="center"/>
    </xf>
    <xf numFmtId="0" fontId="12" fillId="3" borderId="13" xfId="0" applyNumberFormat="1" applyFont="1" applyFill="1" applyBorder="1" applyAlignment="1">
      <alignment vertical="center"/>
    </xf>
    <xf numFmtId="0" fontId="12" fillId="3" borderId="15" xfId="0" applyNumberFormat="1" applyFont="1" applyFill="1" applyBorder="1" applyAlignment="1">
      <alignment vertical="center"/>
    </xf>
    <xf numFmtId="0" fontId="6" fillId="0" borderId="1" xfId="0" applyFont="1" applyBorder="1" applyAlignment="1">
      <alignment horizontal="left" vertical="center" shrinkToFit="1"/>
    </xf>
    <xf numFmtId="167" fontId="6" fillId="0" borderId="22" xfId="0" applyNumberFormat="1" applyFont="1" applyBorder="1" applyAlignment="1">
      <alignment horizontal="center" vertical="center"/>
    </xf>
    <xf numFmtId="167" fontId="6" fillId="0" borderId="23" xfId="0" applyNumberFormat="1" applyFont="1" applyBorder="1" applyAlignment="1">
      <alignment horizontal="center" vertical="center"/>
    </xf>
    <xf numFmtId="179" fontId="6" fillId="0" borderId="16" xfId="0" applyNumberFormat="1" applyFont="1" applyBorder="1" applyAlignment="1">
      <alignment horizontal="center" vertical="center"/>
    </xf>
    <xf numFmtId="179" fontId="6" fillId="0" borderId="18" xfId="0" applyNumberFormat="1" applyFont="1" applyBorder="1" applyAlignment="1">
      <alignment horizontal="center" vertical="center"/>
    </xf>
    <xf numFmtId="179" fontId="6" fillId="0" borderId="13" xfId="0" applyNumberFormat="1" applyFont="1" applyBorder="1" applyAlignment="1">
      <alignment horizontal="center" vertical="center"/>
    </xf>
    <xf numFmtId="179" fontId="6" fillId="0" borderId="14" xfId="0" applyNumberFormat="1" applyFont="1" applyBorder="1" applyAlignment="1">
      <alignment horizontal="center" vertical="center"/>
    </xf>
    <xf numFmtId="179" fontId="6" fillId="0" borderId="17" xfId="0" applyNumberFormat="1" applyFont="1" applyBorder="1" applyAlignment="1">
      <alignment horizontal="center" vertical="center"/>
    </xf>
    <xf numFmtId="179" fontId="6" fillId="0" borderId="15" xfId="0" applyNumberFormat="1" applyFont="1" applyBorder="1" applyAlignment="1">
      <alignment horizontal="center" vertical="center"/>
    </xf>
    <xf numFmtId="228" fontId="6" fillId="0" borderId="22" xfId="0" applyNumberFormat="1" applyFont="1" applyBorder="1" applyAlignment="1">
      <alignment horizontal="center" vertical="center"/>
    </xf>
    <xf numFmtId="228" fontId="6" fillId="0" borderId="23" xfId="0" applyNumberFormat="1" applyFont="1" applyBorder="1" applyAlignment="1">
      <alignment horizontal="center" vertical="center"/>
    </xf>
    <xf numFmtId="0" fontId="12" fillId="3" borderId="18" xfId="0" applyNumberFormat="1" applyFont="1" applyFill="1" applyBorder="1" applyAlignment="1">
      <alignment vertical="center"/>
    </xf>
    <xf numFmtId="0" fontId="12" fillId="3" borderId="14" xfId="0" applyNumberFormat="1" applyFont="1" applyFill="1" applyBorder="1" applyAlignment="1">
      <alignment vertical="center"/>
    </xf>
    <xf numFmtId="3" fontId="6" fillId="0" borderId="1" xfId="0" applyNumberFormat="1" applyFont="1" applyFill="1" applyBorder="1" applyAlignment="1">
      <alignment horizontal="center" vertical="center"/>
    </xf>
    <xf numFmtId="3" fontId="6" fillId="3" borderId="3" xfId="0" applyNumberFormat="1" applyFont="1" applyFill="1" applyBorder="1" applyAlignment="1">
      <alignment horizontal="center" vertical="center"/>
    </xf>
    <xf numFmtId="196" fontId="6" fillId="3" borderId="3" xfId="0" applyNumberFormat="1" applyFont="1" applyFill="1" applyBorder="1" applyAlignment="1">
      <alignment horizontal="center" vertical="center"/>
    </xf>
    <xf numFmtId="38" fontId="6" fillId="0" borderId="1" xfId="0" applyNumberFormat="1" applyFont="1" applyBorder="1" applyAlignment="1">
      <alignment horizontal="center" vertical="center"/>
    </xf>
    <xf numFmtId="166" fontId="6" fillId="0" borderId="25" xfId="93" applyNumberFormat="1" applyFont="1" applyBorder="1" applyAlignment="1">
      <alignment horizontal="left" vertical="center"/>
    </xf>
    <xf numFmtId="166" fontId="6" fillId="0" borderId="73" xfId="93" applyNumberFormat="1" applyFont="1" applyBorder="1" applyAlignment="1">
      <alignment horizontal="left" vertical="center"/>
    </xf>
    <xf numFmtId="166" fontId="6" fillId="0" borderId="19" xfId="93" applyNumberFormat="1" applyFont="1" applyBorder="1" applyAlignment="1">
      <alignment horizontal="left" vertical="center"/>
    </xf>
    <xf numFmtId="166" fontId="6" fillId="0" borderId="29" xfId="93" applyNumberFormat="1" applyFont="1" applyBorder="1" applyAlignment="1">
      <alignment horizontal="left" vertical="center"/>
    </xf>
    <xf numFmtId="166" fontId="6" fillId="0" borderId="6" xfId="93" applyNumberFormat="1" applyFont="1" applyBorder="1" applyAlignment="1">
      <alignment horizontal="left" vertical="center"/>
    </xf>
    <xf numFmtId="166" fontId="6" fillId="0" borderId="74" xfId="93" applyNumberFormat="1" applyFont="1" applyBorder="1" applyAlignment="1">
      <alignment horizontal="left" vertical="center"/>
    </xf>
    <xf numFmtId="0" fontId="7" fillId="0" borderId="27" xfId="93" applyFont="1" applyBorder="1" applyAlignment="1">
      <alignment horizontal="left" vertical="center"/>
    </xf>
    <xf numFmtId="0" fontId="7" fillId="0" borderId="19" xfId="93" applyFont="1" applyBorder="1" applyAlignment="1">
      <alignment horizontal="left" vertical="center"/>
    </xf>
    <xf numFmtId="0" fontId="7" fillId="0" borderId="6" xfId="93" applyFont="1" applyBorder="1" applyAlignment="1">
      <alignment horizontal="left" vertical="center"/>
    </xf>
    <xf numFmtId="0" fontId="7" fillId="3" borderId="22" xfId="93" applyFont="1" applyFill="1" applyBorder="1" applyAlignment="1">
      <alignment horizontal="center" vertical="center"/>
    </xf>
    <xf numFmtId="0" fontId="7" fillId="3" borderId="80" xfId="93" applyFont="1" applyFill="1" applyBorder="1" applyAlignment="1">
      <alignment horizontal="center" vertical="center"/>
    </xf>
    <xf numFmtId="0" fontId="7" fillId="3" borderId="9" xfId="93" applyFont="1" applyFill="1" applyBorder="1" applyAlignment="1">
      <alignment horizontal="center" vertical="center"/>
    </xf>
    <xf numFmtId="0" fontId="7" fillId="3" borderId="10" xfId="93" applyFont="1" applyFill="1" applyBorder="1" applyAlignment="1">
      <alignment horizontal="center" vertical="center"/>
    </xf>
    <xf numFmtId="0" fontId="7" fillId="0" borderId="30" xfId="93" applyFont="1" applyBorder="1" applyAlignment="1">
      <alignment horizontal="center" vertical="center"/>
    </xf>
    <xf numFmtId="0" fontId="7" fillId="0" borderId="5" xfId="93" applyFont="1" applyBorder="1" applyAlignment="1">
      <alignment horizontal="center" vertical="center"/>
    </xf>
    <xf numFmtId="0" fontId="7" fillId="0" borderId="79" xfId="93" applyFont="1" applyBorder="1" applyAlignment="1">
      <alignment horizontal="center" vertical="center"/>
    </xf>
    <xf numFmtId="0" fontId="16" fillId="0" borderId="0" xfId="93" applyFont="1" applyAlignment="1">
      <alignment horizontal="center" vertical="center"/>
    </xf>
    <xf numFmtId="0" fontId="7" fillId="0" borderId="78" xfId="93" applyFont="1" applyBorder="1" applyAlignment="1">
      <alignment horizontal="center" vertical="center"/>
    </xf>
    <xf numFmtId="0" fontId="7" fillId="0" borderId="25" xfId="93" applyFont="1" applyBorder="1" applyAlignment="1">
      <alignment horizontal="left" vertical="center"/>
    </xf>
    <xf numFmtId="166" fontId="6" fillId="0" borderId="81" xfId="93" applyNumberFormat="1" applyFont="1" applyBorder="1" applyAlignment="1">
      <alignment horizontal="left" vertical="center"/>
    </xf>
    <xf numFmtId="166" fontId="6" fillId="0" borderId="82" xfId="93" applyNumberFormat="1" applyFont="1" applyBorder="1" applyAlignment="1">
      <alignment horizontal="left" vertical="center"/>
    </xf>
    <xf numFmtId="166" fontId="6" fillId="0" borderId="83" xfId="93" applyNumberFormat="1" applyFont="1" applyBorder="1" applyAlignment="1">
      <alignment horizontal="left" vertical="center"/>
    </xf>
    <xf numFmtId="0" fontId="7" fillId="3" borderId="16" xfId="93" applyFont="1" applyFill="1" applyBorder="1" applyAlignment="1">
      <alignment horizontal="center" vertical="center" wrapText="1"/>
    </xf>
    <xf numFmtId="0" fontId="7" fillId="3" borderId="17" xfId="93" applyFont="1" applyFill="1" applyBorder="1" applyAlignment="1">
      <alignment horizontal="center" vertical="center" wrapText="1"/>
    </xf>
    <xf numFmtId="0" fontId="7" fillId="3" borderId="18" xfId="93" applyFont="1" applyFill="1" applyBorder="1" applyAlignment="1">
      <alignment horizontal="center" vertical="center" wrapText="1"/>
    </xf>
    <xf numFmtId="0" fontId="7" fillId="3" borderId="75" xfId="93" applyFont="1" applyFill="1" applyBorder="1" applyAlignment="1">
      <alignment horizontal="center" vertical="center" wrapText="1"/>
    </xf>
    <xf numFmtId="0" fontId="7" fillId="3" borderId="76" xfId="93" applyFont="1" applyFill="1" applyBorder="1" applyAlignment="1">
      <alignment horizontal="center" vertical="center" wrapText="1"/>
    </xf>
    <xf numFmtId="0" fontId="7" fillId="3" borderId="77" xfId="93" applyFont="1" applyFill="1" applyBorder="1" applyAlignment="1">
      <alignment horizontal="center" vertical="center" wrapText="1"/>
    </xf>
    <xf numFmtId="166" fontId="6" fillId="0" borderId="27" xfId="93" applyNumberFormat="1" applyFont="1" applyBorder="1" applyAlignment="1">
      <alignment horizontal="left" vertical="center"/>
    </xf>
    <xf numFmtId="166" fontId="6" fillId="0" borderId="28" xfId="93" applyNumberFormat="1" applyFont="1" applyBorder="1" applyAlignment="1">
      <alignment horizontal="left" vertical="center"/>
    </xf>
    <xf numFmtId="165" fontId="6" fillId="0" borderId="19" xfId="57" applyFont="1" applyBorder="1" applyAlignment="1" applyProtection="1">
      <alignment horizontal="left" vertical="center"/>
      <protection locked="0"/>
    </xf>
    <xf numFmtId="165" fontId="6" fillId="0" borderId="19" xfId="57" applyFont="1" applyBorder="1" applyAlignment="1" applyProtection="1">
      <alignment vertical="center"/>
      <protection locked="0"/>
    </xf>
    <xf numFmtId="165" fontId="7" fillId="0" borderId="21" xfId="57" applyFont="1" applyFill="1" applyBorder="1" applyAlignment="1" applyProtection="1">
      <alignment vertical="center"/>
      <protection locked="0"/>
    </xf>
    <xf numFmtId="165" fontId="7" fillId="0" borderId="44" xfId="57" applyFont="1" applyFill="1" applyBorder="1" applyAlignment="1" applyProtection="1">
      <alignment vertical="center"/>
      <protection locked="0"/>
    </xf>
    <xf numFmtId="165" fontId="7" fillId="0" borderId="20" xfId="57" applyFont="1" applyFill="1" applyBorder="1" applyAlignment="1" applyProtection="1">
      <alignment vertical="center"/>
      <protection locked="0"/>
    </xf>
    <xf numFmtId="0" fontId="16" fillId="0" borderId="0" xfId="92" applyFont="1" applyBorder="1" applyAlignment="1" applyProtection="1">
      <alignment horizontal="center" vertical="center"/>
      <protection locked="0"/>
    </xf>
    <xf numFmtId="0" fontId="7" fillId="0" borderId="19" xfId="92" applyFont="1" applyFill="1" applyBorder="1" applyAlignment="1" applyProtection="1">
      <alignment horizontal="center" vertical="center"/>
      <protection locked="0"/>
    </xf>
    <xf numFmtId="0" fontId="6" fillId="0" borderId="0" xfId="92" applyFont="1" applyBorder="1" applyAlignment="1" applyProtection="1">
      <alignment horizontal="center" vertical="center"/>
      <protection locked="0"/>
    </xf>
    <xf numFmtId="165" fontId="6" fillId="0" borderId="19" xfId="57" applyFont="1" applyFill="1" applyBorder="1" applyAlignment="1" applyProtection="1">
      <alignment vertical="center"/>
      <protection locked="0"/>
    </xf>
    <xf numFmtId="165" fontId="6" fillId="0" borderId="19" xfId="57" applyFont="1" applyBorder="1" applyAlignment="1" applyProtection="1">
      <alignment vertical="center" wrapText="1"/>
      <protection locked="0"/>
    </xf>
    <xf numFmtId="0" fontId="6" fillId="0" borderId="21" xfId="92" applyFont="1" applyFill="1" applyBorder="1" applyAlignment="1" applyProtection="1">
      <alignment horizontal="center" vertical="center"/>
      <protection locked="0"/>
    </xf>
    <xf numFmtId="0" fontId="6" fillId="0" borderId="20" xfId="92" applyFont="1" applyFill="1" applyBorder="1" applyAlignment="1" applyProtection="1">
      <alignment horizontal="center" vertical="center"/>
      <protection locked="0"/>
    </xf>
    <xf numFmtId="0" fontId="31" fillId="0" borderId="0" xfId="92" applyFont="1" applyFill="1" applyBorder="1" applyAlignment="1" applyProtection="1">
      <alignment horizontal="center" vertical="center"/>
      <protection locked="0"/>
    </xf>
    <xf numFmtId="0" fontId="26" fillId="0" borderId="84" xfId="0" applyFont="1" applyBorder="1" applyAlignment="1">
      <alignment horizontal="center" vertical="center" wrapText="1"/>
    </xf>
    <xf numFmtId="0" fontId="26" fillId="0" borderId="85" xfId="0" applyFont="1" applyBorder="1" applyAlignment="1">
      <alignment horizontal="center" vertical="center" wrapText="1"/>
    </xf>
    <xf numFmtId="0" fontId="26" fillId="0" borderId="86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6" fillId="6" borderId="31" xfId="91" quotePrefix="1" applyFont="1" applyFill="1" applyBorder="1" applyAlignment="1">
      <alignment horizontal="left" vertical="center" wrapText="1" shrinkToFit="1"/>
    </xf>
    <xf numFmtId="0" fontId="6" fillId="6" borderId="26" xfId="91" quotePrefix="1" applyFont="1" applyFill="1" applyBorder="1" applyAlignment="1">
      <alignment horizontal="left" vertical="center" shrinkToFit="1"/>
    </xf>
    <xf numFmtId="0" fontId="6" fillId="6" borderId="30" xfId="91" quotePrefix="1" applyFont="1" applyFill="1" applyBorder="1" applyAlignment="1">
      <alignment horizontal="left" vertical="center" shrinkToFit="1"/>
    </xf>
    <xf numFmtId="0" fontId="6" fillId="6" borderId="31" xfId="91" applyFont="1" applyFill="1" applyBorder="1" applyAlignment="1">
      <alignment horizontal="left" vertical="center" wrapText="1" shrinkToFit="1"/>
    </xf>
    <xf numFmtId="0" fontId="6" fillId="6" borderId="30" xfId="91" applyFont="1" applyFill="1" applyBorder="1" applyAlignment="1">
      <alignment horizontal="left" vertical="center" shrinkToFit="1"/>
    </xf>
    <xf numFmtId="0" fontId="6" fillId="5" borderId="89" xfId="91" applyFont="1" applyFill="1" applyBorder="1" applyAlignment="1">
      <alignment horizontal="center" vertical="center" wrapText="1"/>
    </xf>
    <xf numFmtId="0" fontId="6" fillId="5" borderId="28" xfId="91" applyFont="1" applyFill="1" applyBorder="1" applyAlignment="1">
      <alignment horizontal="center" vertical="center"/>
    </xf>
    <xf numFmtId="0" fontId="6" fillId="5" borderId="88" xfId="91" applyFont="1" applyFill="1" applyBorder="1" applyAlignment="1">
      <alignment horizontal="center" vertical="center" wrapText="1"/>
    </xf>
    <xf numFmtId="0" fontId="6" fillId="5" borderId="27" xfId="91" applyFont="1" applyFill="1" applyBorder="1" applyAlignment="1">
      <alignment horizontal="center" vertical="center" wrapText="1"/>
    </xf>
    <xf numFmtId="0" fontId="6" fillId="5" borderId="88" xfId="91" quotePrefix="1" applyFont="1" applyFill="1" applyBorder="1" applyAlignment="1">
      <alignment horizontal="center" vertical="center" wrapText="1"/>
    </xf>
    <xf numFmtId="0" fontId="6" fillId="5" borderId="27" xfId="91" quotePrefix="1" applyFont="1" applyFill="1" applyBorder="1" applyAlignment="1">
      <alignment horizontal="center" vertical="center"/>
    </xf>
    <xf numFmtId="0" fontId="6" fillId="5" borderId="87" xfId="91" quotePrefix="1" applyFont="1" applyFill="1" applyBorder="1" applyAlignment="1">
      <alignment horizontal="center" vertical="center" shrinkToFit="1"/>
    </xf>
    <xf numFmtId="0" fontId="6" fillId="5" borderId="30" xfId="91" quotePrefix="1" applyFont="1" applyFill="1" applyBorder="1" applyAlignment="1">
      <alignment horizontal="center" vertical="center" shrinkToFit="1"/>
    </xf>
    <xf numFmtId="0" fontId="6" fillId="5" borderId="88" xfId="91" applyFont="1" applyFill="1" applyBorder="1" applyAlignment="1">
      <alignment horizontal="center" vertical="center" shrinkToFit="1"/>
    </xf>
    <xf numFmtId="0" fontId="6" fillId="5" borderId="27" xfId="91" applyFont="1" applyFill="1" applyBorder="1" applyAlignment="1">
      <alignment horizontal="center" vertical="center" shrinkToFit="1"/>
    </xf>
  </cellXfs>
  <cellStyles count="100">
    <cellStyle name="(##.00)" xfId="1"/>
    <cellStyle name="?W?_laroux" xfId="2"/>
    <cellStyle name="’E‰Y [0.00]_laroux" xfId="3"/>
    <cellStyle name="’E‰Y_laroux" xfId="4"/>
    <cellStyle name="+,-,0" xfId="5"/>
    <cellStyle name="△ []" xfId="6"/>
    <cellStyle name="△ [0]" xfId="7"/>
    <cellStyle name="0" xfId="8"/>
    <cellStyle name="00" xfId="9"/>
    <cellStyle name="AeE­ [0]_INQUIRY ¿μ¾÷AßAø " xfId="10"/>
    <cellStyle name="AeE­_INQUIRY ¿μ¾÷AßAø " xfId="11"/>
    <cellStyle name="ALIGNMENT" xfId="12"/>
    <cellStyle name="AÞ¸¶ [0]_INQUIRY ¿μ¾÷AßAø " xfId="13"/>
    <cellStyle name="AÞ¸¶_INQUIRY ¿μ¾÷AßAø " xfId="14"/>
    <cellStyle name="C￥AØ_¿μ¾÷CoE² " xfId="15"/>
    <cellStyle name="category" xfId="16"/>
    <cellStyle name="Comma [0]" xfId="17"/>
    <cellStyle name="Comma_ SG&amp;A Bridge " xfId="18"/>
    <cellStyle name="Currency [0]" xfId="19"/>
    <cellStyle name="Currency_ SG&amp;A Bridge " xfId="20"/>
    <cellStyle name="Currency1" xfId="21"/>
    <cellStyle name="Grey" xfId="22"/>
    <cellStyle name="HEADER" xfId="23"/>
    <cellStyle name="Header1" xfId="24"/>
    <cellStyle name="Header2" xfId="25"/>
    <cellStyle name="Hyperlink_NEGS" xfId="26"/>
    <cellStyle name="Input [yellow]" xfId="27"/>
    <cellStyle name="Model" xfId="28"/>
    <cellStyle name="Normal - Style1" xfId="29"/>
    <cellStyle name="Normal_ SG&amp;A Bridge " xfId="30"/>
    <cellStyle name="Œ…?æ맖?e [0.00]_laroux" xfId="31"/>
    <cellStyle name="Œ…?æ맖?e_laroux" xfId="32"/>
    <cellStyle name="Percent [2]" xfId="33"/>
    <cellStyle name="subhead" xfId="34"/>
    <cellStyle name="Title" xfId="35"/>
    <cellStyle name="UM" xfId="36"/>
    <cellStyle name="고정소숫점" xfId="37"/>
    <cellStyle name="고정출력1" xfId="38"/>
    <cellStyle name="고정출력2" xfId="39"/>
    <cellStyle name="날짜" xfId="40"/>
    <cellStyle name="내역서" xfId="41"/>
    <cellStyle name="달러" xfId="42"/>
    <cellStyle name="뒤에 오는 하이퍼링크_7-단위수량산출(관설치)" xfId="43"/>
    <cellStyle name="똿뗦먛귟 [0.00]_PRODUCT DETAIL Q1" xfId="44"/>
    <cellStyle name="똿뗦먛귟_PRODUCT DETAIL Q1" xfId="45"/>
    <cellStyle name="마이너스키" xfId="46"/>
    <cellStyle name="믅됞 [0.00]_PRODUCT DETAIL Q1" xfId="47"/>
    <cellStyle name="믅됞_PRODUCT DETAIL Q1" xfId="48"/>
    <cellStyle name="배분" xfId="49"/>
    <cellStyle name="백분율 [△1]" xfId="50"/>
    <cellStyle name="백분율 [△2]" xfId="51"/>
    <cellStyle name="백분율［△1］" xfId="52"/>
    <cellStyle name="백분율［△2］" xfId="53"/>
    <cellStyle name="뷭?_BOOKSHIP" xfId="54"/>
    <cellStyle name="선택영역의 가운데로" xfId="55"/>
    <cellStyle name="숫자(R)" xfId="56"/>
    <cellStyle name="쉼표 [0]" xfId="57" builtinId="6"/>
    <cellStyle name="쉼표 [0] 2" xfId="58"/>
    <cellStyle name="쉼표 [0]_2007일위대가(중랑구)" xfId="59"/>
    <cellStyle name="스타일 1" xfId="60"/>
    <cellStyle name="자리수" xfId="61"/>
    <cellStyle name="자리수0" xfId="62"/>
    <cellStyle name="콤마 [#]" xfId="63"/>
    <cellStyle name="콤마 []" xfId="64"/>
    <cellStyle name="콤마 [0]_(1.토)" xfId="65"/>
    <cellStyle name="콤마 [금액]" xfId="66"/>
    <cellStyle name="콤마 [소수]" xfId="67"/>
    <cellStyle name="콤마 [수량]" xfId="68"/>
    <cellStyle name="콤마_(type)총괄" xfId="69"/>
    <cellStyle name="통화 [0]" xfId="70" builtinId="7"/>
    <cellStyle name="퍼센트" xfId="71"/>
    <cellStyle name="표준" xfId="0" builtinId="0"/>
    <cellStyle name="표준 10" xfId="72"/>
    <cellStyle name="표준 11" xfId="73"/>
    <cellStyle name="표준 12" xfId="74"/>
    <cellStyle name="표준 13" xfId="75"/>
    <cellStyle name="표준 14" xfId="76"/>
    <cellStyle name="표준 15" xfId="77"/>
    <cellStyle name="표준 16" xfId="78"/>
    <cellStyle name="표준 17" xfId="79"/>
    <cellStyle name="표준 18" xfId="80"/>
    <cellStyle name="표준 19" xfId="81"/>
    <cellStyle name="표준 2" xfId="82"/>
    <cellStyle name="표준 20" xfId="83"/>
    <cellStyle name="표준 3" xfId="84"/>
    <cellStyle name="표준 4" xfId="85"/>
    <cellStyle name="표준 5" xfId="86"/>
    <cellStyle name="표준 6" xfId="87"/>
    <cellStyle name="표준 7" xfId="88"/>
    <cellStyle name="표준 8" xfId="89"/>
    <cellStyle name="표준 9" xfId="90"/>
    <cellStyle name="표준_2007년도 건설기계경비산출표" xfId="91"/>
    <cellStyle name="표준_2007일위대가(중랑구)" xfId="92"/>
    <cellStyle name="표준_관급,사급자재 물가조사서(2007년)" xfId="93"/>
    <cellStyle name="표준_연습용 일위대가(예)" xfId="94"/>
    <cellStyle name="표준_일위대가(예)" xfId="95"/>
    <cellStyle name="표준_일위대가및목록" xfId="96"/>
    <cellStyle name="합산" xfId="97"/>
    <cellStyle name="화폐기호" xfId="98"/>
    <cellStyle name="화폐기호0" xfId="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460375</xdr:colOff>
      <xdr:row>4</xdr:row>
      <xdr:rowOff>60325</xdr:rowOff>
    </xdr:from>
    <xdr:to>
      <xdr:col>1</xdr:col>
      <xdr:colOff>1349375</xdr:colOff>
      <xdr:row>8</xdr:row>
      <xdr:rowOff>187325</xdr:rowOff>
    </xdr:to>
    <xdr:pic>
      <xdr:nvPicPr>
        <xdr:cNvPr id="3" name="그림 2" descr="DreamSecurity.Signature.Shape.2146MagicOfficeAddIn.Image.Disprove.png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889000"/>
          <a:ext cx="889000" cy="88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184727</xdr:colOff>
      <xdr:row>0</xdr:row>
      <xdr:rowOff>0</xdr:rowOff>
    </xdr:from>
    <xdr:to>
      <xdr:col>42</xdr:col>
      <xdr:colOff>0</xdr:colOff>
      <xdr:row>0</xdr:row>
      <xdr:rowOff>0</xdr:rowOff>
    </xdr:to>
    <xdr:sp macro="" textlink="">
      <xdr:nvSpPr>
        <xdr:cNvPr id="24296" name="Line 1"/>
        <xdr:cNvSpPr>
          <a:spLocks noChangeShapeType="1"/>
        </xdr:cNvSpPr>
      </xdr:nvSpPr>
      <xdr:spPr bwMode="auto">
        <a:xfrm>
          <a:off x="19451782" y="0"/>
          <a:ext cx="286327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27709</xdr:colOff>
      <xdr:row>0</xdr:row>
      <xdr:rowOff>0</xdr:rowOff>
    </xdr:from>
    <xdr:to>
      <xdr:col>43</xdr:col>
      <xdr:colOff>9236</xdr:colOff>
      <xdr:row>0</xdr:row>
      <xdr:rowOff>0</xdr:rowOff>
    </xdr:to>
    <xdr:sp macro="" textlink="">
      <xdr:nvSpPr>
        <xdr:cNvPr id="24297" name="Line 2"/>
        <xdr:cNvSpPr>
          <a:spLocks noChangeShapeType="1"/>
        </xdr:cNvSpPr>
      </xdr:nvSpPr>
      <xdr:spPr bwMode="auto">
        <a:xfrm>
          <a:off x="19488727" y="0"/>
          <a:ext cx="1126837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40</xdr:col>
      <xdr:colOff>184727</xdr:colOff>
      <xdr:row>0</xdr:row>
      <xdr:rowOff>0</xdr:rowOff>
    </xdr:from>
    <xdr:to>
      <xdr:col>42</xdr:col>
      <xdr:colOff>0</xdr:colOff>
      <xdr:row>0</xdr:row>
      <xdr:rowOff>0</xdr:rowOff>
    </xdr:to>
    <xdr:sp macro="" textlink="">
      <xdr:nvSpPr>
        <xdr:cNvPr id="24298" name="Line 3"/>
        <xdr:cNvSpPr>
          <a:spLocks noChangeShapeType="1"/>
        </xdr:cNvSpPr>
      </xdr:nvSpPr>
      <xdr:spPr bwMode="auto">
        <a:xfrm>
          <a:off x="19451782" y="0"/>
          <a:ext cx="286327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27709</xdr:colOff>
      <xdr:row>0</xdr:row>
      <xdr:rowOff>0</xdr:rowOff>
    </xdr:from>
    <xdr:to>
      <xdr:col>43</xdr:col>
      <xdr:colOff>9236</xdr:colOff>
      <xdr:row>0</xdr:row>
      <xdr:rowOff>0</xdr:rowOff>
    </xdr:to>
    <xdr:sp macro="" textlink="">
      <xdr:nvSpPr>
        <xdr:cNvPr id="24299" name="Line 4"/>
        <xdr:cNvSpPr>
          <a:spLocks noChangeShapeType="1"/>
        </xdr:cNvSpPr>
      </xdr:nvSpPr>
      <xdr:spPr bwMode="auto">
        <a:xfrm>
          <a:off x="19488727" y="0"/>
          <a:ext cx="1126837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40</xdr:col>
      <xdr:colOff>184727</xdr:colOff>
      <xdr:row>0</xdr:row>
      <xdr:rowOff>0</xdr:rowOff>
    </xdr:from>
    <xdr:to>
      <xdr:col>42</xdr:col>
      <xdr:colOff>0</xdr:colOff>
      <xdr:row>0</xdr:row>
      <xdr:rowOff>0</xdr:rowOff>
    </xdr:to>
    <xdr:sp macro="" textlink="">
      <xdr:nvSpPr>
        <xdr:cNvPr id="24300" name="Line 5"/>
        <xdr:cNvSpPr>
          <a:spLocks noChangeShapeType="1"/>
        </xdr:cNvSpPr>
      </xdr:nvSpPr>
      <xdr:spPr bwMode="auto">
        <a:xfrm>
          <a:off x="19451782" y="0"/>
          <a:ext cx="286327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27709</xdr:colOff>
      <xdr:row>0</xdr:row>
      <xdr:rowOff>0</xdr:rowOff>
    </xdr:from>
    <xdr:to>
      <xdr:col>43</xdr:col>
      <xdr:colOff>9236</xdr:colOff>
      <xdr:row>0</xdr:row>
      <xdr:rowOff>0</xdr:rowOff>
    </xdr:to>
    <xdr:sp macro="" textlink="">
      <xdr:nvSpPr>
        <xdr:cNvPr id="24301" name="Line 6"/>
        <xdr:cNvSpPr>
          <a:spLocks noChangeShapeType="1"/>
        </xdr:cNvSpPr>
      </xdr:nvSpPr>
      <xdr:spPr bwMode="auto">
        <a:xfrm>
          <a:off x="19488727" y="0"/>
          <a:ext cx="1126837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184</xdr:row>
      <xdr:rowOff>0</xdr:rowOff>
    </xdr:from>
    <xdr:to>
      <xdr:col>16</xdr:col>
      <xdr:colOff>193964</xdr:colOff>
      <xdr:row>186</xdr:row>
      <xdr:rowOff>0</xdr:rowOff>
    </xdr:to>
    <xdr:cxnSp macro="">
      <xdr:nvCxnSpPr>
        <xdr:cNvPr id="27924" name="AutoShape 3"/>
        <xdr:cNvCxnSpPr>
          <a:cxnSpLocks noChangeShapeType="1"/>
        </xdr:cNvCxnSpPr>
      </xdr:nvCxnSpPr>
      <xdr:spPr bwMode="auto">
        <a:xfrm flipV="1">
          <a:off x="5902036" y="32290327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233</xdr:row>
      <xdr:rowOff>0</xdr:rowOff>
    </xdr:from>
    <xdr:to>
      <xdr:col>16</xdr:col>
      <xdr:colOff>193964</xdr:colOff>
      <xdr:row>235</xdr:row>
      <xdr:rowOff>0</xdr:rowOff>
    </xdr:to>
    <xdr:cxnSp macro="">
      <xdr:nvCxnSpPr>
        <xdr:cNvPr id="27925" name="AutoShape 4"/>
        <xdr:cNvCxnSpPr>
          <a:cxnSpLocks noChangeShapeType="1"/>
        </xdr:cNvCxnSpPr>
      </xdr:nvCxnSpPr>
      <xdr:spPr bwMode="auto">
        <a:xfrm flipV="1">
          <a:off x="5902036" y="40889382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35</xdr:row>
      <xdr:rowOff>0</xdr:rowOff>
    </xdr:from>
    <xdr:to>
      <xdr:col>16</xdr:col>
      <xdr:colOff>193964</xdr:colOff>
      <xdr:row>37</xdr:row>
      <xdr:rowOff>0</xdr:rowOff>
    </xdr:to>
    <xdr:cxnSp macro="">
      <xdr:nvCxnSpPr>
        <xdr:cNvPr id="27926" name="AutoShape 5"/>
        <xdr:cNvCxnSpPr>
          <a:cxnSpLocks noChangeShapeType="1"/>
        </xdr:cNvCxnSpPr>
      </xdr:nvCxnSpPr>
      <xdr:spPr bwMode="auto">
        <a:xfrm flipV="1">
          <a:off x="5902036" y="6142182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84</xdr:row>
      <xdr:rowOff>0</xdr:rowOff>
    </xdr:from>
    <xdr:to>
      <xdr:col>16</xdr:col>
      <xdr:colOff>193964</xdr:colOff>
      <xdr:row>86</xdr:row>
      <xdr:rowOff>0</xdr:rowOff>
    </xdr:to>
    <xdr:cxnSp macro="">
      <xdr:nvCxnSpPr>
        <xdr:cNvPr id="27927" name="AutoShape 6"/>
        <xdr:cNvCxnSpPr>
          <a:cxnSpLocks noChangeShapeType="1"/>
        </xdr:cNvCxnSpPr>
      </xdr:nvCxnSpPr>
      <xdr:spPr bwMode="auto">
        <a:xfrm flipV="1">
          <a:off x="5902036" y="14741236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233</xdr:row>
      <xdr:rowOff>0</xdr:rowOff>
    </xdr:from>
    <xdr:to>
      <xdr:col>16</xdr:col>
      <xdr:colOff>193964</xdr:colOff>
      <xdr:row>235</xdr:row>
      <xdr:rowOff>0</xdr:rowOff>
    </xdr:to>
    <xdr:cxnSp macro="">
      <xdr:nvCxnSpPr>
        <xdr:cNvPr id="27928" name="AutoShape 7"/>
        <xdr:cNvCxnSpPr>
          <a:cxnSpLocks noChangeShapeType="1"/>
        </xdr:cNvCxnSpPr>
      </xdr:nvCxnSpPr>
      <xdr:spPr bwMode="auto">
        <a:xfrm flipV="1">
          <a:off x="5902036" y="40889382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282</xdr:row>
      <xdr:rowOff>0</xdr:rowOff>
    </xdr:from>
    <xdr:to>
      <xdr:col>16</xdr:col>
      <xdr:colOff>193964</xdr:colOff>
      <xdr:row>284</xdr:row>
      <xdr:rowOff>0</xdr:rowOff>
    </xdr:to>
    <xdr:cxnSp macro="">
      <xdr:nvCxnSpPr>
        <xdr:cNvPr id="27929" name="AutoShape 18"/>
        <xdr:cNvCxnSpPr>
          <a:cxnSpLocks noChangeShapeType="1"/>
        </xdr:cNvCxnSpPr>
      </xdr:nvCxnSpPr>
      <xdr:spPr bwMode="auto">
        <a:xfrm flipV="1">
          <a:off x="5902036" y="49488436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282</xdr:row>
      <xdr:rowOff>0</xdr:rowOff>
    </xdr:from>
    <xdr:to>
      <xdr:col>16</xdr:col>
      <xdr:colOff>193964</xdr:colOff>
      <xdr:row>284</xdr:row>
      <xdr:rowOff>0</xdr:rowOff>
    </xdr:to>
    <xdr:cxnSp macro="">
      <xdr:nvCxnSpPr>
        <xdr:cNvPr id="27930" name="AutoShape 19"/>
        <xdr:cNvCxnSpPr>
          <a:cxnSpLocks noChangeShapeType="1"/>
        </xdr:cNvCxnSpPr>
      </xdr:nvCxnSpPr>
      <xdr:spPr bwMode="auto">
        <a:xfrm flipV="1">
          <a:off x="5902036" y="49488436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380</xdr:row>
      <xdr:rowOff>0</xdr:rowOff>
    </xdr:from>
    <xdr:to>
      <xdr:col>16</xdr:col>
      <xdr:colOff>193964</xdr:colOff>
      <xdr:row>382</xdr:row>
      <xdr:rowOff>0</xdr:rowOff>
    </xdr:to>
    <xdr:cxnSp macro="">
      <xdr:nvCxnSpPr>
        <xdr:cNvPr id="27931" name="AutoShape 20"/>
        <xdr:cNvCxnSpPr>
          <a:cxnSpLocks noChangeShapeType="1"/>
        </xdr:cNvCxnSpPr>
      </xdr:nvCxnSpPr>
      <xdr:spPr bwMode="auto">
        <a:xfrm flipV="1">
          <a:off x="5902036" y="66686545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135</xdr:row>
      <xdr:rowOff>0</xdr:rowOff>
    </xdr:from>
    <xdr:to>
      <xdr:col>16</xdr:col>
      <xdr:colOff>193964</xdr:colOff>
      <xdr:row>137</xdr:row>
      <xdr:rowOff>0</xdr:rowOff>
    </xdr:to>
    <xdr:cxnSp macro="">
      <xdr:nvCxnSpPr>
        <xdr:cNvPr id="27932" name="AutoShape 23"/>
        <xdr:cNvCxnSpPr>
          <a:cxnSpLocks noChangeShapeType="1"/>
        </xdr:cNvCxnSpPr>
      </xdr:nvCxnSpPr>
      <xdr:spPr bwMode="auto">
        <a:xfrm flipV="1">
          <a:off x="5902036" y="23691273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772</xdr:row>
      <xdr:rowOff>0</xdr:rowOff>
    </xdr:from>
    <xdr:to>
      <xdr:col>16</xdr:col>
      <xdr:colOff>193964</xdr:colOff>
      <xdr:row>774</xdr:row>
      <xdr:rowOff>0</xdr:rowOff>
    </xdr:to>
    <xdr:cxnSp macro="">
      <xdr:nvCxnSpPr>
        <xdr:cNvPr id="27933" name="AutoShape 28"/>
        <xdr:cNvCxnSpPr>
          <a:cxnSpLocks noChangeShapeType="1"/>
        </xdr:cNvCxnSpPr>
      </xdr:nvCxnSpPr>
      <xdr:spPr bwMode="auto">
        <a:xfrm flipV="1">
          <a:off x="5902036" y="135478982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821</xdr:row>
      <xdr:rowOff>0</xdr:rowOff>
    </xdr:from>
    <xdr:to>
      <xdr:col>16</xdr:col>
      <xdr:colOff>193964</xdr:colOff>
      <xdr:row>823</xdr:row>
      <xdr:rowOff>0</xdr:rowOff>
    </xdr:to>
    <xdr:cxnSp macro="">
      <xdr:nvCxnSpPr>
        <xdr:cNvPr id="27934" name="AutoShape 29"/>
        <xdr:cNvCxnSpPr>
          <a:cxnSpLocks noChangeShapeType="1"/>
        </xdr:cNvCxnSpPr>
      </xdr:nvCxnSpPr>
      <xdr:spPr bwMode="auto">
        <a:xfrm flipV="1">
          <a:off x="5902036" y="144078036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623</xdr:row>
      <xdr:rowOff>0</xdr:rowOff>
    </xdr:from>
    <xdr:to>
      <xdr:col>16</xdr:col>
      <xdr:colOff>193964</xdr:colOff>
      <xdr:row>625</xdr:row>
      <xdr:rowOff>0</xdr:rowOff>
    </xdr:to>
    <xdr:cxnSp macro="">
      <xdr:nvCxnSpPr>
        <xdr:cNvPr id="27935" name="AutoShape 30"/>
        <xdr:cNvCxnSpPr>
          <a:cxnSpLocks noChangeShapeType="1"/>
        </xdr:cNvCxnSpPr>
      </xdr:nvCxnSpPr>
      <xdr:spPr bwMode="auto">
        <a:xfrm flipV="1">
          <a:off x="5902036" y="109330836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672</xdr:row>
      <xdr:rowOff>0</xdr:rowOff>
    </xdr:from>
    <xdr:to>
      <xdr:col>16</xdr:col>
      <xdr:colOff>193964</xdr:colOff>
      <xdr:row>674</xdr:row>
      <xdr:rowOff>0</xdr:rowOff>
    </xdr:to>
    <xdr:cxnSp macro="">
      <xdr:nvCxnSpPr>
        <xdr:cNvPr id="27936" name="AutoShape 31"/>
        <xdr:cNvCxnSpPr>
          <a:cxnSpLocks noChangeShapeType="1"/>
        </xdr:cNvCxnSpPr>
      </xdr:nvCxnSpPr>
      <xdr:spPr bwMode="auto">
        <a:xfrm flipV="1">
          <a:off x="5902036" y="117929891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821</xdr:row>
      <xdr:rowOff>0</xdr:rowOff>
    </xdr:from>
    <xdr:to>
      <xdr:col>16</xdr:col>
      <xdr:colOff>193964</xdr:colOff>
      <xdr:row>823</xdr:row>
      <xdr:rowOff>0</xdr:rowOff>
    </xdr:to>
    <xdr:cxnSp macro="">
      <xdr:nvCxnSpPr>
        <xdr:cNvPr id="27937" name="AutoShape 32"/>
        <xdr:cNvCxnSpPr>
          <a:cxnSpLocks noChangeShapeType="1"/>
        </xdr:cNvCxnSpPr>
      </xdr:nvCxnSpPr>
      <xdr:spPr bwMode="auto">
        <a:xfrm flipV="1">
          <a:off x="5902036" y="144078036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871</xdr:row>
      <xdr:rowOff>0</xdr:rowOff>
    </xdr:from>
    <xdr:to>
      <xdr:col>16</xdr:col>
      <xdr:colOff>193964</xdr:colOff>
      <xdr:row>873</xdr:row>
      <xdr:rowOff>0</xdr:rowOff>
    </xdr:to>
    <xdr:cxnSp macro="">
      <xdr:nvCxnSpPr>
        <xdr:cNvPr id="27938" name="AutoShape 33"/>
        <xdr:cNvCxnSpPr>
          <a:cxnSpLocks noChangeShapeType="1"/>
        </xdr:cNvCxnSpPr>
      </xdr:nvCxnSpPr>
      <xdr:spPr bwMode="auto">
        <a:xfrm flipV="1">
          <a:off x="5902036" y="152852582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871</xdr:row>
      <xdr:rowOff>0</xdr:rowOff>
    </xdr:from>
    <xdr:to>
      <xdr:col>16</xdr:col>
      <xdr:colOff>193964</xdr:colOff>
      <xdr:row>873</xdr:row>
      <xdr:rowOff>0</xdr:rowOff>
    </xdr:to>
    <xdr:cxnSp macro="">
      <xdr:nvCxnSpPr>
        <xdr:cNvPr id="27939" name="AutoShape 34"/>
        <xdr:cNvCxnSpPr>
          <a:cxnSpLocks noChangeShapeType="1"/>
        </xdr:cNvCxnSpPr>
      </xdr:nvCxnSpPr>
      <xdr:spPr bwMode="auto">
        <a:xfrm flipV="1">
          <a:off x="5902036" y="152852582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919</xdr:row>
      <xdr:rowOff>0</xdr:rowOff>
    </xdr:from>
    <xdr:to>
      <xdr:col>16</xdr:col>
      <xdr:colOff>193964</xdr:colOff>
      <xdr:row>921</xdr:row>
      <xdr:rowOff>0</xdr:rowOff>
    </xdr:to>
    <xdr:cxnSp macro="">
      <xdr:nvCxnSpPr>
        <xdr:cNvPr id="27940" name="AutoShape 35"/>
        <xdr:cNvCxnSpPr>
          <a:cxnSpLocks noChangeShapeType="1"/>
        </xdr:cNvCxnSpPr>
      </xdr:nvCxnSpPr>
      <xdr:spPr bwMode="auto">
        <a:xfrm flipV="1">
          <a:off x="5902036" y="161276145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723</xdr:row>
      <xdr:rowOff>0</xdr:rowOff>
    </xdr:from>
    <xdr:to>
      <xdr:col>16</xdr:col>
      <xdr:colOff>193964</xdr:colOff>
      <xdr:row>725</xdr:row>
      <xdr:rowOff>0</xdr:rowOff>
    </xdr:to>
    <xdr:cxnSp macro="">
      <xdr:nvCxnSpPr>
        <xdr:cNvPr id="27941" name="AutoShape 36"/>
        <xdr:cNvCxnSpPr>
          <a:cxnSpLocks noChangeShapeType="1"/>
        </xdr:cNvCxnSpPr>
      </xdr:nvCxnSpPr>
      <xdr:spPr bwMode="auto">
        <a:xfrm flipV="1">
          <a:off x="5902036" y="126879927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1064</xdr:row>
      <xdr:rowOff>0</xdr:rowOff>
    </xdr:from>
    <xdr:to>
      <xdr:col>16</xdr:col>
      <xdr:colOff>193964</xdr:colOff>
      <xdr:row>1066</xdr:row>
      <xdr:rowOff>0</xdr:rowOff>
    </xdr:to>
    <xdr:cxnSp macro="">
      <xdr:nvCxnSpPr>
        <xdr:cNvPr id="27942" name="AutoShape 38"/>
        <xdr:cNvCxnSpPr>
          <a:cxnSpLocks noChangeShapeType="1"/>
        </xdr:cNvCxnSpPr>
      </xdr:nvCxnSpPr>
      <xdr:spPr bwMode="auto">
        <a:xfrm flipV="1">
          <a:off x="5902036" y="186722327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1113</xdr:row>
      <xdr:rowOff>0</xdr:rowOff>
    </xdr:from>
    <xdr:to>
      <xdr:col>16</xdr:col>
      <xdr:colOff>193964</xdr:colOff>
      <xdr:row>1115</xdr:row>
      <xdr:rowOff>0</xdr:rowOff>
    </xdr:to>
    <xdr:cxnSp macro="">
      <xdr:nvCxnSpPr>
        <xdr:cNvPr id="27943" name="AutoShape 39"/>
        <xdr:cNvCxnSpPr>
          <a:cxnSpLocks noChangeShapeType="1"/>
        </xdr:cNvCxnSpPr>
      </xdr:nvCxnSpPr>
      <xdr:spPr bwMode="auto">
        <a:xfrm flipV="1">
          <a:off x="5902036" y="195321382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1017</xdr:row>
      <xdr:rowOff>0</xdr:rowOff>
    </xdr:from>
    <xdr:to>
      <xdr:col>16</xdr:col>
      <xdr:colOff>193964</xdr:colOff>
      <xdr:row>1019</xdr:row>
      <xdr:rowOff>0</xdr:rowOff>
    </xdr:to>
    <xdr:cxnSp macro="">
      <xdr:nvCxnSpPr>
        <xdr:cNvPr id="27944" name="AutoShape 41"/>
        <xdr:cNvCxnSpPr>
          <a:cxnSpLocks noChangeShapeType="1"/>
        </xdr:cNvCxnSpPr>
      </xdr:nvCxnSpPr>
      <xdr:spPr bwMode="auto">
        <a:xfrm flipV="1">
          <a:off x="5902036" y="178474255"/>
          <a:ext cx="480291" cy="350981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478</xdr:row>
      <xdr:rowOff>0</xdr:rowOff>
    </xdr:from>
    <xdr:to>
      <xdr:col>16</xdr:col>
      <xdr:colOff>193964</xdr:colOff>
      <xdr:row>480</xdr:row>
      <xdr:rowOff>0</xdr:rowOff>
    </xdr:to>
    <xdr:cxnSp macro="">
      <xdr:nvCxnSpPr>
        <xdr:cNvPr id="27945" name="AutoShape 42"/>
        <xdr:cNvCxnSpPr>
          <a:cxnSpLocks noChangeShapeType="1"/>
        </xdr:cNvCxnSpPr>
      </xdr:nvCxnSpPr>
      <xdr:spPr bwMode="auto">
        <a:xfrm flipV="1">
          <a:off x="5902036" y="83884655"/>
          <a:ext cx="480291" cy="350981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576</xdr:row>
      <xdr:rowOff>0</xdr:rowOff>
    </xdr:from>
    <xdr:to>
      <xdr:col>16</xdr:col>
      <xdr:colOff>193964</xdr:colOff>
      <xdr:row>578</xdr:row>
      <xdr:rowOff>0</xdr:rowOff>
    </xdr:to>
    <xdr:cxnSp macro="">
      <xdr:nvCxnSpPr>
        <xdr:cNvPr id="27946" name="AutoShape 43"/>
        <xdr:cNvCxnSpPr>
          <a:cxnSpLocks noChangeShapeType="1"/>
        </xdr:cNvCxnSpPr>
      </xdr:nvCxnSpPr>
      <xdr:spPr bwMode="auto">
        <a:xfrm flipV="1">
          <a:off x="5902036" y="101082764"/>
          <a:ext cx="480291" cy="350981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968</xdr:row>
      <xdr:rowOff>0</xdr:rowOff>
    </xdr:from>
    <xdr:to>
      <xdr:col>16</xdr:col>
      <xdr:colOff>193964</xdr:colOff>
      <xdr:row>970</xdr:row>
      <xdr:rowOff>0</xdr:rowOff>
    </xdr:to>
    <xdr:cxnSp macro="">
      <xdr:nvCxnSpPr>
        <xdr:cNvPr id="27947" name="AutoShape 44"/>
        <xdr:cNvCxnSpPr>
          <a:cxnSpLocks noChangeShapeType="1"/>
        </xdr:cNvCxnSpPr>
      </xdr:nvCxnSpPr>
      <xdr:spPr bwMode="auto">
        <a:xfrm flipV="1">
          <a:off x="5902036" y="169875200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331</xdr:row>
      <xdr:rowOff>0</xdr:rowOff>
    </xdr:from>
    <xdr:to>
      <xdr:col>16</xdr:col>
      <xdr:colOff>193964</xdr:colOff>
      <xdr:row>333</xdr:row>
      <xdr:rowOff>0</xdr:rowOff>
    </xdr:to>
    <xdr:cxnSp macro="">
      <xdr:nvCxnSpPr>
        <xdr:cNvPr id="27948" name="AutoShape 45"/>
        <xdr:cNvCxnSpPr>
          <a:cxnSpLocks noChangeShapeType="1"/>
        </xdr:cNvCxnSpPr>
      </xdr:nvCxnSpPr>
      <xdr:spPr bwMode="auto">
        <a:xfrm flipV="1">
          <a:off x="5902036" y="58087491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429</xdr:row>
      <xdr:rowOff>0</xdr:rowOff>
    </xdr:from>
    <xdr:to>
      <xdr:col>16</xdr:col>
      <xdr:colOff>193964</xdr:colOff>
      <xdr:row>431</xdr:row>
      <xdr:rowOff>0</xdr:rowOff>
    </xdr:to>
    <xdr:cxnSp macro="">
      <xdr:nvCxnSpPr>
        <xdr:cNvPr id="27949" name="AutoShape 46"/>
        <xdr:cNvCxnSpPr>
          <a:cxnSpLocks noChangeShapeType="1"/>
        </xdr:cNvCxnSpPr>
      </xdr:nvCxnSpPr>
      <xdr:spPr bwMode="auto">
        <a:xfrm flipV="1">
          <a:off x="5902036" y="75285600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15</xdr:col>
      <xdr:colOff>0</xdr:colOff>
      <xdr:row>527</xdr:row>
      <xdr:rowOff>0</xdr:rowOff>
    </xdr:from>
    <xdr:to>
      <xdr:col>16</xdr:col>
      <xdr:colOff>193964</xdr:colOff>
      <xdr:row>529</xdr:row>
      <xdr:rowOff>0</xdr:rowOff>
    </xdr:to>
    <xdr:cxnSp macro="">
      <xdr:nvCxnSpPr>
        <xdr:cNvPr id="27950" name="AutoShape 47"/>
        <xdr:cNvCxnSpPr>
          <a:cxnSpLocks noChangeShapeType="1"/>
        </xdr:cNvCxnSpPr>
      </xdr:nvCxnSpPr>
      <xdr:spPr bwMode="auto">
        <a:xfrm flipV="1">
          <a:off x="5902036" y="92483709"/>
          <a:ext cx="480291" cy="350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O489"/>
  <sheetViews>
    <sheetView showGridLines="0" showZeros="0" tabSelected="1" view="pageBreakPreview" zoomScale="115" zoomScaleSheetLayoutView="115" workbookViewId="0">
      <pane ySplit="4" topLeftCell="A5" activePane="bottomLeft" state="frozen"/>
      <selection activeCell="B39" sqref="B39"/>
      <selection pane="bottomLeft" activeCell="A5" sqref="A5:E5"/>
    </sheetView>
  </sheetViews>
  <sheetFormatPr defaultRowHeight="15.2" customHeight="1"/>
  <cols>
    <col min="1" max="1" width="5" style="55" bestFit="1" customWidth="1"/>
    <col min="2" max="2" width="20.5546875" style="75" customWidth="1"/>
    <col min="3" max="3" width="17.77734375" style="55" customWidth="1"/>
    <col min="4" max="4" width="4.44140625" style="76" bestFit="1" customWidth="1"/>
    <col min="5" max="5" width="4" style="77" bestFit="1" customWidth="1"/>
    <col min="6" max="6" width="6.88671875" style="78" bestFit="1" customWidth="1"/>
    <col min="7" max="7" width="8.5546875" style="79" customWidth="1"/>
    <col min="8" max="8" width="8.109375" style="78" bestFit="1" customWidth="1"/>
    <col min="9" max="9" width="8.44140625" style="79" customWidth="1"/>
    <col min="10" max="10" width="6.88671875" style="78" bestFit="1" customWidth="1"/>
    <col min="11" max="11" width="8.88671875" style="79"/>
    <col min="12" max="12" width="8.109375" style="79" bestFit="1" customWidth="1"/>
    <col min="13" max="13" width="10.109375" style="79" customWidth="1"/>
    <col min="14" max="16384" width="8.88671875" style="55"/>
  </cols>
  <sheetData>
    <row r="1" spans="1:13" ht="20.25" customHeight="1">
      <c r="A1" s="758" t="s">
        <v>1457</v>
      </c>
      <c r="B1" s="758"/>
      <c r="C1" s="758"/>
      <c r="D1" s="758"/>
      <c r="E1" s="758"/>
      <c r="F1" s="758"/>
      <c r="G1" s="758"/>
      <c r="H1" s="758"/>
      <c r="I1" s="758"/>
      <c r="J1" s="758"/>
      <c r="K1" s="758"/>
      <c r="L1" s="758"/>
      <c r="M1" s="758"/>
    </row>
    <row r="2" spans="1:13" s="57" customFormat="1" ht="15.2" customHeight="1">
      <c r="A2" s="620" t="s">
        <v>4045</v>
      </c>
      <c r="D2" s="58"/>
      <c r="E2" s="59"/>
      <c r="F2" s="60"/>
      <c r="G2" s="61"/>
      <c r="H2" s="60"/>
      <c r="I2" s="61"/>
      <c r="J2" s="60"/>
      <c r="K2" s="61"/>
      <c r="L2" s="762" t="s">
        <v>3331</v>
      </c>
      <c r="M2" s="762"/>
    </row>
    <row r="3" spans="1:13" s="57" customFormat="1" ht="15.2" customHeight="1">
      <c r="A3" s="760" t="s">
        <v>3674</v>
      </c>
      <c r="B3" s="763" t="s">
        <v>1993</v>
      </c>
      <c r="C3" s="761" t="s">
        <v>1994</v>
      </c>
      <c r="D3" s="765" t="s">
        <v>1710</v>
      </c>
      <c r="E3" s="761" t="s">
        <v>1711</v>
      </c>
      <c r="F3" s="759" t="s">
        <v>1995</v>
      </c>
      <c r="G3" s="759"/>
      <c r="H3" s="759" t="s">
        <v>1996</v>
      </c>
      <c r="I3" s="759"/>
      <c r="J3" s="759" t="s">
        <v>1997</v>
      </c>
      <c r="K3" s="759"/>
      <c r="L3" s="759" t="s">
        <v>1998</v>
      </c>
      <c r="M3" s="759"/>
    </row>
    <row r="4" spans="1:13" s="57" customFormat="1" ht="15.2" customHeight="1">
      <c r="A4" s="761"/>
      <c r="B4" s="764"/>
      <c r="C4" s="761"/>
      <c r="D4" s="765"/>
      <c r="E4" s="761"/>
      <c r="F4" s="499" t="s">
        <v>1999</v>
      </c>
      <c r="G4" s="499" t="s">
        <v>853</v>
      </c>
      <c r="H4" s="499" t="s">
        <v>1999</v>
      </c>
      <c r="I4" s="499" t="s">
        <v>853</v>
      </c>
      <c r="J4" s="499" t="s">
        <v>1999</v>
      </c>
      <c r="K4" s="499" t="s">
        <v>853</v>
      </c>
      <c r="L4" s="499" t="s">
        <v>1999</v>
      </c>
      <c r="M4" s="499" t="s">
        <v>853</v>
      </c>
    </row>
    <row r="5" spans="1:13" s="57" customFormat="1" ht="15.2" customHeight="1">
      <c r="A5" s="756" t="s">
        <v>3297</v>
      </c>
      <c r="B5" s="757"/>
      <c r="C5" s="757"/>
      <c r="D5" s="757"/>
      <c r="E5" s="757"/>
      <c r="F5" s="449"/>
      <c r="G5" s="449"/>
      <c r="H5" s="449"/>
      <c r="I5" s="449"/>
      <c r="J5" s="449"/>
      <c r="K5" s="449"/>
      <c r="L5" s="449"/>
      <c r="M5" s="450"/>
    </row>
    <row r="6" spans="1:13" s="57" customFormat="1" ht="15.2" customHeight="1">
      <c r="A6" s="67">
        <v>1</v>
      </c>
      <c r="B6" s="63" t="s">
        <v>954</v>
      </c>
      <c r="C6" s="64" t="s">
        <v>1403</v>
      </c>
      <c r="D6" s="65">
        <v>1</v>
      </c>
      <c r="E6" s="62" t="s">
        <v>301</v>
      </c>
      <c r="F6" s="66">
        <f>일위대가!H9</f>
        <v>98700</v>
      </c>
      <c r="G6" s="66">
        <f>TRUNC(D6*F6)</f>
        <v>98700</v>
      </c>
      <c r="H6" s="66">
        <f>일위대가!J9</f>
        <v>59113</v>
      </c>
      <c r="I6" s="66">
        <f>TRUNC(D6*H6)</f>
        <v>59113</v>
      </c>
      <c r="J6" s="66">
        <f>일위대가!L9</f>
        <v>17680</v>
      </c>
      <c r="K6" s="66">
        <f>TRUNC(D6*J6)</f>
        <v>17680</v>
      </c>
      <c r="L6" s="66">
        <f>F6+H6+J6</f>
        <v>175493</v>
      </c>
      <c r="M6" s="66">
        <f>G6+I6+K6</f>
        <v>175493</v>
      </c>
    </row>
    <row r="7" spans="1:13" s="57" customFormat="1" ht="15.2" customHeight="1">
      <c r="A7" s="67">
        <f>A6+1</f>
        <v>2</v>
      </c>
      <c r="B7" s="63" t="s">
        <v>954</v>
      </c>
      <c r="C7" s="64" t="s">
        <v>955</v>
      </c>
      <c r="D7" s="65">
        <v>1</v>
      </c>
      <c r="E7" s="62" t="s">
        <v>2563</v>
      </c>
      <c r="F7" s="66">
        <f>일위대가!H14</f>
        <v>82420</v>
      </c>
      <c r="G7" s="66">
        <f t="shared" ref="G7:G82" si="0">TRUNC(D7*F7)</f>
        <v>82420</v>
      </c>
      <c r="H7" s="66">
        <f>일위대가!J14</f>
        <v>59113</v>
      </c>
      <c r="I7" s="66">
        <f>TRUNC(D7*H7)</f>
        <v>59113</v>
      </c>
      <c r="J7" s="66">
        <f>일위대가!L14</f>
        <v>13260</v>
      </c>
      <c r="K7" s="66">
        <f>TRUNC(D7*J7)</f>
        <v>13260</v>
      </c>
      <c r="L7" s="66">
        <f t="shared" ref="L7:L82" si="1">F7+H7+J7</f>
        <v>154793</v>
      </c>
      <c r="M7" s="66">
        <f t="shared" ref="M7:M82" si="2">G7+I7+K7</f>
        <v>154793</v>
      </c>
    </row>
    <row r="8" spans="1:13" s="57" customFormat="1" ht="15.2" customHeight="1">
      <c r="A8" s="67">
        <f t="shared" ref="A8:A60" si="3">A7+1</f>
        <v>3</v>
      </c>
      <c r="B8" s="63" t="s">
        <v>2564</v>
      </c>
      <c r="C8" s="64" t="s">
        <v>2565</v>
      </c>
      <c r="D8" s="65">
        <v>1</v>
      </c>
      <c r="E8" s="62" t="s">
        <v>2563</v>
      </c>
      <c r="F8" s="66">
        <f>일위대가!H19</f>
        <v>62290</v>
      </c>
      <c r="G8" s="66">
        <f t="shared" si="0"/>
        <v>62290</v>
      </c>
      <c r="H8" s="66">
        <f>일위대가!J19</f>
        <v>59113</v>
      </c>
      <c r="I8" s="66">
        <f>TRUNC(D8*H8)</f>
        <v>59113</v>
      </c>
      <c r="J8" s="66">
        <f>일위대가!L19</f>
        <v>8320</v>
      </c>
      <c r="K8" s="66">
        <f>TRUNC(D8*J8)</f>
        <v>8320</v>
      </c>
      <c r="L8" s="66">
        <f t="shared" si="1"/>
        <v>129723</v>
      </c>
      <c r="M8" s="66">
        <f t="shared" si="2"/>
        <v>129723</v>
      </c>
    </row>
    <row r="9" spans="1:13" s="57" customFormat="1" ht="15.2" customHeight="1">
      <c r="A9" s="67">
        <f t="shared" si="3"/>
        <v>4</v>
      </c>
      <c r="B9" s="642" t="s">
        <v>4067</v>
      </c>
      <c r="C9" s="64" t="s">
        <v>2566</v>
      </c>
      <c r="D9" s="65">
        <v>1</v>
      </c>
      <c r="E9" s="62" t="s">
        <v>2563</v>
      </c>
      <c r="F9" s="66">
        <f>일위대가!H26</f>
        <v>64236</v>
      </c>
      <c r="G9" s="66">
        <f t="shared" si="0"/>
        <v>64236</v>
      </c>
      <c r="H9" s="66">
        <f>일위대가!J26</f>
        <v>194616</v>
      </c>
      <c r="I9" s="66">
        <f t="shared" ref="I9:I84" si="4">TRUNC(D9*H9)</f>
        <v>194616</v>
      </c>
      <c r="J9" s="66">
        <f>일위대가!L26</f>
        <v>8398</v>
      </c>
      <c r="K9" s="66">
        <f>TRUNC(D9*J9)</f>
        <v>8398</v>
      </c>
      <c r="L9" s="66">
        <f t="shared" si="1"/>
        <v>267250</v>
      </c>
      <c r="M9" s="66">
        <f t="shared" si="2"/>
        <v>267250</v>
      </c>
    </row>
    <row r="10" spans="1:13" s="57" customFormat="1" ht="15.2" customHeight="1">
      <c r="A10" s="67">
        <f t="shared" si="3"/>
        <v>5</v>
      </c>
      <c r="B10" s="642" t="s">
        <v>4067</v>
      </c>
      <c r="C10" s="64" t="s">
        <v>2567</v>
      </c>
      <c r="D10" s="65">
        <v>1</v>
      </c>
      <c r="E10" s="62" t="s">
        <v>2563</v>
      </c>
      <c r="F10" s="66">
        <f>일위대가!H33</f>
        <v>64236</v>
      </c>
      <c r="G10" s="66">
        <f t="shared" si="0"/>
        <v>64236</v>
      </c>
      <c r="H10" s="66">
        <f>일위대가!J33</f>
        <v>305706</v>
      </c>
      <c r="I10" s="66">
        <f t="shared" si="4"/>
        <v>305706</v>
      </c>
      <c r="J10" s="66">
        <f>일위대가!L33</f>
        <v>8398</v>
      </c>
      <c r="K10" s="66">
        <f t="shared" ref="K10:K85" si="5">TRUNC(D10*J10)</f>
        <v>8398</v>
      </c>
      <c r="L10" s="66">
        <f t="shared" si="1"/>
        <v>378340</v>
      </c>
      <c r="M10" s="66">
        <f t="shared" si="2"/>
        <v>378340</v>
      </c>
    </row>
    <row r="11" spans="1:13" s="57" customFormat="1" ht="15.2" customHeight="1">
      <c r="A11" s="67">
        <f t="shared" si="3"/>
        <v>6</v>
      </c>
      <c r="B11" s="642" t="s">
        <v>4067</v>
      </c>
      <c r="C11" s="64" t="s">
        <v>3281</v>
      </c>
      <c r="D11" s="65">
        <v>1</v>
      </c>
      <c r="E11" s="62" t="s">
        <v>301</v>
      </c>
      <c r="F11" s="66">
        <f>일위대가!H40</f>
        <v>302610</v>
      </c>
      <c r="G11" s="66">
        <f t="shared" si="0"/>
        <v>302610</v>
      </c>
      <c r="H11" s="66">
        <f>일위대가!J40</f>
        <v>305706</v>
      </c>
      <c r="I11" s="66">
        <f t="shared" si="4"/>
        <v>305706</v>
      </c>
      <c r="J11" s="66">
        <f>일위대가!L40</f>
        <v>8398</v>
      </c>
      <c r="K11" s="66">
        <f>TRUNC(D11*J11)</f>
        <v>8398</v>
      </c>
      <c r="L11" s="66">
        <f>F11+H11+J11</f>
        <v>616714</v>
      </c>
      <c r="M11" s="66">
        <f>G11+I11+K11</f>
        <v>616714</v>
      </c>
    </row>
    <row r="12" spans="1:13" s="57" customFormat="1" ht="15.2" customHeight="1">
      <c r="A12" s="67">
        <f t="shared" si="3"/>
        <v>7</v>
      </c>
      <c r="B12" s="642" t="s">
        <v>4068</v>
      </c>
      <c r="C12" s="64" t="s">
        <v>2566</v>
      </c>
      <c r="D12" s="65">
        <v>1</v>
      </c>
      <c r="E12" s="62" t="s">
        <v>2563</v>
      </c>
      <c r="F12" s="66">
        <f>일위대가!H47</f>
        <v>51922</v>
      </c>
      <c r="G12" s="66">
        <f t="shared" si="0"/>
        <v>51922</v>
      </c>
      <c r="H12" s="66">
        <f>일위대가!J47</f>
        <v>194616</v>
      </c>
      <c r="I12" s="66">
        <f t="shared" si="4"/>
        <v>194616</v>
      </c>
      <c r="J12" s="66">
        <f>일위대가!L47</f>
        <v>5486</v>
      </c>
      <c r="K12" s="66">
        <f t="shared" si="5"/>
        <v>5486</v>
      </c>
      <c r="L12" s="66">
        <f t="shared" si="1"/>
        <v>252024</v>
      </c>
      <c r="M12" s="66">
        <f t="shared" si="2"/>
        <v>252024</v>
      </c>
    </row>
    <row r="13" spans="1:13" s="57" customFormat="1" ht="15.2" customHeight="1">
      <c r="A13" s="67">
        <f t="shared" si="3"/>
        <v>8</v>
      </c>
      <c r="B13" s="642" t="s">
        <v>4068</v>
      </c>
      <c r="C13" s="64" t="s">
        <v>2567</v>
      </c>
      <c r="D13" s="65">
        <v>1</v>
      </c>
      <c r="E13" s="62" t="s">
        <v>2563</v>
      </c>
      <c r="F13" s="66">
        <f>일위대가!H54</f>
        <v>51922</v>
      </c>
      <c r="G13" s="66">
        <f t="shared" si="0"/>
        <v>51922</v>
      </c>
      <c r="H13" s="66">
        <f>일위대가!J54</f>
        <v>305706</v>
      </c>
      <c r="I13" s="66">
        <f t="shared" si="4"/>
        <v>305706</v>
      </c>
      <c r="J13" s="66">
        <f>일위대가!L54</f>
        <v>5486</v>
      </c>
      <c r="K13" s="66">
        <f t="shared" si="5"/>
        <v>5486</v>
      </c>
      <c r="L13" s="66">
        <f t="shared" si="1"/>
        <v>363114</v>
      </c>
      <c r="M13" s="66">
        <f t="shared" si="2"/>
        <v>363114</v>
      </c>
    </row>
    <row r="14" spans="1:13" s="57" customFormat="1" ht="15.2" customHeight="1">
      <c r="A14" s="67">
        <f t="shared" si="3"/>
        <v>9</v>
      </c>
      <c r="B14" s="642" t="s">
        <v>4007</v>
      </c>
      <c r="C14" s="64" t="s">
        <v>2568</v>
      </c>
      <c r="D14" s="65">
        <v>1</v>
      </c>
      <c r="E14" s="62" t="s">
        <v>2569</v>
      </c>
      <c r="F14" s="66">
        <f>일위대가!H63</f>
        <v>574055</v>
      </c>
      <c r="G14" s="66">
        <f t="shared" si="0"/>
        <v>574055</v>
      </c>
      <c r="H14" s="66">
        <f>일위대가!J63</f>
        <v>501784</v>
      </c>
      <c r="I14" s="66">
        <f t="shared" si="4"/>
        <v>501784</v>
      </c>
      <c r="J14" s="66">
        <f>일위대가!L63</f>
        <v>0</v>
      </c>
      <c r="K14" s="66">
        <f t="shared" si="5"/>
        <v>0</v>
      </c>
      <c r="L14" s="66">
        <f t="shared" si="1"/>
        <v>1075839</v>
      </c>
      <c r="M14" s="66">
        <f t="shared" si="2"/>
        <v>1075839</v>
      </c>
    </row>
    <row r="15" spans="1:13" s="57" customFormat="1" ht="15.2" customHeight="1">
      <c r="A15" s="67">
        <f t="shared" si="3"/>
        <v>10</v>
      </c>
      <c r="B15" s="642" t="s">
        <v>4007</v>
      </c>
      <c r="C15" s="64" t="s">
        <v>2570</v>
      </c>
      <c r="D15" s="65">
        <v>1</v>
      </c>
      <c r="E15" s="62" t="s">
        <v>2569</v>
      </c>
      <c r="F15" s="66">
        <f>일위대가!H72</f>
        <v>14162</v>
      </c>
      <c r="G15" s="66">
        <f t="shared" si="0"/>
        <v>14162</v>
      </c>
      <c r="H15" s="66">
        <f>일위대가!J72</f>
        <v>563492</v>
      </c>
      <c r="I15" s="66">
        <f t="shared" si="4"/>
        <v>563492</v>
      </c>
      <c r="J15" s="66">
        <f>일위대가!L72</f>
        <v>0</v>
      </c>
      <c r="K15" s="66">
        <f t="shared" si="5"/>
        <v>0</v>
      </c>
      <c r="L15" s="66">
        <f t="shared" si="1"/>
        <v>577654</v>
      </c>
      <c r="M15" s="66">
        <f t="shared" si="2"/>
        <v>577654</v>
      </c>
    </row>
    <row r="16" spans="1:13" s="57" customFormat="1" ht="15.2" customHeight="1">
      <c r="A16" s="67">
        <f t="shared" si="3"/>
        <v>11</v>
      </c>
      <c r="B16" s="642" t="s">
        <v>4007</v>
      </c>
      <c r="C16" s="64" t="s">
        <v>2571</v>
      </c>
      <c r="D16" s="65">
        <v>1</v>
      </c>
      <c r="E16" s="62" t="s">
        <v>2569</v>
      </c>
      <c r="F16" s="66">
        <f>일위대가!H81</f>
        <v>17286</v>
      </c>
      <c r="G16" s="66">
        <f t="shared" si="0"/>
        <v>17286</v>
      </c>
      <c r="H16" s="66">
        <f>일위대가!J81</f>
        <v>624270</v>
      </c>
      <c r="I16" s="66">
        <f t="shared" si="4"/>
        <v>624270</v>
      </c>
      <c r="J16" s="66">
        <f>일위대가!L81</f>
        <v>0</v>
      </c>
      <c r="K16" s="66">
        <f t="shared" si="5"/>
        <v>0</v>
      </c>
      <c r="L16" s="66">
        <f t="shared" si="1"/>
        <v>641556</v>
      </c>
      <c r="M16" s="66">
        <f t="shared" si="2"/>
        <v>641556</v>
      </c>
    </row>
    <row r="17" spans="1:13" s="57" customFormat="1" ht="15.2" customHeight="1">
      <c r="A17" s="67">
        <f t="shared" si="3"/>
        <v>12</v>
      </c>
      <c r="B17" s="642" t="s">
        <v>4007</v>
      </c>
      <c r="C17" s="64" t="s">
        <v>2572</v>
      </c>
      <c r="D17" s="65">
        <v>1</v>
      </c>
      <c r="E17" s="62" t="s">
        <v>2573</v>
      </c>
      <c r="F17" s="66">
        <f>일위대가!H90</f>
        <v>16079</v>
      </c>
      <c r="G17" s="66">
        <f t="shared" si="0"/>
        <v>16079</v>
      </c>
      <c r="H17" s="66">
        <f>일위대가!J90</f>
        <v>697822</v>
      </c>
      <c r="I17" s="66">
        <f t="shared" si="4"/>
        <v>697822</v>
      </c>
      <c r="J17" s="66">
        <f>일위대가!L90</f>
        <v>0</v>
      </c>
      <c r="K17" s="66">
        <f t="shared" si="5"/>
        <v>0</v>
      </c>
      <c r="L17" s="66">
        <f t="shared" si="1"/>
        <v>713901</v>
      </c>
      <c r="M17" s="66">
        <f t="shared" si="2"/>
        <v>713901</v>
      </c>
    </row>
    <row r="18" spans="1:13" s="57" customFormat="1" ht="15.2" customHeight="1">
      <c r="A18" s="67">
        <f t="shared" si="3"/>
        <v>13</v>
      </c>
      <c r="B18" s="63" t="s">
        <v>2574</v>
      </c>
      <c r="C18" s="64" t="s">
        <v>2575</v>
      </c>
      <c r="D18" s="65">
        <v>1</v>
      </c>
      <c r="E18" s="62" t="s">
        <v>2573</v>
      </c>
      <c r="F18" s="66">
        <f>일위대가!H98</f>
        <v>10271</v>
      </c>
      <c r="G18" s="66">
        <f>TRUNC(D18*F18)</f>
        <v>10271</v>
      </c>
      <c r="H18" s="66">
        <f>일위대가!J98</f>
        <v>29336</v>
      </c>
      <c r="I18" s="66">
        <f>TRUNC(D18*H18)</f>
        <v>29336</v>
      </c>
      <c r="J18" s="66">
        <f>일위대가!L98</f>
        <v>17602</v>
      </c>
      <c r="K18" s="66">
        <f>TRUNC(D18*J18)</f>
        <v>17602</v>
      </c>
      <c r="L18" s="66">
        <f>F18+H18+J18</f>
        <v>57209</v>
      </c>
      <c r="M18" s="66">
        <f>G18+I18+K18</f>
        <v>57209</v>
      </c>
    </row>
    <row r="19" spans="1:13" s="57" customFormat="1" ht="15.2" customHeight="1">
      <c r="A19" s="67">
        <f t="shared" si="3"/>
        <v>14</v>
      </c>
      <c r="B19" s="63" t="s">
        <v>2574</v>
      </c>
      <c r="C19" s="64" t="s">
        <v>2576</v>
      </c>
      <c r="D19" s="65">
        <v>1</v>
      </c>
      <c r="E19" s="62" t="s">
        <v>2573</v>
      </c>
      <c r="F19" s="66">
        <f>일위대가!H106</f>
        <v>10419</v>
      </c>
      <c r="G19" s="66">
        <f t="shared" si="0"/>
        <v>10419</v>
      </c>
      <c r="H19" s="66">
        <f>일위대가!J106</f>
        <v>36739</v>
      </c>
      <c r="I19" s="66">
        <f t="shared" si="4"/>
        <v>36739</v>
      </c>
      <c r="J19" s="66">
        <f>일위대가!L106</f>
        <v>22044</v>
      </c>
      <c r="K19" s="66">
        <f t="shared" si="5"/>
        <v>22044</v>
      </c>
      <c r="L19" s="66">
        <f t="shared" si="1"/>
        <v>69202</v>
      </c>
      <c r="M19" s="66">
        <f t="shared" si="2"/>
        <v>69202</v>
      </c>
    </row>
    <row r="20" spans="1:13" s="57" customFormat="1" ht="15.2" customHeight="1">
      <c r="A20" s="67">
        <f t="shared" si="3"/>
        <v>15</v>
      </c>
      <c r="B20" s="63" t="s">
        <v>2574</v>
      </c>
      <c r="C20" s="64" t="s">
        <v>2577</v>
      </c>
      <c r="D20" s="65">
        <v>1</v>
      </c>
      <c r="E20" s="62" t="s">
        <v>2573</v>
      </c>
      <c r="F20" s="66">
        <f>일위대가!H114</f>
        <v>12879</v>
      </c>
      <c r="G20" s="66">
        <f t="shared" si="0"/>
        <v>12879</v>
      </c>
      <c r="H20" s="66">
        <f>일위대가!J114</f>
        <v>47999</v>
      </c>
      <c r="I20" s="66">
        <f t="shared" si="4"/>
        <v>47999</v>
      </c>
      <c r="J20" s="66">
        <f>일위대가!L114</f>
        <v>28799</v>
      </c>
      <c r="K20" s="66">
        <f t="shared" si="5"/>
        <v>28799</v>
      </c>
      <c r="L20" s="66">
        <f t="shared" si="1"/>
        <v>89677</v>
      </c>
      <c r="M20" s="66">
        <f t="shared" si="2"/>
        <v>89677</v>
      </c>
    </row>
    <row r="21" spans="1:13" s="57" customFormat="1" ht="15.2" customHeight="1">
      <c r="A21" s="67">
        <f t="shared" si="3"/>
        <v>16</v>
      </c>
      <c r="B21" s="63" t="s">
        <v>2574</v>
      </c>
      <c r="C21" s="64" t="s">
        <v>2578</v>
      </c>
      <c r="D21" s="65">
        <v>1</v>
      </c>
      <c r="E21" s="62" t="s">
        <v>2573</v>
      </c>
      <c r="F21" s="66">
        <f>일위대가!H122</f>
        <v>13152</v>
      </c>
      <c r="G21" s="66">
        <f t="shared" si="0"/>
        <v>13152</v>
      </c>
      <c r="H21" s="66">
        <f>일위대가!J122</f>
        <v>61634</v>
      </c>
      <c r="I21" s="66">
        <f t="shared" si="4"/>
        <v>61634</v>
      </c>
      <c r="J21" s="66">
        <f>일위대가!L122</f>
        <v>36981</v>
      </c>
      <c r="K21" s="66">
        <f t="shared" si="5"/>
        <v>36981</v>
      </c>
      <c r="L21" s="618">
        <f t="shared" si="1"/>
        <v>111767</v>
      </c>
      <c r="M21" s="66">
        <f t="shared" si="2"/>
        <v>111767</v>
      </c>
    </row>
    <row r="22" spans="1:13" s="57" customFormat="1" ht="15.2" customHeight="1">
      <c r="A22" s="67">
        <f t="shared" si="3"/>
        <v>17</v>
      </c>
      <c r="B22" s="63" t="s">
        <v>2579</v>
      </c>
      <c r="C22" s="64" t="s">
        <v>2580</v>
      </c>
      <c r="D22" s="65">
        <v>1</v>
      </c>
      <c r="E22" s="62" t="s">
        <v>2581</v>
      </c>
      <c r="F22" s="66">
        <f>일위대가!H132</f>
        <v>19716</v>
      </c>
      <c r="G22" s="66">
        <f t="shared" si="0"/>
        <v>19716</v>
      </c>
      <c r="H22" s="66">
        <f>일위대가!J132</f>
        <v>44369</v>
      </c>
      <c r="I22" s="66">
        <f t="shared" si="4"/>
        <v>44369</v>
      </c>
      <c r="J22" s="66">
        <f>일위대가!L132</f>
        <v>0</v>
      </c>
      <c r="K22" s="66">
        <f t="shared" si="5"/>
        <v>0</v>
      </c>
      <c r="L22" s="66">
        <f t="shared" si="1"/>
        <v>64085</v>
      </c>
      <c r="M22" s="66">
        <f t="shared" si="2"/>
        <v>64085</v>
      </c>
    </row>
    <row r="23" spans="1:13" s="57" customFormat="1" ht="15.2" customHeight="1">
      <c r="A23" s="67">
        <f t="shared" si="3"/>
        <v>18</v>
      </c>
      <c r="B23" s="63" t="s">
        <v>2582</v>
      </c>
      <c r="C23" s="64" t="s">
        <v>2583</v>
      </c>
      <c r="D23" s="65">
        <v>1</v>
      </c>
      <c r="E23" s="62" t="s">
        <v>2581</v>
      </c>
      <c r="F23" s="66">
        <f>일위대가!H142</f>
        <v>19716</v>
      </c>
      <c r="G23" s="66">
        <f t="shared" si="0"/>
        <v>19716</v>
      </c>
      <c r="H23" s="66">
        <f>일위대가!J142</f>
        <v>56226</v>
      </c>
      <c r="I23" s="66">
        <f t="shared" si="4"/>
        <v>56226</v>
      </c>
      <c r="J23" s="66">
        <f>일위대가!L142</f>
        <v>0</v>
      </c>
      <c r="K23" s="66">
        <f t="shared" si="5"/>
        <v>0</v>
      </c>
      <c r="L23" s="66">
        <f t="shared" si="1"/>
        <v>75942</v>
      </c>
      <c r="M23" s="66">
        <f t="shared" si="2"/>
        <v>75942</v>
      </c>
    </row>
    <row r="24" spans="1:13" s="57" customFormat="1" ht="15.2" customHeight="1">
      <c r="A24" s="67">
        <f t="shared" si="3"/>
        <v>19</v>
      </c>
      <c r="B24" s="63" t="s">
        <v>2579</v>
      </c>
      <c r="C24" s="64" t="s">
        <v>2584</v>
      </c>
      <c r="D24" s="65">
        <v>1</v>
      </c>
      <c r="E24" s="62" t="s">
        <v>2585</v>
      </c>
      <c r="F24" s="66">
        <f>일위대가!H147</f>
        <v>11238</v>
      </c>
      <c r="G24" s="66">
        <f t="shared" si="0"/>
        <v>11238</v>
      </c>
      <c r="H24" s="66">
        <f>일위대가!J147</f>
        <v>26621</v>
      </c>
      <c r="I24" s="66">
        <f t="shared" si="4"/>
        <v>26621</v>
      </c>
      <c r="J24" s="66">
        <f>일위대가!L147</f>
        <v>0</v>
      </c>
      <c r="K24" s="66">
        <f t="shared" si="5"/>
        <v>0</v>
      </c>
      <c r="L24" s="66">
        <f t="shared" si="1"/>
        <v>37859</v>
      </c>
      <c r="M24" s="66">
        <f t="shared" si="2"/>
        <v>37859</v>
      </c>
    </row>
    <row r="25" spans="1:13" s="57" customFormat="1" ht="15.2" customHeight="1">
      <c r="A25" s="67">
        <f t="shared" si="3"/>
        <v>20</v>
      </c>
      <c r="B25" s="63" t="s">
        <v>2586</v>
      </c>
      <c r="C25" s="64" t="s">
        <v>2587</v>
      </c>
      <c r="D25" s="65">
        <v>1</v>
      </c>
      <c r="E25" s="62" t="s">
        <v>2585</v>
      </c>
      <c r="F25" s="66">
        <f>일위대가!H152</f>
        <v>11238</v>
      </c>
      <c r="G25" s="66">
        <f t="shared" si="0"/>
        <v>11238</v>
      </c>
      <c r="H25" s="66">
        <f>일위대가!J152</f>
        <v>33735</v>
      </c>
      <c r="I25" s="66">
        <f t="shared" si="4"/>
        <v>33735</v>
      </c>
      <c r="J25" s="66">
        <f>일위대가!L152</f>
        <v>0</v>
      </c>
      <c r="K25" s="66">
        <f t="shared" si="5"/>
        <v>0</v>
      </c>
      <c r="L25" s="66">
        <f t="shared" si="1"/>
        <v>44973</v>
      </c>
      <c r="M25" s="66">
        <f t="shared" si="2"/>
        <v>44973</v>
      </c>
    </row>
    <row r="26" spans="1:13" s="57" customFormat="1" ht="15.2" customHeight="1">
      <c r="A26" s="67">
        <f t="shared" si="3"/>
        <v>21</v>
      </c>
      <c r="B26" s="63" t="s">
        <v>2588</v>
      </c>
      <c r="C26" s="64" t="s">
        <v>2589</v>
      </c>
      <c r="D26" s="65">
        <v>1</v>
      </c>
      <c r="E26" s="62" t="s">
        <v>2585</v>
      </c>
      <c r="F26" s="66">
        <f>일위대가!H157</f>
        <v>9089</v>
      </c>
      <c r="G26" s="66">
        <f t="shared" si="0"/>
        <v>9089</v>
      </c>
      <c r="H26" s="66">
        <f>일위대가!J157</f>
        <v>20897</v>
      </c>
      <c r="I26" s="66">
        <f t="shared" si="4"/>
        <v>20897</v>
      </c>
      <c r="J26" s="66">
        <f>일위대가!L157</f>
        <v>0</v>
      </c>
      <c r="K26" s="66">
        <f t="shared" si="5"/>
        <v>0</v>
      </c>
      <c r="L26" s="66">
        <f t="shared" si="1"/>
        <v>29986</v>
      </c>
      <c r="M26" s="66">
        <f t="shared" si="2"/>
        <v>29986</v>
      </c>
    </row>
    <row r="27" spans="1:13" s="57" customFormat="1" ht="15.2" customHeight="1">
      <c r="A27" s="67">
        <f t="shared" si="3"/>
        <v>22</v>
      </c>
      <c r="B27" s="63" t="s">
        <v>2586</v>
      </c>
      <c r="C27" s="64" t="s">
        <v>2590</v>
      </c>
      <c r="D27" s="65">
        <v>1</v>
      </c>
      <c r="E27" s="62" t="s">
        <v>2585</v>
      </c>
      <c r="F27" s="66">
        <f>일위대가!H162</f>
        <v>9089</v>
      </c>
      <c r="G27" s="66">
        <f t="shared" si="0"/>
        <v>9089</v>
      </c>
      <c r="H27" s="66">
        <f>일위대가!J162</f>
        <v>26482</v>
      </c>
      <c r="I27" s="66">
        <f t="shared" si="4"/>
        <v>26482</v>
      </c>
      <c r="J27" s="66">
        <f>일위대가!L162</f>
        <v>0</v>
      </c>
      <c r="K27" s="66">
        <f t="shared" si="5"/>
        <v>0</v>
      </c>
      <c r="L27" s="66">
        <f t="shared" si="1"/>
        <v>35571</v>
      </c>
      <c r="M27" s="66">
        <f t="shared" si="2"/>
        <v>35571</v>
      </c>
    </row>
    <row r="28" spans="1:13" s="57" customFormat="1" ht="15.2" customHeight="1">
      <c r="A28" s="67">
        <f t="shared" si="3"/>
        <v>23</v>
      </c>
      <c r="B28" s="63" t="s">
        <v>2588</v>
      </c>
      <c r="C28" s="64" t="s">
        <v>2591</v>
      </c>
      <c r="D28" s="65">
        <v>1</v>
      </c>
      <c r="E28" s="62" t="s">
        <v>2585</v>
      </c>
      <c r="F28" s="66">
        <f>일위대가!H167</f>
        <v>7906</v>
      </c>
      <c r="G28" s="66">
        <f t="shared" si="0"/>
        <v>7906</v>
      </c>
      <c r="H28" s="66">
        <f>일위대가!J167</f>
        <v>17747</v>
      </c>
      <c r="I28" s="66">
        <f t="shared" si="4"/>
        <v>17747</v>
      </c>
      <c r="J28" s="66">
        <f>일위대가!L167</f>
        <v>0</v>
      </c>
      <c r="K28" s="66">
        <f t="shared" si="5"/>
        <v>0</v>
      </c>
      <c r="L28" s="66">
        <f t="shared" si="1"/>
        <v>25653</v>
      </c>
      <c r="M28" s="66">
        <f t="shared" si="2"/>
        <v>25653</v>
      </c>
    </row>
    <row r="29" spans="1:13" s="57" customFormat="1" ht="15.2" customHeight="1">
      <c r="A29" s="67">
        <f t="shared" si="3"/>
        <v>24</v>
      </c>
      <c r="B29" s="63" t="s">
        <v>2586</v>
      </c>
      <c r="C29" s="64" t="s">
        <v>2592</v>
      </c>
      <c r="D29" s="65">
        <v>1</v>
      </c>
      <c r="E29" s="62" t="s">
        <v>2585</v>
      </c>
      <c r="F29" s="66">
        <f>일위대가!H172</f>
        <v>7906</v>
      </c>
      <c r="G29" s="66">
        <f t="shared" si="0"/>
        <v>7906</v>
      </c>
      <c r="H29" s="66">
        <f>일위대가!J172</f>
        <v>22490</v>
      </c>
      <c r="I29" s="66">
        <f t="shared" si="4"/>
        <v>22490</v>
      </c>
      <c r="J29" s="66">
        <f>일위대가!L172</f>
        <v>0</v>
      </c>
      <c r="K29" s="66">
        <f t="shared" si="5"/>
        <v>0</v>
      </c>
      <c r="L29" s="66">
        <f t="shared" si="1"/>
        <v>30396</v>
      </c>
      <c r="M29" s="66">
        <f t="shared" si="2"/>
        <v>30396</v>
      </c>
    </row>
    <row r="30" spans="1:13" s="57" customFormat="1" ht="15.2" customHeight="1">
      <c r="A30" s="67">
        <f t="shared" si="3"/>
        <v>25</v>
      </c>
      <c r="B30" s="63" t="s">
        <v>2588</v>
      </c>
      <c r="C30" s="64" t="s">
        <v>2593</v>
      </c>
      <c r="D30" s="65">
        <v>1</v>
      </c>
      <c r="E30" s="62" t="s">
        <v>2585</v>
      </c>
      <c r="F30" s="66">
        <f>일위대가!H177</f>
        <v>7314</v>
      </c>
      <c r="G30" s="66">
        <f t="shared" si="0"/>
        <v>7314</v>
      </c>
      <c r="H30" s="66">
        <f>일위대가!J177</f>
        <v>15174</v>
      </c>
      <c r="I30" s="66">
        <f t="shared" si="4"/>
        <v>15174</v>
      </c>
      <c r="J30" s="66">
        <f>일위대가!L177</f>
        <v>0</v>
      </c>
      <c r="K30" s="66">
        <f t="shared" si="5"/>
        <v>0</v>
      </c>
      <c r="L30" s="66">
        <f t="shared" si="1"/>
        <v>22488</v>
      </c>
      <c r="M30" s="66">
        <f t="shared" si="2"/>
        <v>22488</v>
      </c>
    </row>
    <row r="31" spans="1:13" s="57" customFormat="1" ht="15.2" customHeight="1">
      <c r="A31" s="67">
        <f t="shared" si="3"/>
        <v>26</v>
      </c>
      <c r="B31" s="63" t="s">
        <v>2586</v>
      </c>
      <c r="C31" s="64" t="s">
        <v>2594</v>
      </c>
      <c r="D31" s="65">
        <v>1</v>
      </c>
      <c r="E31" s="62" t="s">
        <v>2585</v>
      </c>
      <c r="F31" s="66">
        <f>일위대가!H182</f>
        <v>7314</v>
      </c>
      <c r="G31" s="66">
        <f t="shared" si="0"/>
        <v>7314</v>
      </c>
      <c r="H31" s="66">
        <f>일위대가!J182</f>
        <v>19229</v>
      </c>
      <c r="I31" s="66">
        <f t="shared" si="4"/>
        <v>19229</v>
      </c>
      <c r="J31" s="66">
        <f>일위대가!L182</f>
        <v>0</v>
      </c>
      <c r="K31" s="66">
        <f t="shared" si="5"/>
        <v>0</v>
      </c>
      <c r="L31" s="66">
        <f t="shared" si="1"/>
        <v>26543</v>
      </c>
      <c r="M31" s="66">
        <f t="shared" si="2"/>
        <v>26543</v>
      </c>
    </row>
    <row r="32" spans="1:13" s="57" customFormat="1" ht="15.2" customHeight="1">
      <c r="A32" s="67">
        <f t="shared" si="3"/>
        <v>27</v>
      </c>
      <c r="B32" s="63" t="s">
        <v>2588</v>
      </c>
      <c r="C32" s="64" t="s">
        <v>2595</v>
      </c>
      <c r="D32" s="65">
        <v>1</v>
      </c>
      <c r="E32" s="62" t="s">
        <v>2585</v>
      </c>
      <c r="F32" s="66">
        <f>일위대가!H187</f>
        <v>6841</v>
      </c>
      <c r="G32" s="66">
        <f t="shared" si="0"/>
        <v>6841</v>
      </c>
      <c r="H32" s="66">
        <f>일위대가!J187</f>
        <v>14198</v>
      </c>
      <c r="I32" s="66">
        <f t="shared" si="4"/>
        <v>14198</v>
      </c>
      <c r="J32" s="66">
        <f>일위대가!L187</f>
        <v>0</v>
      </c>
      <c r="K32" s="66">
        <f t="shared" si="5"/>
        <v>0</v>
      </c>
      <c r="L32" s="66">
        <f t="shared" si="1"/>
        <v>21039</v>
      </c>
      <c r="M32" s="66">
        <f t="shared" si="2"/>
        <v>21039</v>
      </c>
    </row>
    <row r="33" spans="1:13" s="57" customFormat="1" ht="15.2" customHeight="1">
      <c r="A33" s="67">
        <f t="shared" si="3"/>
        <v>28</v>
      </c>
      <c r="B33" s="63" t="s">
        <v>2586</v>
      </c>
      <c r="C33" s="64" t="s">
        <v>2596</v>
      </c>
      <c r="D33" s="65">
        <v>1</v>
      </c>
      <c r="E33" s="62" t="s">
        <v>2585</v>
      </c>
      <c r="F33" s="66">
        <f>일위대가!H192</f>
        <v>6841</v>
      </c>
      <c r="G33" s="66">
        <f t="shared" si="0"/>
        <v>6841</v>
      </c>
      <c r="H33" s="66">
        <f>일위대가!J192</f>
        <v>17992</v>
      </c>
      <c r="I33" s="66">
        <f t="shared" si="4"/>
        <v>17992</v>
      </c>
      <c r="J33" s="66">
        <f>일위대가!L192</f>
        <v>0</v>
      </c>
      <c r="K33" s="66">
        <f t="shared" si="5"/>
        <v>0</v>
      </c>
      <c r="L33" s="66">
        <f t="shared" si="1"/>
        <v>24833</v>
      </c>
      <c r="M33" s="66">
        <f t="shared" si="2"/>
        <v>24833</v>
      </c>
    </row>
    <row r="34" spans="1:13" s="57" customFormat="1" ht="15.2" customHeight="1">
      <c r="A34" s="67">
        <f t="shared" si="3"/>
        <v>29</v>
      </c>
      <c r="B34" s="63" t="s">
        <v>2597</v>
      </c>
      <c r="C34" s="64" t="s">
        <v>2598</v>
      </c>
      <c r="D34" s="65">
        <v>1</v>
      </c>
      <c r="E34" s="62" t="s">
        <v>2585</v>
      </c>
      <c r="F34" s="66">
        <f>일위대가!H202</f>
        <v>23859</v>
      </c>
      <c r="G34" s="66">
        <f t="shared" si="0"/>
        <v>23859</v>
      </c>
      <c r="H34" s="66">
        <f>일위대가!J202</f>
        <v>76144</v>
      </c>
      <c r="I34" s="66">
        <f t="shared" si="4"/>
        <v>76144</v>
      </c>
      <c r="J34" s="66">
        <f>일위대가!L202</f>
        <v>0</v>
      </c>
      <c r="K34" s="66">
        <f t="shared" si="5"/>
        <v>0</v>
      </c>
      <c r="L34" s="66">
        <f t="shared" si="1"/>
        <v>100003</v>
      </c>
      <c r="M34" s="66">
        <f t="shared" si="2"/>
        <v>100003</v>
      </c>
    </row>
    <row r="35" spans="1:13" s="57" customFormat="1" ht="15.2" customHeight="1">
      <c r="A35" s="67">
        <f t="shared" si="3"/>
        <v>30</v>
      </c>
      <c r="B35" s="63" t="s">
        <v>2599</v>
      </c>
      <c r="C35" s="64" t="s">
        <v>2600</v>
      </c>
      <c r="D35" s="65">
        <v>1</v>
      </c>
      <c r="E35" s="62" t="s">
        <v>2585</v>
      </c>
      <c r="F35" s="66">
        <f>일위대가!H212</f>
        <v>23859</v>
      </c>
      <c r="G35" s="66">
        <f t="shared" si="0"/>
        <v>23859</v>
      </c>
      <c r="H35" s="66">
        <f>일위대가!J212</f>
        <v>98593</v>
      </c>
      <c r="I35" s="66">
        <f t="shared" si="4"/>
        <v>98593</v>
      </c>
      <c r="J35" s="66">
        <f>일위대가!L212</f>
        <v>0</v>
      </c>
      <c r="K35" s="66">
        <f t="shared" si="5"/>
        <v>0</v>
      </c>
      <c r="L35" s="66">
        <f t="shared" si="1"/>
        <v>122452</v>
      </c>
      <c r="M35" s="66">
        <f t="shared" si="2"/>
        <v>122452</v>
      </c>
    </row>
    <row r="36" spans="1:13" s="57" customFormat="1" ht="15.2" customHeight="1">
      <c r="A36" s="67">
        <f t="shared" si="3"/>
        <v>31</v>
      </c>
      <c r="B36" s="63" t="s">
        <v>2597</v>
      </c>
      <c r="C36" s="64" t="s">
        <v>2601</v>
      </c>
      <c r="D36" s="65">
        <v>1</v>
      </c>
      <c r="E36" s="62" t="s">
        <v>2585</v>
      </c>
      <c r="F36" s="66">
        <f>일위대가!H217</f>
        <v>13766</v>
      </c>
      <c r="G36" s="66">
        <f t="shared" si="0"/>
        <v>13766</v>
      </c>
      <c r="H36" s="66">
        <f>일위대가!J217</f>
        <v>47970</v>
      </c>
      <c r="I36" s="66">
        <f t="shared" si="4"/>
        <v>47970</v>
      </c>
      <c r="J36" s="66">
        <f>일위대가!L217</f>
        <v>0</v>
      </c>
      <c r="K36" s="66">
        <f t="shared" si="5"/>
        <v>0</v>
      </c>
      <c r="L36" s="66">
        <f t="shared" si="1"/>
        <v>61736</v>
      </c>
      <c r="M36" s="66">
        <f t="shared" si="2"/>
        <v>61736</v>
      </c>
    </row>
    <row r="37" spans="1:13" s="57" customFormat="1" ht="15.2" customHeight="1">
      <c r="A37" s="67">
        <f t="shared" si="3"/>
        <v>32</v>
      </c>
      <c r="B37" s="63" t="s">
        <v>2599</v>
      </c>
      <c r="C37" s="64" t="s">
        <v>2587</v>
      </c>
      <c r="D37" s="65">
        <v>1</v>
      </c>
      <c r="E37" s="62" t="s">
        <v>2585</v>
      </c>
      <c r="F37" s="66">
        <f>일위대가!H222</f>
        <v>13766</v>
      </c>
      <c r="G37" s="66">
        <f t="shared" si="0"/>
        <v>13766</v>
      </c>
      <c r="H37" s="66">
        <f>일위대가!J222</f>
        <v>62113</v>
      </c>
      <c r="I37" s="66">
        <f t="shared" si="4"/>
        <v>62113</v>
      </c>
      <c r="J37" s="66">
        <f>일위대가!L222</f>
        <v>0</v>
      </c>
      <c r="K37" s="66">
        <f t="shared" si="5"/>
        <v>0</v>
      </c>
      <c r="L37" s="66">
        <f t="shared" si="1"/>
        <v>75879</v>
      </c>
      <c r="M37" s="66">
        <f t="shared" si="2"/>
        <v>75879</v>
      </c>
    </row>
    <row r="38" spans="1:13" s="57" customFormat="1" ht="15.2" customHeight="1">
      <c r="A38" s="67">
        <f t="shared" si="3"/>
        <v>33</v>
      </c>
      <c r="B38" s="63" t="s">
        <v>2597</v>
      </c>
      <c r="C38" s="64" t="s">
        <v>2589</v>
      </c>
      <c r="D38" s="65">
        <v>1</v>
      </c>
      <c r="E38" s="62" t="s">
        <v>2585</v>
      </c>
      <c r="F38" s="66">
        <f>일위대가!H227</f>
        <v>11118</v>
      </c>
      <c r="G38" s="66">
        <f t="shared" si="0"/>
        <v>11118</v>
      </c>
      <c r="H38" s="66">
        <f>일위대가!J227</f>
        <v>39290</v>
      </c>
      <c r="I38" s="66">
        <f t="shared" si="4"/>
        <v>39290</v>
      </c>
      <c r="J38" s="66">
        <f>일위대가!L227</f>
        <v>0</v>
      </c>
      <c r="K38" s="66">
        <f t="shared" si="5"/>
        <v>0</v>
      </c>
      <c r="L38" s="66">
        <f t="shared" si="1"/>
        <v>50408</v>
      </c>
      <c r="M38" s="66">
        <f t="shared" si="2"/>
        <v>50408</v>
      </c>
    </row>
    <row r="39" spans="1:13" s="57" customFormat="1" ht="15.2" customHeight="1">
      <c r="A39" s="67">
        <f t="shared" si="3"/>
        <v>34</v>
      </c>
      <c r="B39" s="63" t="s">
        <v>2599</v>
      </c>
      <c r="C39" s="64" t="s">
        <v>2590</v>
      </c>
      <c r="D39" s="65">
        <v>1</v>
      </c>
      <c r="E39" s="62" t="s">
        <v>2585</v>
      </c>
      <c r="F39" s="66">
        <f>일위대가!H232</f>
        <v>11118</v>
      </c>
      <c r="G39" s="66">
        <f t="shared" si="0"/>
        <v>11118</v>
      </c>
      <c r="H39" s="66">
        <f>일위대가!J232</f>
        <v>50873</v>
      </c>
      <c r="I39" s="66">
        <f t="shared" si="4"/>
        <v>50873</v>
      </c>
      <c r="J39" s="66">
        <f>일위대가!L232</f>
        <v>0</v>
      </c>
      <c r="K39" s="66">
        <f t="shared" si="5"/>
        <v>0</v>
      </c>
      <c r="L39" s="66">
        <f t="shared" si="1"/>
        <v>61991</v>
      </c>
      <c r="M39" s="66">
        <f t="shared" si="2"/>
        <v>61991</v>
      </c>
    </row>
    <row r="40" spans="1:13" s="57" customFormat="1" ht="15.2" customHeight="1">
      <c r="A40" s="67">
        <f t="shared" si="3"/>
        <v>35</v>
      </c>
      <c r="B40" s="63" t="s">
        <v>2602</v>
      </c>
      <c r="C40" s="64"/>
      <c r="D40" s="65">
        <v>1</v>
      </c>
      <c r="E40" s="62" t="s">
        <v>2585</v>
      </c>
      <c r="F40" s="66">
        <f>일위대가!H239</f>
        <v>470</v>
      </c>
      <c r="G40" s="66">
        <f t="shared" si="0"/>
        <v>470</v>
      </c>
      <c r="H40" s="66">
        <f>일위대가!J239</f>
        <v>2425</v>
      </c>
      <c r="I40" s="66">
        <f t="shared" si="4"/>
        <v>2425</v>
      </c>
      <c r="J40" s="66">
        <f>일위대가!L239</f>
        <v>0</v>
      </c>
      <c r="K40" s="66">
        <f t="shared" si="5"/>
        <v>0</v>
      </c>
      <c r="L40" s="66">
        <f t="shared" si="1"/>
        <v>2895</v>
      </c>
      <c r="M40" s="66">
        <f t="shared" si="2"/>
        <v>2895</v>
      </c>
    </row>
    <row r="41" spans="1:13" s="57" customFormat="1" ht="15.2" customHeight="1">
      <c r="A41" s="67">
        <f t="shared" si="3"/>
        <v>36</v>
      </c>
      <c r="B41" s="63" t="s">
        <v>2603</v>
      </c>
      <c r="C41" s="64" t="s">
        <v>2604</v>
      </c>
      <c r="D41" s="65">
        <v>1</v>
      </c>
      <c r="E41" s="62" t="s">
        <v>2585</v>
      </c>
      <c r="F41" s="66">
        <f>일위대가!H248</f>
        <v>1006</v>
      </c>
      <c r="G41" s="66">
        <f t="shared" si="0"/>
        <v>1006</v>
      </c>
      <c r="H41" s="66">
        <f>일위대가!J248</f>
        <v>5873</v>
      </c>
      <c r="I41" s="66">
        <f t="shared" si="4"/>
        <v>5873</v>
      </c>
      <c r="J41" s="66">
        <f>일위대가!L248</f>
        <v>35</v>
      </c>
      <c r="K41" s="66">
        <f t="shared" si="5"/>
        <v>35</v>
      </c>
      <c r="L41" s="66">
        <f t="shared" si="1"/>
        <v>6914</v>
      </c>
      <c r="M41" s="66">
        <f t="shared" si="2"/>
        <v>6914</v>
      </c>
    </row>
    <row r="42" spans="1:13" s="57" customFormat="1" ht="15.2" customHeight="1">
      <c r="A42" s="67">
        <f t="shared" si="3"/>
        <v>37</v>
      </c>
      <c r="B42" s="63" t="s">
        <v>2603</v>
      </c>
      <c r="C42" s="64" t="s">
        <v>2605</v>
      </c>
      <c r="D42" s="65">
        <v>1</v>
      </c>
      <c r="E42" s="62" t="s">
        <v>2585</v>
      </c>
      <c r="F42" s="66">
        <f>일위대가!H257</f>
        <v>928</v>
      </c>
      <c r="G42" s="66">
        <f t="shared" si="0"/>
        <v>928</v>
      </c>
      <c r="H42" s="66">
        <f>일위대가!J257</f>
        <v>5234</v>
      </c>
      <c r="I42" s="66">
        <f t="shared" si="4"/>
        <v>5234</v>
      </c>
      <c r="J42" s="66">
        <f>일위대가!L257</f>
        <v>37</v>
      </c>
      <c r="K42" s="66">
        <f t="shared" si="5"/>
        <v>37</v>
      </c>
      <c r="L42" s="66">
        <f t="shared" si="1"/>
        <v>6199</v>
      </c>
      <c r="M42" s="66">
        <f t="shared" si="2"/>
        <v>6199</v>
      </c>
    </row>
    <row r="43" spans="1:13" s="57" customFormat="1" ht="15.2" customHeight="1">
      <c r="A43" s="67">
        <f t="shared" si="3"/>
        <v>38</v>
      </c>
      <c r="B43" s="63" t="s">
        <v>2606</v>
      </c>
      <c r="C43" s="64" t="s">
        <v>2607</v>
      </c>
      <c r="D43" s="65">
        <v>1</v>
      </c>
      <c r="E43" s="62" t="s">
        <v>2608</v>
      </c>
      <c r="F43" s="66">
        <f>일위대가!H262</f>
        <v>0</v>
      </c>
      <c r="G43" s="66">
        <f t="shared" si="0"/>
        <v>0</v>
      </c>
      <c r="H43" s="66">
        <f>일위대가!J262</f>
        <v>30540</v>
      </c>
      <c r="I43" s="66">
        <f t="shared" si="4"/>
        <v>30540</v>
      </c>
      <c r="J43" s="66">
        <f>일위대가!L262</f>
        <v>0</v>
      </c>
      <c r="K43" s="66">
        <f t="shared" si="5"/>
        <v>0</v>
      </c>
      <c r="L43" s="66">
        <f t="shared" si="1"/>
        <v>30540</v>
      </c>
      <c r="M43" s="66">
        <f t="shared" si="2"/>
        <v>30540</v>
      </c>
    </row>
    <row r="44" spans="1:13" s="57" customFormat="1" ht="15.2" customHeight="1">
      <c r="A44" s="67">
        <f t="shared" si="3"/>
        <v>39</v>
      </c>
      <c r="B44" s="63" t="s">
        <v>2606</v>
      </c>
      <c r="C44" s="64" t="s">
        <v>2609</v>
      </c>
      <c r="D44" s="65">
        <v>1</v>
      </c>
      <c r="E44" s="62" t="s">
        <v>2608</v>
      </c>
      <c r="F44" s="66">
        <f>일위대가!H267</f>
        <v>0</v>
      </c>
      <c r="G44" s="66">
        <f t="shared" si="0"/>
        <v>0</v>
      </c>
      <c r="H44" s="66">
        <f>일위대가!J267</f>
        <v>61082</v>
      </c>
      <c r="I44" s="66">
        <f t="shared" si="4"/>
        <v>61082</v>
      </c>
      <c r="J44" s="66">
        <f>일위대가!L267</f>
        <v>0</v>
      </c>
      <c r="K44" s="66">
        <f t="shared" si="5"/>
        <v>0</v>
      </c>
      <c r="L44" s="66">
        <f t="shared" si="1"/>
        <v>61082</v>
      </c>
      <c r="M44" s="66">
        <f t="shared" si="2"/>
        <v>61082</v>
      </c>
    </row>
    <row r="45" spans="1:13" s="57" customFormat="1" ht="15.2" customHeight="1">
      <c r="A45" s="67">
        <f t="shared" si="3"/>
        <v>40</v>
      </c>
      <c r="B45" s="63" t="s">
        <v>2606</v>
      </c>
      <c r="C45" s="64" t="s">
        <v>2610</v>
      </c>
      <c r="D45" s="65">
        <v>1</v>
      </c>
      <c r="E45" s="62" t="s">
        <v>2608</v>
      </c>
      <c r="F45" s="66">
        <f>일위대가!H272</f>
        <v>0</v>
      </c>
      <c r="G45" s="66">
        <f t="shared" si="0"/>
        <v>0</v>
      </c>
      <c r="H45" s="66">
        <f>일위대가!J272</f>
        <v>34287</v>
      </c>
      <c r="I45" s="66">
        <f t="shared" si="4"/>
        <v>34287</v>
      </c>
      <c r="J45" s="66">
        <f>일위대가!L272</f>
        <v>0</v>
      </c>
      <c r="K45" s="66">
        <f t="shared" si="5"/>
        <v>0</v>
      </c>
      <c r="L45" s="66">
        <f t="shared" si="1"/>
        <v>34287</v>
      </c>
      <c r="M45" s="66">
        <f t="shared" si="2"/>
        <v>34287</v>
      </c>
    </row>
    <row r="46" spans="1:13" s="57" customFormat="1" ht="15.2" customHeight="1">
      <c r="A46" s="67">
        <f t="shared" si="3"/>
        <v>41</v>
      </c>
      <c r="B46" s="63" t="s">
        <v>2611</v>
      </c>
      <c r="C46" s="64" t="s">
        <v>2612</v>
      </c>
      <c r="D46" s="65">
        <v>1</v>
      </c>
      <c r="E46" s="62" t="s">
        <v>2608</v>
      </c>
      <c r="F46" s="66">
        <f>일위대가!H279</f>
        <v>1291</v>
      </c>
      <c r="G46" s="66">
        <f t="shared" si="0"/>
        <v>1291</v>
      </c>
      <c r="H46" s="66">
        <f>일위대가!J279</f>
        <v>9428</v>
      </c>
      <c r="I46" s="66">
        <f t="shared" si="4"/>
        <v>9428</v>
      </c>
      <c r="J46" s="66">
        <f>일위대가!L279</f>
        <v>2599</v>
      </c>
      <c r="K46" s="66">
        <f t="shared" si="5"/>
        <v>2599</v>
      </c>
      <c r="L46" s="66">
        <f t="shared" si="1"/>
        <v>13318</v>
      </c>
      <c r="M46" s="66">
        <f t="shared" si="2"/>
        <v>13318</v>
      </c>
    </row>
    <row r="47" spans="1:13" s="57" customFormat="1" ht="15.2" customHeight="1">
      <c r="A47" s="67">
        <f t="shared" si="3"/>
        <v>42</v>
      </c>
      <c r="B47" s="63" t="s">
        <v>2611</v>
      </c>
      <c r="C47" s="64" t="s">
        <v>2613</v>
      </c>
      <c r="D47" s="65">
        <v>1</v>
      </c>
      <c r="E47" s="62" t="s">
        <v>2608</v>
      </c>
      <c r="F47" s="66">
        <f>일위대가!H286</f>
        <v>907</v>
      </c>
      <c r="G47" s="66">
        <f t="shared" si="0"/>
        <v>907</v>
      </c>
      <c r="H47" s="66">
        <f>일위대가!J286</f>
        <v>9048</v>
      </c>
      <c r="I47" s="66">
        <f t="shared" si="4"/>
        <v>9048</v>
      </c>
      <c r="J47" s="66">
        <f>일위대가!L286</f>
        <v>1824</v>
      </c>
      <c r="K47" s="66">
        <f t="shared" si="5"/>
        <v>1824</v>
      </c>
      <c r="L47" s="66">
        <f t="shared" si="1"/>
        <v>11779</v>
      </c>
      <c r="M47" s="66">
        <f t="shared" si="2"/>
        <v>11779</v>
      </c>
    </row>
    <row r="48" spans="1:13" s="57" customFormat="1" ht="15.2" customHeight="1">
      <c r="A48" s="67">
        <f t="shared" si="3"/>
        <v>43</v>
      </c>
      <c r="B48" s="63" t="s">
        <v>2611</v>
      </c>
      <c r="C48" s="64" t="s">
        <v>2614</v>
      </c>
      <c r="D48" s="65">
        <v>1</v>
      </c>
      <c r="E48" s="62" t="s">
        <v>2608</v>
      </c>
      <c r="F48" s="66">
        <f>일위대가!H293</f>
        <v>769</v>
      </c>
      <c r="G48" s="66">
        <f t="shared" si="0"/>
        <v>769</v>
      </c>
      <c r="H48" s="66">
        <f>일위대가!J293</f>
        <v>8912</v>
      </c>
      <c r="I48" s="66">
        <f t="shared" si="4"/>
        <v>8912</v>
      </c>
      <c r="J48" s="66">
        <f>일위대가!L293</f>
        <v>1548</v>
      </c>
      <c r="K48" s="66">
        <f t="shared" si="5"/>
        <v>1548</v>
      </c>
      <c r="L48" s="66">
        <f t="shared" si="1"/>
        <v>11229</v>
      </c>
      <c r="M48" s="66">
        <f t="shared" si="2"/>
        <v>11229</v>
      </c>
    </row>
    <row r="49" spans="1:14" s="57" customFormat="1" ht="15.2" customHeight="1">
      <c r="A49" s="67">
        <f t="shared" si="3"/>
        <v>44</v>
      </c>
      <c r="B49" s="63" t="s">
        <v>2611</v>
      </c>
      <c r="C49" s="64" t="s">
        <v>2615</v>
      </c>
      <c r="D49" s="65">
        <v>1</v>
      </c>
      <c r="E49" s="62" t="s">
        <v>2608</v>
      </c>
      <c r="F49" s="66">
        <f>일위대가!H300</f>
        <v>1539</v>
      </c>
      <c r="G49" s="66">
        <f t="shared" si="0"/>
        <v>1539</v>
      </c>
      <c r="H49" s="66">
        <f>일위대가!J300</f>
        <v>10655</v>
      </c>
      <c r="I49" s="66">
        <f t="shared" si="4"/>
        <v>10655</v>
      </c>
      <c r="J49" s="66">
        <f>일위대가!L300</f>
        <v>3096</v>
      </c>
      <c r="K49" s="66">
        <f t="shared" si="5"/>
        <v>3096</v>
      </c>
      <c r="L49" s="66">
        <f t="shared" si="1"/>
        <v>15290</v>
      </c>
      <c r="M49" s="66">
        <f t="shared" si="2"/>
        <v>15290</v>
      </c>
    </row>
    <row r="50" spans="1:14" s="57" customFormat="1" ht="15.2" customHeight="1">
      <c r="A50" s="67">
        <f t="shared" si="3"/>
        <v>45</v>
      </c>
      <c r="B50" s="63" t="s">
        <v>2611</v>
      </c>
      <c r="C50" s="64" t="s">
        <v>2616</v>
      </c>
      <c r="D50" s="65">
        <v>1</v>
      </c>
      <c r="E50" s="62" t="s">
        <v>2608</v>
      </c>
      <c r="F50" s="66">
        <f>일위대가!H307</f>
        <v>1016</v>
      </c>
      <c r="G50" s="66">
        <f t="shared" si="0"/>
        <v>1016</v>
      </c>
      <c r="H50" s="66">
        <f>일위대가!J307</f>
        <v>10139</v>
      </c>
      <c r="I50" s="66">
        <f t="shared" si="4"/>
        <v>10139</v>
      </c>
      <c r="J50" s="66">
        <f>일위대가!L307</f>
        <v>2045</v>
      </c>
      <c r="K50" s="66">
        <f t="shared" si="5"/>
        <v>2045</v>
      </c>
      <c r="L50" s="66">
        <f t="shared" si="1"/>
        <v>13200</v>
      </c>
      <c r="M50" s="66">
        <f t="shared" si="2"/>
        <v>13200</v>
      </c>
    </row>
    <row r="51" spans="1:14" s="57" customFormat="1" ht="15.2" customHeight="1">
      <c r="A51" s="67">
        <f t="shared" si="3"/>
        <v>46</v>
      </c>
      <c r="B51" s="63" t="s">
        <v>2611</v>
      </c>
      <c r="C51" s="64" t="s">
        <v>2617</v>
      </c>
      <c r="D51" s="65">
        <v>1</v>
      </c>
      <c r="E51" s="62" t="s">
        <v>2608</v>
      </c>
      <c r="F51" s="66">
        <f>일위대가!H314</f>
        <v>852</v>
      </c>
      <c r="G51" s="66">
        <f t="shared" si="0"/>
        <v>852</v>
      </c>
      <c r="H51" s="66">
        <f>일위대가!J314</f>
        <v>9976</v>
      </c>
      <c r="I51" s="66">
        <f t="shared" si="4"/>
        <v>9976</v>
      </c>
      <c r="J51" s="66">
        <f>일위대가!L314</f>
        <v>1713</v>
      </c>
      <c r="K51" s="66">
        <f t="shared" si="5"/>
        <v>1713</v>
      </c>
      <c r="L51" s="66">
        <f t="shared" si="1"/>
        <v>12541</v>
      </c>
      <c r="M51" s="66">
        <f t="shared" si="2"/>
        <v>12541</v>
      </c>
    </row>
    <row r="52" spans="1:14" s="57" customFormat="1" ht="15.2" customHeight="1">
      <c r="A52" s="67">
        <f t="shared" si="3"/>
        <v>47</v>
      </c>
      <c r="B52" s="63" t="s">
        <v>2618</v>
      </c>
      <c r="C52" s="64" t="s">
        <v>2619</v>
      </c>
      <c r="D52" s="65">
        <v>1</v>
      </c>
      <c r="E52" s="62" t="s">
        <v>2620</v>
      </c>
      <c r="F52" s="66">
        <f>일위대가!H321</f>
        <v>754</v>
      </c>
      <c r="G52" s="66">
        <f t="shared" si="0"/>
        <v>754</v>
      </c>
      <c r="H52" s="66">
        <f>일위대가!J321</f>
        <v>1253</v>
      </c>
      <c r="I52" s="66">
        <f t="shared" si="4"/>
        <v>1253</v>
      </c>
      <c r="J52" s="66">
        <f>일위대가!L321</f>
        <v>33</v>
      </c>
      <c r="K52" s="66">
        <f t="shared" si="5"/>
        <v>33</v>
      </c>
      <c r="L52" s="66">
        <f t="shared" si="1"/>
        <v>2040</v>
      </c>
      <c r="M52" s="66">
        <f t="shared" si="2"/>
        <v>2040</v>
      </c>
    </row>
    <row r="53" spans="1:14" s="57" customFormat="1" ht="15.2" customHeight="1">
      <c r="A53" s="67">
        <f t="shared" si="3"/>
        <v>48</v>
      </c>
      <c r="B53" s="63" t="s">
        <v>2618</v>
      </c>
      <c r="C53" s="64" t="s">
        <v>2621</v>
      </c>
      <c r="D53" s="65">
        <v>1</v>
      </c>
      <c r="E53" s="62" t="s">
        <v>2620</v>
      </c>
      <c r="F53" s="66">
        <f>일위대가!H328</f>
        <v>670</v>
      </c>
      <c r="G53" s="66">
        <f t="shared" si="0"/>
        <v>670</v>
      </c>
      <c r="H53" s="66">
        <f>일위대가!J328</f>
        <v>724</v>
      </c>
      <c r="I53" s="66">
        <f t="shared" si="4"/>
        <v>724</v>
      </c>
      <c r="J53" s="66">
        <f>일위대가!L328</f>
        <v>19</v>
      </c>
      <c r="K53" s="66">
        <f t="shared" si="5"/>
        <v>19</v>
      </c>
      <c r="L53" s="66">
        <f t="shared" si="1"/>
        <v>1413</v>
      </c>
      <c r="M53" s="66">
        <f t="shared" si="2"/>
        <v>1413</v>
      </c>
    </row>
    <row r="54" spans="1:14" s="57" customFormat="1" ht="15.2" customHeight="1">
      <c r="A54" s="67">
        <f t="shared" si="3"/>
        <v>49</v>
      </c>
      <c r="B54" s="63" t="s">
        <v>3245</v>
      </c>
      <c r="C54" s="64" t="s">
        <v>3289</v>
      </c>
      <c r="D54" s="65">
        <v>1</v>
      </c>
      <c r="E54" s="68" t="s">
        <v>3291</v>
      </c>
      <c r="F54" s="66">
        <f>일위대가!H334</f>
        <v>90</v>
      </c>
      <c r="G54" s="66">
        <f t="shared" si="0"/>
        <v>90</v>
      </c>
      <c r="H54" s="66">
        <f>일위대가!J334</f>
        <v>1804</v>
      </c>
      <c r="I54" s="66">
        <f t="shared" si="4"/>
        <v>1804</v>
      </c>
      <c r="J54" s="66">
        <f>일위대가!L334</f>
        <v>65</v>
      </c>
      <c r="K54" s="66">
        <f t="shared" ref="K54:K60" si="6">TRUNC(D54*J54)</f>
        <v>65</v>
      </c>
      <c r="L54" s="66">
        <f t="shared" ref="L54:M56" si="7">F54+H54+J54</f>
        <v>1959</v>
      </c>
      <c r="M54" s="66">
        <f t="shared" si="7"/>
        <v>1959</v>
      </c>
    </row>
    <row r="55" spans="1:14" s="57" customFormat="1" ht="15.2" customHeight="1">
      <c r="A55" s="67">
        <f t="shared" si="3"/>
        <v>50</v>
      </c>
      <c r="B55" s="63" t="s">
        <v>3245</v>
      </c>
      <c r="C55" s="64" t="s">
        <v>3290</v>
      </c>
      <c r="D55" s="65">
        <v>1</v>
      </c>
      <c r="E55" s="68" t="s">
        <v>3291</v>
      </c>
      <c r="F55" s="66">
        <f>일위대가!H340</f>
        <v>135</v>
      </c>
      <c r="G55" s="66">
        <f t="shared" si="0"/>
        <v>135</v>
      </c>
      <c r="H55" s="66">
        <f>일위대가!J340</f>
        <v>2713</v>
      </c>
      <c r="I55" s="66">
        <f t="shared" si="4"/>
        <v>2713</v>
      </c>
      <c r="J55" s="66">
        <f>일위대가!L340</f>
        <v>122</v>
      </c>
      <c r="K55" s="66">
        <f t="shared" si="6"/>
        <v>122</v>
      </c>
      <c r="L55" s="66">
        <f t="shared" si="7"/>
        <v>2970</v>
      </c>
      <c r="M55" s="66">
        <f t="shared" si="7"/>
        <v>2970</v>
      </c>
    </row>
    <row r="56" spans="1:14" s="57" customFormat="1" ht="15.2" customHeight="1">
      <c r="A56" s="67">
        <f t="shared" si="3"/>
        <v>51</v>
      </c>
      <c r="B56" s="63" t="s">
        <v>3245</v>
      </c>
      <c r="C56" s="64" t="s">
        <v>3767</v>
      </c>
      <c r="D56" s="65">
        <v>1</v>
      </c>
      <c r="E56" s="68" t="s">
        <v>1357</v>
      </c>
      <c r="F56" s="66">
        <f>일위대가!H346</f>
        <v>451</v>
      </c>
      <c r="G56" s="66">
        <f>TRUNC(D56*F56)</f>
        <v>451</v>
      </c>
      <c r="H56" s="66">
        <f>일위대가!J346</f>
        <v>9023</v>
      </c>
      <c r="I56" s="66">
        <f>TRUNC(D56*H56)</f>
        <v>9023</v>
      </c>
      <c r="J56" s="66">
        <f>일위대가!L346</f>
        <v>326</v>
      </c>
      <c r="K56" s="66">
        <f t="shared" si="6"/>
        <v>326</v>
      </c>
      <c r="L56" s="66">
        <f t="shared" si="7"/>
        <v>9800</v>
      </c>
      <c r="M56" s="66">
        <f t="shared" si="7"/>
        <v>9800</v>
      </c>
    </row>
    <row r="57" spans="1:14" s="57" customFormat="1" ht="15.2" customHeight="1">
      <c r="A57" s="67">
        <f t="shared" si="3"/>
        <v>52</v>
      </c>
      <c r="B57" s="63" t="s">
        <v>3245</v>
      </c>
      <c r="C57" s="64" t="s">
        <v>3768</v>
      </c>
      <c r="D57" s="65">
        <v>1</v>
      </c>
      <c r="E57" s="68" t="s">
        <v>1357</v>
      </c>
      <c r="F57" s="66">
        <f>일위대가!H352</f>
        <v>675</v>
      </c>
      <c r="G57" s="66">
        <f>TRUNC(D57*F57)</f>
        <v>675</v>
      </c>
      <c r="H57" s="66">
        <f>일위대가!J352</f>
        <v>13514</v>
      </c>
      <c r="I57" s="66">
        <f>TRUNC(D57*H57)</f>
        <v>13514</v>
      </c>
      <c r="J57" s="66">
        <f>일위대가!L352</f>
        <v>366</v>
      </c>
      <c r="K57" s="66">
        <f t="shared" si="6"/>
        <v>366</v>
      </c>
      <c r="L57" s="66">
        <f t="shared" ref="L57:M60" si="8">F57+H57+J57</f>
        <v>14555</v>
      </c>
      <c r="M57" s="66">
        <f t="shared" si="8"/>
        <v>14555</v>
      </c>
    </row>
    <row r="58" spans="1:14" s="57" customFormat="1" ht="15.2" customHeight="1">
      <c r="A58" s="67">
        <f t="shared" si="3"/>
        <v>53</v>
      </c>
      <c r="B58" s="63" t="s">
        <v>3245</v>
      </c>
      <c r="C58" s="64" t="s">
        <v>3769</v>
      </c>
      <c r="D58" s="65">
        <v>1</v>
      </c>
      <c r="E58" s="68" t="s">
        <v>1357</v>
      </c>
      <c r="F58" s="66">
        <f>일위대가!H358</f>
        <v>945</v>
      </c>
      <c r="G58" s="66">
        <f>TRUNC(D58*F58)</f>
        <v>945</v>
      </c>
      <c r="H58" s="66">
        <f>일위대가!J358</f>
        <v>18915</v>
      </c>
      <c r="I58" s="66">
        <f>TRUNC(D58*H58)</f>
        <v>18915</v>
      </c>
      <c r="J58" s="66">
        <f>일위대가!L358</f>
        <v>489</v>
      </c>
      <c r="K58" s="66">
        <f t="shared" si="6"/>
        <v>489</v>
      </c>
      <c r="L58" s="66">
        <f t="shared" si="8"/>
        <v>20349</v>
      </c>
      <c r="M58" s="66">
        <f t="shared" si="8"/>
        <v>20349</v>
      </c>
    </row>
    <row r="59" spans="1:14" s="57" customFormat="1" ht="15.2" customHeight="1">
      <c r="A59" s="67">
        <f t="shared" si="3"/>
        <v>54</v>
      </c>
      <c r="B59" s="63" t="s">
        <v>3245</v>
      </c>
      <c r="C59" s="64" t="s">
        <v>3770</v>
      </c>
      <c r="D59" s="65">
        <v>1</v>
      </c>
      <c r="E59" s="68" t="s">
        <v>1357</v>
      </c>
      <c r="F59" s="66">
        <f>일위대가!H364</f>
        <v>1215</v>
      </c>
      <c r="G59" s="66">
        <f>TRUNC(D59*F59)</f>
        <v>1215</v>
      </c>
      <c r="H59" s="66">
        <f>일위대가!J364</f>
        <v>24302</v>
      </c>
      <c r="I59" s="66">
        <f>TRUNC(D59*H59)</f>
        <v>24302</v>
      </c>
      <c r="J59" s="66">
        <f>일위대가!L364</f>
        <v>611</v>
      </c>
      <c r="K59" s="66">
        <f t="shared" si="6"/>
        <v>611</v>
      </c>
      <c r="L59" s="66">
        <f t="shared" si="8"/>
        <v>26128</v>
      </c>
      <c r="M59" s="66">
        <f t="shared" si="8"/>
        <v>26128</v>
      </c>
    </row>
    <row r="60" spans="1:14" s="57" customFormat="1" ht="15.2" customHeight="1">
      <c r="A60" s="67">
        <f t="shared" si="3"/>
        <v>55</v>
      </c>
      <c r="B60" s="63" t="s">
        <v>3245</v>
      </c>
      <c r="C60" s="64" t="s">
        <v>3771</v>
      </c>
      <c r="D60" s="65">
        <v>1</v>
      </c>
      <c r="E60" s="68" t="s">
        <v>1357</v>
      </c>
      <c r="F60" s="66">
        <f>일위대가!H370</f>
        <v>1575</v>
      </c>
      <c r="G60" s="66">
        <f>TRUNC(D60*F60)</f>
        <v>1575</v>
      </c>
      <c r="H60" s="66">
        <f>일위대가!J370</f>
        <v>31509</v>
      </c>
      <c r="I60" s="66">
        <f>TRUNC(D60*H60)</f>
        <v>31509</v>
      </c>
      <c r="J60" s="66">
        <f>일위대가!L370</f>
        <v>757</v>
      </c>
      <c r="K60" s="66">
        <f t="shared" si="6"/>
        <v>757</v>
      </c>
      <c r="L60" s="66">
        <f t="shared" si="8"/>
        <v>33841</v>
      </c>
      <c r="M60" s="66">
        <f t="shared" si="8"/>
        <v>33841</v>
      </c>
    </row>
    <row r="61" spans="1:14" s="57" customFormat="1" ht="15.2" customHeight="1">
      <c r="A61" s="67"/>
      <c r="B61" s="63" t="s">
        <v>2622</v>
      </c>
      <c r="C61" s="64"/>
      <c r="D61" s="65"/>
      <c r="E61" s="68"/>
      <c r="F61" s="66"/>
      <c r="G61" s="66">
        <f>SUM(G6:G60)</f>
        <v>1683621</v>
      </c>
      <c r="H61" s="66"/>
      <c r="I61" s="66">
        <f>SUM(I6:I60)</f>
        <v>5038264</v>
      </c>
      <c r="J61" s="66"/>
      <c r="K61" s="66">
        <f>SUM(K6:K60)</f>
        <v>196537</v>
      </c>
      <c r="L61" s="66"/>
      <c r="M61" s="66">
        <f>SUM(M6:M60)</f>
        <v>6918422</v>
      </c>
      <c r="N61" s="61">
        <f>G61+I61+K61</f>
        <v>6918422</v>
      </c>
    </row>
    <row r="62" spans="1:14" s="57" customFormat="1" ht="15.2" customHeight="1">
      <c r="A62" s="756" t="s">
        <v>3296</v>
      </c>
      <c r="B62" s="757"/>
      <c r="C62" s="757"/>
      <c r="D62" s="757"/>
      <c r="E62" s="757"/>
      <c r="F62" s="449"/>
      <c r="G62" s="449"/>
      <c r="H62" s="449"/>
      <c r="I62" s="449"/>
      <c r="J62" s="449"/>
      <c r="K62" s="449"/>
      <c r="L62" s="449"/>
      <c r="M62" s="450"/>
    </row>
    <row r="63" spans="1:14" s="57" customFormat="1" ht="15.2" customHeight="1">
      <c r="A63" s="67">
        <f>A60+1</f>
        <v>56</v>
      </c>
      <c r="B63" s="63" t="s">
        <v>2623</v>
      </c>
      <c r="C63" s="64" t="s">
        <v>2624</v>
      </c>
      <c r="D63" s="65">
        <v>1</v>
      </c>
      <c r="E63" s="62" t="s">
        <v>2608</v>
      </c>
      <c r="F63" s="66">
        <f>일위대가!H373</f>
        <v>0</v>
      </c>
      <c r="G63" s="66">
        <f t="shared" si="0"/>
        <v>0</v>
      </c>
      <c r="H63" s="66">
        <f>일위대가!J373</f>
        <v>14330</v>
      </c>
      <c r="I63" s="66">
        <f t="shared" si="4"/>
        <v>14330</v>
      </c>
      <c r="J63" s="66">
        <f>일위대가!L373</f>
        <v>0</v>
      </c>
      <c r="K63" s="66">
        <f t="shared" si="5"/>
        <v>0</v>
      </c>
      <c r="L63" s="66">
        <f t="shared" si="1"/>
        <v>14330</v>
      </c>
      <c r="M63" s="66">
        <f t="shared" si="2"/>
        <v>14330</v>
      </c>
    </row>
    <row r="64" spans="1:14" s="57" customFormat="1" ht="15.2" customHeight="1">
      <c r="A64" s="67">
        <f>A63+1</f>
        <v>57</v>
      </c>
      <c r="B64" s="63" t="s">
        <v>2623</v>
      </c>
      <c r="C64" s="64" t="s">
        <v>2625</v>
      </c>
      <c r="D64" s="65">
        <v>1</v>
      </c>
      <c r="E64" s="62" t="s">
        <v>2608</v>
      </c>
      <c r="F64" s="66">
        <f>일위대가!H376</f>
        <v>0</v>
      </c>
      <c r="G64" s="66">
        <f t="shared" si="0"/>
        <v>0</v>
      </c>
      <c r="H64" s="66">
        <f>일위대가!J376</f>
        <v>19704</v>
      </c>
      <c r="I64" s="66">
        <f t="shared" si="4"/>
        <v>19704</v>
      </c>
      <c r="J64" s="66">
        <f>일위대가!L376</f>
        <v>0</v>
      </c>
      <c r="K64" s="66">
        <f t="shared" si="5"/>
        <v>0</v>
      </c>
      <c r="L64" s="66">
        <f t="shared" si="1"/>
        <v>19704</v>
      </c>
      <c r="M64" s="66">
        <f t="shared" si="2"/>
        <v>19704</v>
      </c>
    </row>
    <row r="65" spans="1:13" s="57" customFormat="1" ht="15.2" customHeight="1">
      <c r="A65" s="67">
        <f t="shared" ref="A65:A128" si="9">A64+1</f>
        <v>58</v>
      </c>
      <c r="B65" s="63" t="s">
        <v>2626</v>
      </c>
      <c r="C65" s="64" t="s">
        <v>2627</v>
      </c>
      <c r="D65" s="65">
        <v>1</v>
      </c>
      <c r="E65" s="62" t="s">
        <v>2608</v>
      </c>
      <c r="F65" s="66">
        <f>일위대가!H379</f>
        <v>0</v>
      </c>
      <c r="G65" s="66">
        <f t="shared" si="0"/>
        <v>0</v>
      </c>
      <c r="H65" s="66">
        <f>일위대가!J379</f>
        <v>17913</v>
      </c>
      <c r="I65" s="66">
        <f t="shared" si="4"/>
        <v>17913</v>
      </c>
      <c r="J65" s="66">
        <f>일위대가!L379</f>
        <v>0</v>
      </c>
      <c r="K65" s="66">
        <f t="shared" si="5"/>
        <v>0</v>
      </c>
      <c r="L65" s="66">
        <f t="shared" si="1"/>
        <v>17913</v>
      </c>
      <c r="M65" s="66">
        <f t="shared" si="2"/>
        <v>17913</v>
      </c>
    </row>
    <row r="66" spans="1:13" s="57" customFormat="1" ht="15.2" customHeight="1">
      <c r="A66" s="67">
        <f t="shared" si="9"/>
        <v>59</v>
      </c>
      <c r="B66" s="63" t="s">
        <v>2626</v>
      </c>
      <c r="C66" s="64" t="s">
        <v>2628</v>
      </c>
      <c r="D66" s="65">
        <v>1</v>
      </c>
      <c r="E66" s="62" t="s">
        <v>2608</v>
      </c>
      <c r="F66" s="66">
        <f>일위대가!H382</f>
        <v>0</v>
      </c>
      <c r="G66" s="66">
        <f t="shared" si="0"/>
        <v>0</v>
      </c>
      <c r="H66" s="66">
        <f>일위대가!J382</f>
        <v>24182</v>
      </c>
      <c r="I66" s="66">
        <f t="shared" si="4"/>
        <v>24182</v>
      </c>
      <c r="J66" s="66">
        <f>일위대가!L382</f>
        <v>0</v>
      </c>
      <c r="K66" s="66">
        <f t="shared" si="5"/>
        <v>0</v>
      </c>
      <c r="L66" s="66">
        <f t="shared" si="1"/>
        <v>24182</v>
      </c>
      <c r="M66" s="66">
        <f t="shared" si="2"/>
        <v>24182</v>
      </c>
    </row>
    <row r="67" spans="1:13" s="57" customFormat="1" ht="15.2" customHeight="1">
      <c r="A67" s="67">
        <f t="shared" si="9"/>
        <v>60</v>
      </c>
      <c r="B67" s="63" t="s">
        <v>2626</v>
      </c>
      <c r="C67" s="64" t="s">
        <v>2629</v>
      </c>
      <c r="D67" s="65">
        <v>1</v>
      </c>
      <c r="E67" s="62" t="s">
        <v>2608</v>
      </c>
      <c r="F67" s="66">
        <f>일위대가!H385</f>
        <v>0</v>
      </c>
      <c r="G67" s="66">
        <f t="shared" si="0"/>
        <v>0</v>
      </c>
      <c r="H67" s="66">
        <f>일위대가!J385</f>
        <v>23287</v>
      </c>
      <c r="I67" s="66">
        <f t="shared" si="4"/>
        <v>23287</v>
      </c>
      <c r="J67" s="66">
        <f>일위대가!L385</f>
        <v>0</v>
      </c>
      <c r="K67" s="66">
        <f t="shared" si="5"/>
        <v>0</v>
      </c>
      <c r="L67" s="66">
        <f t="shared" si="1"/>
        <v>23287</v>
      </c>
      <c r="M67" s="66">
        <f t="shared" si="2"/>
        <v>23287</v>
      </c>
    </row>
    <row r="68" spans="1:13" s="57" customFormat="1" ht="15.2" customHeight="1">
      <c r="A68" s="67">
        <f t="shared" si="9"/>
        <v>61</v>
      </c>
      <c r="B68" s="63" t="s">
        <v>2626</v>
      </c>
      <c r="C68" s="64" t="s">
        <v>2630</v>
      </c>
      <c r="D68" s="65">
        <v>1</v>
      </c>
      <c r="E68" s="62" t="s">
        <v>2608</v>
      </c>
      <c r="F68" s="66">
        <f>일위대가!H388</f>
        <v>0</v>
      </c>
      <c r="G68" s="66">
        <f t="shared" si="0"/>
        <v>0</v>
      </c>
      <c r="H68" s="66">
        <f>일위대가!J388</f>
        <v>31348</v>
      </c>
      <c r="I68" s="66">
        <f t="shared" si="4"/>
        <v>31348</v>
      </c>
      <c r="J68" s="66">
        <f>일위대가!L388</f>
        <v>0</v>
      </c>
      <c r="K68" s="66">
        <f t="shared" si="5"/>
        <v>0</v>
      </c>
      <c r="L68" s="66">
        <f t="shared" si="1"/>
        <v>31348</v>
      </c>
      <c r="M68" s="66">
        <f t="shared" si="2"/>
        <v>31348</v>
      </c>
    </row>
    <row r="69" spans="1:13" s="57" customFormat="1" ht="15.2" customHeight="1">
      <c r="A69" s="67">
        <f t="shared" si="9"/>
        <v>62</v>
      </c>
      <c r="B69" s="63" t="s">
        <v>2631</v>
      </c>
      <c r="C69" s="64" t="s">
        <v>2632</v>
      </c>
      <c r="D69" s="65">
        <v>1</v>
      </c>
      <c r="E69" s="62" t="s">
        <v>2608</v>
      </c>
      <c r="F69" s="66">
        <f>일위대가!H391</f>
        <v>0</v>
      </c>
      <c r="G69" s="66">
        <f t="shared" si="0"/>
        <v>0</v>
      </c>
      <c r="H69" s="66">
        <f>일위대가!J391</f>
        <v>8956</v>
      </c>
      <c r="I69" s="66">
        <f t="shared" si="4"/>
        <v>8956</v>
      </c>
      <c r="J69" s="66">
        <f>일위대가!L391</f>
        <v>0</v>
      </c>
      <c r="K69" s="66">
        <f t="shared" si="5"/>
        <v>0</v>
      </c>
      <c r="L69" s="66">
        <f t="shared" si="1"/>
        <v>8956</v>
      </c>
      <c r="M69" s="66">
        <f t="shared" si="2"/>
        <v>8956</v>
      </c>
    </row>
    <row r="70" spans="1:13" s="57" customFormat="1" ht="15.2" customHeight="1">
      <c r="A70" s="67">
        <f>A69+1</f>
        <v>63</v>
      </c>
      <c r="B70" s="63" t="s">
        <v>2633</v>
      </c>
      <c r="C70" s="64" t="s">
        <v>2632</v>
      </c>
      <c r="D70" s="65">
        <v>1</v>
      </c>
      <c r="E70" s="62" t="s">
        <v>2608</v>
      </c>
      <c r="F70" s="66">
        <f>일위대가!H395</f>
        <v>291</v>
      </c>
      <c r="G70" s="66">
        <f>TRUNC(D70*F70)</f>
        <v>291</v>
      </c>
      <c r="H70" s="66">
        <f>일위대가!J395</f>
        <v>14367</v>
      </c>
      <c r="I70" s="66">
        <f>TRUNC(D70*H70)</f>
        <v>14367</v>
      </c>
      <c r="J70" s="66">
        <f>일위대가!L395</f>
        <v>117</v>
      </c>
      <c r="K70" s="66">
        <f>TRUNC(D70*J70)</f>
        <v>117</v>
      </c>
      <c r="L70" s="66">
        <f>F70+H70+J70</f>
        <v>14775</v>
      </c>
      <c r="M70" s="66">
        <f>G70+I70+K70</f>
        <v>14775</v>
      </c>
    </row>
    <row r="71" spans="1:13" s="57" customFormat="1" ht="15.2" customHeight="1">
      <c r="A71" s="67">
        <f>A70+1</f>
        <v>64</v>
      </c>
      <c r="B71" s="63" t="s">
        <v>2634</v>
      </c>
      <c r="C71" s="64" t="s">
        <v>2632</v>
      </c>
      <c r="D71" s="65">
        <v>1</v>
      </c>
      <c r="E71" s="62" t="s">
        <v>2608</v>
      </c>
      <c r="F71" s="66">
        <f>일위대가!H399</f>
        <v>8494</v>
      </c>
      <c r="G71" s="66">
        <f t="shared" si="0"/>
        <v>8494</v>
      </c>
      <c r="H71" s="66">
        <f>일위대가!J399</f>
        <v>169891</v>
      </c>
      <c r="I71" s="66">
        <f t="shared" si="4"/>
        <v>169891</v>
      </c>
      <c r="J71" s="66">
        <f>일위대가!L399</f>
        <v>0</v>
      </c>
      <c r="K71" s="66">
        <f t="shared" si="5"/>
        <v>0</v>
      </c>
      <c r="L71" s="66">
        <f t="shared" si="1"/>
        <v>178385</v>
      </c>
      <c r="M71" s="66">
        <f t="shared" si="2"/>
        <v>178385</v>
      </c>
    </row>
    <row r="72" spans="1:13" s="57" customFormat="1" ht="15.2" customHeight="1">
      <c r="A72" s="67">
        <f t="shared" si="9"/>
        <v>65</v>
      </c>
      <c r="B72" s="63" t="s">
        <v>2634</v>
      </c>
      <c r="C72" s="64" t="s">
        <v>2635</v>
      </c>
      <c r="D72" s="65">
        <v>1</v>
      </c>
      <c r="E72" s="62" t="s">
        <v>2608</v>
      </c>
      <c r="F72" s="66">
        <f>일위대가!H406</f>
        <v>2979</v>
      </c>
      <c r="G72" s="66">
        <f t="shared" si="0"/>
        <v>2979</v>
      </c>
      <c r="H72" s="66">
        <f>일위대가!J406</f>
        <v>57479</v>
      </c>
      <c r="I72" s="66">
        <f t="shared" si="4"/>
        <v>57479</v>
      </c>
      <c r="J72" s="66">
        <f>일위대가!L406</f>
        <v>1138</v>
      </c>
      <c r="K72" s="66">
        <f t="shared" si="5"/>
        <v>1138</v>
      </c>
      <c r="L72" s="66">
        <f t="shared" si="1"/>
        <v>61596</v>
      </c>
      <c r="M72" s="66">
        <f t="shared" si="2"/>
        <v>61596</v>
      </c>
    </row>
    <row r="73" spans="1:13" s="57" customFormat="1" ht="15.2" customHeight="1">
      <c r="A73" s="67">
        <f t="shared" si="9"/>
        <v>66</v>
      </c>
      <c r="B73" s="63" t="s">
        <v>2634</v>
      </c>
      <c r="C73" s="64" t="s">
        <v>2636</v>
      </c>
      <c r="D73" s="65">
        <v>1</v>
      </c>
      <c r="E73" s="62" t="s">
        <v>2608</v>
      </c>
      <c r="F73" s="66">
        <f>일위대가!H412</f>
        <v>3571</v>
      </c>
      <c r="G73" s="66">
        <f t="shared" si="0"/>
        <v>3571</v>
      </c>
      <c r="H73" s="66">
        <f>일위대가!J412</f>
        <v>9811</v>
      </c>
      <c r="I73" s="66">
        <f t="shared" si="4"/>
        <v>9811</v>
      </c>
      <c r="J73" s="66">
        <f>일위대가!L412</f>
        <v>4210</v>
      </c>
      <c r="K73" s="66">
        <f t="shared" si="5"/>
        <v>4210</v>
      </c>
      <c r="L73" s="66">
        <f t="shared" si="1"/>
        <v>17592</v>
      </c>
      <c r="M73" s="66">
        <f t="shared" si="2"/>
        <v>17592</v>
      </c>
    </row>
    <row r="74" spans="1:13" s="57" customFormat="1" ht="15.2" customHeight="1">
      <c r="A74" s="67">
        <f t="shared" si="9"/>
        <v>67</v>
      </c>
      <c r="B74" s="63" t="s">
        <v>2634</v>
      </c>
      <c r="C74" s="643" t="s">
        <v>4078</v>
      </c>
      <c r="D74" s="65">
        <v>1</v>
      </c>
      <c r="E74" s="62" t="s">
        <v>2637</v>
      </c>
      <c r="F74" s="66">
        <f>일위대가!H418</f>
        <v>3404</v>
      </c>
      <c r="G74" s="66">
        <f t="shared" si="0"/>
        <v>3404</v>
      </c>
      <c r="H74" s="66">
        <f>일위대가!J418</f>
        <v>7038</v>
      </c>
      <c r="I74" s="66">
        <f t="shared" si="4"/>
        <v>7038</v>
      </c>
      <c r="J74" s="66">
        <f>일위대가!L418</f>
        <v>5292</v>
      </c>
      <c r="K74" s="66">
        <f t="shared" si="5"/>
        <v>5292</v>
      </c>
      <c r="L74" s="66">
        <f t="shared" si="1"/>
        <v>15734</v>
      </c>
      <c r="M74" s="66">
        <f t="shared" si="2"/>
        <v>15734</v>
      </c>
    </row>
    <row r="75" spans="1:13" s="57" customFormat="1" ht="15.2" customHeight="1">
      <c r="A75" s="67">
        <f t="shared" si="9"/>
        <v>68</v>
      </c>
      <c r="B75" s="63" t="s">
        <v>2638</v>
      </c>
      <c r="C75" s="64" t="s">
        <v>2639</v>
      </c>
      <c r="D75" s="65">
        <v>1</v>
      </c>
      <c r="E75" s="62" t="s">
        <v>2637</v>
      </c>
      <c r="F75" s="66">
        <f>일위대가!H422</f>
        <v>10059</v>
      </c>
      <c r="G75" s="66">
        <f t="shared" si="0"/>
        <v>10059</v>
      </c>
      <c r="H75" s="66">
        <f>일위대가!J422</f>
        <v>201187</v>
      </c>
      <c r="I75" s="66">
        <f t="shared" si="4"/>
        <v>201187</v>
      </c>
      <c r="J75" s="66">
        <f>일위대가!L422</f>
        <v>0</v>
      </c>
      <c r="K75" s="66">
        <f t="shared" si="5"/>
        <v>0</v>
      </c>
      <c r="L75" s="66">
        <f t="shared" si="1"/>
        <v>211246</v>
      </c>
      <c r="M75" s="66">
        <f t="shared" si="2"/>
        <v>211246</v>
      </c>
    </row>
    <row r="76" spans="1:13" s="57" customFormat="1" ht="15.2" customHeight="1">
      <c r="A76" s="67">
        <f t="shared" si="9"/>
        <v>69</v>
      </c>
      <c r="B76" s="63" t="s">
        <v>2638</v>
      </c>
      <c r="C76" s="64" t="s">
        <v>2640</v>
      </c>
      <c r="D76" s="65">
        <v>1</v>
      </c>
      <c r="E76" s="62" t="s">
        <v>2637</v>
      </c>
      <c r="F76" s="66">
        <f>일위대가!H429</f>
        <v>4470</v>
      </c>
      <c r="G76" s="66">
        <f t="shared" si="0"/>
        <v>4470</v>
      </c>
      <c r="H76" s="66">
        <f>일위대가!J429</f>
        <v>75332</v>
      </c>
      <c r="I76" s="66">
        <f t="shared" si="4"/>
        <v>75332</v>
      </c>
      <c r="J76" s="66">
        <f>일위대가!L429</f>
        <v>1683</v>
      </c>
      <c r="K76" s="66">
        <f t="shared" si="5"/>
        <v>1683</v>
      </c>
      <c r="L76" s="66">
        <f t="shared" si="1"/>
        <v>81485</v>
      </c>
      <c r="M76" s="66">
        <f t="shared" si="2"/>
        <v>81485</v>
      </c>
    </row>
    <row r="77" spans="1:13" s="57" customFormat="1" ht="15.2" customHeight="1">
      <c r="A77" s="67">
        <f t="shared" si="9"/>
        <v>70</v>
      </c>
      <c r="B77" s="63" t="s">
        <v>2641</v>
      </c>
      <c r="C77" s="64" t="s">
        <v>2639</v>
      </c>
      <c r="D77" s="65">
        <v>1</v>
      </c>
      <c r="E77" s="62" t="s">
        <v>2637</v>
      </c>
      <c r="F77" s="66">
        <f>일위대가!H433</f>
        <v>12427</v>
      </c>
      <c r="G77" s="66">
        <f t="shared" si="0"/>
        <v>12427</v>
      </c>
      <c r="H77" s="66">
        <f>일위대가!J433</f>
        <v>248546</v>
      </c>
      <c r="I77" s="66">
        <f t="shared" si="4"/>
        <v>248546</v>
      </c>
      <c r="J77" s="66">
        <f>일위대가!L433</f>
        <v>0</v>
      </c>
      <c r="K77" s="66">
        <f t="shared" si="5"/>
        <v>0</v>
      </c>
      <c r="L77" s="66">
        <f t="shared" si="1"/>
        <v>260973</v>
      </c>
      <c r="M77" s="66">
        <f t="shared" si="2"/>
        <v>260973</v>
      </c>
    </row>
    <row r="78" spans="1:13" s="57" customFormat="1" ht="15.2" customHeight="1">
      <c r="A78" s="67">
        <f t="shared" si="9"/>
        <v>71</v>
      </c>
      <c r="B78" s="63" t="s">
        <v>2641</v>
      </c>
      <c r="C78" s="64" t="s">
        <v>2640</v>
      </c>
      <c r="D78" s="65">
        <v>1</v>
      </c>
      <c r="E78" s="62" t="s">
        <v>2637</v>
      </c>
      <c r="F78" s="66">
        <f>일위대가!H440</f>
        <v>4470</v>
      </c>
      <c r="G78" s="66">
        <f t="shared" si="0"/>
        <v>4470</v>
      </c>
      <c r="H78" s="66">
        <f>일위대가!J440</f>
        <v>75332</v>
      </c>
      <c r="I78" s="66">
        <f t="shared" si="4"/>
        <v>75332</v>
      </c>
      <c r="J78" s="66">
        <f>일위대가!L440</f>
        <v>1683</v>
      </c>
      <c r="K78" s="66">
        <f t="shared" si="5"/>
        <v>1683</v>
      </c>
      <c r="L78" s="66">
        <f t="shared" si="1"/>
        <v>81485</v>
      </c>
      <c r="M78" s="66">
        <f t="shared" si="2"/>
        <v>81485</v>
      </c>
    </row>
    <row r="79" spans="1:13" s="57" customFormat="1" ht="15.2" customHeight="1">
      <c r="A79" s="67">
        <f>A78+1</f>
        <v>72</v>
      </c>
      <c r="B79" s="63" t="s">
        <v>2642</v>
      </c>
      <c r="C79" s="64" t="s">
        <v>2643</v>
      </c>
      <c r="D79" s="65">
        <v>1</v>
      </c>
      <c r="E79" s="62" t="s">
        <v>2644</v>
      </c>
      <c r="F79" s="66">
        <f>일위대가!H444</f>
        <v>0</v>
      </c>
      <c r="G79" s="66">
        <f t="shared" si="0"/>
        <v>0</v>
      </c>
      <c r="H79" s="66">
        <f>일위대가!J444</f>
        <v>17338</v>
      </c>
      <c r="I79" s="66">
        <f t="shared" si="4"/>
        <v>17338</v>
      </c>
      <c r="J79" s="66">
        <f>일위대가!L444</f>
        <v>0</v>
      </c>
      <c r="K79" s="66">
        <f t="shared" si="5"/>
        <v>0</v>
      </c>
      <c r="L79" s="66">
        <f t="shared" si="1"/>
        <v>17338</v>
      </c>
      <c r="M79" s="66">
        <f t="shared" si="2"/>
        <v>17338</v>
      </c>
    </row>
    <row r="80" spans="1:13" s="57" customFormat="1" ht="15.2" customHeight="1">
      <c r="A80" s="67">
        <f t="shared" si="9"/>
        <v>73</v>
      </c>
      <c r="B80" s="63" t="s">
        <v>2645</v>
      </c>
      <c r="C80" s="64" t="s">
        <v>2639</v>
      </c>
      <c r="D80" s="65">
        <v>1</v>
      </c>
      <c r="E80" s="62" t="s">
        <v>2646</v>
      </c>
      <c r="F80" s="66">
        <f>일위대가!H449</f>
        <v>5099</v>
      </c>
      <c r="G80" s="66">
        <f t="shared" si="0"/>
        <v>5099</v>
      </c>
      <c r="H80" s="66">
        <f>일위대가!J449</f>
        <v>101993</v>
      </c>
      <c r="I80" s="66">
        <f t="shared" si="4"/>
        <v>101993</v>
      </c>
      <c r="J80" s="66">
        <f>일위대가!L449</f>
        <v>0</v>
      </c>
      <c r="K80" s="66">
        <f t="shared" si="5"/>
        <v>0</v>
      </c>
      <c r="L80" s="66">
        <f t="shared" si="1"/>
        <v>107092</v>
      </c>
      <c r="M80" s="66">
        <f t="shared" si="2"/>
        <v>107092</v>
      </c>
    </row>
    <row r="81" spans="1:13" s="57" customFormat="1" ht="15.2" customHeight="1">
      <c r="A81" s="67">
        <f t="shared" si="9"/>
        <v>74</v>
      </c>
      <c r="B81" s="63" t="s">
        <v>2647</v>
      </c>
      <c r="C81" s="64" t="s">
        <v>2639</v>
      </c>
      <c r="D81" s="65">
        <v>1</v>
      </c>
      <c r="E81" s="62" t="s">
        <v>2646</v>
      </c>
      <c r="F81" s="66">
        <f>일위대가!H453</f>
        <v>2686</v>
      </c>
      <c r="G81" s="66">
        <f t="shared" si="0"/>
        <v>2686</v>
      </c>
      <c r="H81" s="66">
        <f>일위대가!J453</f>
        <v>53739</v>
      </c>
      <c r="I81" s="66">
        <f t="shared" si="4"/>
        <v>53739</v>
      </c>
      <c r="J81" s="66">
        <f>일위대가!L453</f>
        <v>0</v>
      </c>
      <c r="K81" s="66">
        <f t="shared" si="5"/>
        <v>0</v>
      </c>
      <c r="L81" s="66">
        <f t="shared" si="1"/>
        <v>56425</v>
      </c>
      <c r="M81" s="66">
        <f t="shared" si="2"/>
        <v>56425</v>
      </c>
    </row>
    <row r="82" spans="1:13" s="57" customFormat="1" ht="15.2" customHeight="1">
      <c r="A82" s="67">
        <f t="shared" si="9"/>
        <v>75</v>
      </c>
      <c r="B82" s="63" t="s">
        <v>2648</v>
      </c>
      <c r="C82" s="64" t="s">
        <v>2649</v>
      </c>
      <c r="D82" s="65">
        <v>1</v>
      </c>
      <c r="E82" s="62" t="s">
        <v>2581</v>
      </c>
      <c r="F82" s="66">
        <f>일위대가!H457</f>
        <v>895</v>
      </c>
      <c r="G82" s="66">
        <f t="shared" si="0"/>
        <v>895</v>
      </c>
      <c r="H82" s="66">
        <f>일위대가!J457</f>
        <v>17913</v>
      </c>
      <c r="I82" s="66">
        <f t="shared" si="4"/>
        <v>17913</v>
      </c>
      <c r="J82" s="66">
        <f>일위대가!L457</f>
        <v>0</v>
      </c>
      <c r="K82" s="66">
        <f t="shared" si="5"/>
        <v>0</v>
      </c>
      <c r="L82" s="66">
        <f t="shared" si="1"/>
        <v>18808</v>
      </c>
      <c r="M82" s="66">
        <f t="shared" si="2"/>
        <v>18808</v>
      </c>
    </row>
    <row r="83" spans="1:13" s="57" customFormat="1" ht="15.2" customHeight="1">
      <c r="A83" s="67">
        <f t="shared" si="9"/>
        <v>76</v>
      </c>
      <c r="B83" s="63" t="s">
        <v>2650</v>
      </c>
      <c r="C83" s="64" t="s">
        <v>2651</v>
      </c>
      <c r="D83" s="65">
        <v>1</v>
      </c>
      <c r="E83" s="62" t="s">
        <v>2652</v>
      </c>
      <c r="F83" s="66">
        <f>일위대가!H460</f>
        <v>425</v>
      </c>
      <c r="G83" s="66">
        <f t="shared" ref="G83:G164" si="10">TRUNC(D83*F83)</f>
        <v>425</v>
      </c>
      <c r="H83" s="66">
        <f>일위대가!J460</f>
        <v>1715</v>
      </c>
      <c r="I83" s="66">
        <f t="shared" si="4"/>
        <v>1715</v>
      </c>
      <c r="J83" s="66">
        <f>일위대가!L460</f>
        <v>710</v>
      </c>
      <c r="K83" s="66">
        <f t="shared" si="5"/>
        <v>710</v>
      </c>
      <c r="L83" s="66">
        <f t="shared" ref="L83:L164" si="11">F83+H83+J83</f>
        <v>2850</v>
      </c>
      <c r="M83" s="66">
        <f t="shared" ref="M83:M164" si="12">G83+I83+K83</f>
        <v>2850</v>
      </c>
    </row>
    <row r="84" spans="1:13" s="57" customFormat="1" ht="15.2" customHeight="1">
      <c r="A84" s="67">
        <f t="shared" si="9"/>
        <v>77</v>
      </c>
      <c r="B84" s="63" t="s">
        <v>2650</v>
      </c>
      <c r="C84" s="64" t="s">
        <v>2653</v>
      </c>
      <c r="D84" s="65">
        <v>1</v>
      </c>
      <c r="E84" s="62" t="s">
        <v>2652</v>
      </c>
      <c r="F84" s="66">
        <f>일위대가!H463</f>
        <v>425</v>
      </c>
      <c r="G84" s="66">
        <f t="shared" si="10"/>
        <v>425</v>
      </c>
      <c r="H84" s="66">
        <f>일위대가!J463</f>
        <v>857</v>
      </c>
      <c r="I84" s="66">
        <f t="shared" si="4"/>
        <v>857</v>
      </c>
      <c r="J84" s="66">
        <f>일위대가!L463</f>
        <v>395</v>
      </c>
      <c r="K84" s="66">
        <f t="shared" si="5"/>
        <v>395</v>
      </c>
      <c r="L84" s="66">
        <f t="shared" si="11"/>
        <v>1677</v>
      </c>
      <c r="M84" s="66">
        <f t="shared" si="12"/>
        <v>1677</v>
      </c>
    </row>
    <row r="85" spans="1:13" s="57" customFormat="1" ht="15.2" customHeight="1">
      <c r="A85" s="67">
        <f t="shared" si="9"/>
        <v>78</v>
      </c>
      <c r="B85" s="63" t="s">
        <v>2650</v>
      </c>
      <c r="C85" s="643" t="s">
        <v>4070</v>
      </c>
      <c r="D85" s="65">
        <v>1</v>
      </c>
      <c r="E85" s="62" t="s">
        <v>2608</v>
      </c>
      <c r="F85" s="66">
        <f>일위대가!H466</f>
        <v>321</v>
      </c>
      <c r="G85" s="66">
        <f t="shared" si="10"/>
        <v>321</v>
      </c>
      <c r="H85" s="66">
        <f>일위대가!J466</f>
        <v>544</v>
      </c>
      <c r="I85" s="66">
        <f t="shared" ref="I85:I166" si="13">TRUNC(D85*H85)</f>
        <v>544</v>
      </c>
      <c r="J85" s="66">
        <f>일위대가!L466</f>
        <v>433</v>
      </c>
      <c r="K85" s="66">
        <f t="shared" si="5"/>
        <v>433</v>
      </c>
      <c r="L85" s="66">
        <f t="shared" si="11"/>
        <v>1298</v>
      </c>
      <c r="M85" s="66">
        <f t="shared" si="12"/>
        <v>1298</v>
      </c>
    </row>
    <row r="86" spans="1:13" s="57" customFormat="1" ht="15.2" customHeight="1">
      <c r="A86" s="67">
        <f t="shared" si="9"/>
        <v>79</v>
      </c>
      <c r="B86" s="63" t="s">
        <v>2654</v>
      </c>
      <c r="C86" s="64" t="s">
        <v>2655</v>
      </c>
      <c r="D86" s="65">
        <v>1</v>
      </c>
      <c r="E86" s="62" t="s">
        <v>2608</v>
      </c>
      <c r="F86" s="66">
        <f>일위대가!H469</f>
        <v>235</v>
      </c>
      <c r="G86" s="66">
        <f t="shared" si="10"/>
        <v>235</v>
      </c>
      <c r="H86" s="66">
        <f>일위대가!J469</f>
        <v>949</v>
      </c>
      <c r="I86" s="66">
        <f t="shared" si="13"/>
        <v>949</v>
      </c>
      <c r="J86" s="66">
        <f>일위대가!L469</f>
        <v>393</v>
      </c>
      <c r="K86" s="66">
        <f t="shared" ref="K86:K167" si="14">TRUNC(D86*J86)</f>
        <v>393</v>
      </c>
      <c r="L86" s="66">
        <f t="shared" si="11"/>
        <v>1577</v>
      </c>
      <c r="M86" s="66">
        <f t="shared" si="12"/>
        <v>1577</v>
      </c>
    </row>
    <row r="87" spans="1:13" s="57" customFormat="1" ht="15.2" customHeight="1">
      <c r="A87" s="67">
        <f t="shared" si="9"/>
        <v>80</v>
      </c>
      <c r="B87" s="63" t="s">
        <v>2656</v>
      </c>
      <c r="C87" s="64" t="s">
        <v>2655</v>
      </c>
      <c r="D87" s="65">
        <v>1</v>
      </c>
      <c r="E87" s="62" t="s">
        <v>2608</v>
      </c>
      <c r="F87" s="66">
        <f>일위대가!H473</f>
        <v>526</v>
      </c>
      <c r="G87" s="66">
        <f>TRUNC(D87*F87)</f>
        <v>526</v>
      </c>
      <c r="H87" s="66">
        <f>일위대가!J473</f>
        <v>6360</v>
      </c>
      <c r="I87" s="66">
        <f>TRUNC(D87*H87)</f>
        <v>6360</v>
      </c>
      <c r="J87" s="66">
        <f>일위대가!L473</f>
        <v>510</v>
      </c>
      <c r="K87" s="66">
        <f>TRUNC(D87*J87)</f>
        <v>510</v>
      </c>
      <c r="L87" s="66">
        <f>F87+H87+J87</f>
        <v>7396</v>
      </c>
      <c r="M87" s="66">
        <f>G87+I87+K87</f>
        <v>7396</v>
      </c>
    </row>
    <row r="88" spans="1:13" s="57" customFormat="1" ht="15.2" customHeight="1">
      <c r="A88" s="67">
        <f t="shared" si="9"/>
        <v>81</v>
      </c>
      <c r="B88" s="63" t="s">
        <v>2654</v>
      </c>
      <c r="C88" s="64" t="s">
        <v>2657</v>
      </c>
      <c r="D88" s="65">
        <v>1</v>
      </c>
      <c r="E88" s="62" t="s">
        <v>2608</v>
      </c>
      <c r="F88" s="66">
        <f>일위대가!H476</f>
        <v>235</v>
      </c>
      <c r="G88" s="66">
        <f t="shared" si="10"/>
        <v>235</v>
      </c>
      <c r="H88" s="66">
        <f>일위대가!J476</f>
        <v>474</v>
      </c>
      <c r="I88" s="66">
        <f t="shared" si="13"/>
        <v>474</v>
      </c>
      <c r="J88" s="66">
        <f>일위대가!L476</f>
        <v>218</v>
      </c>
      <c r="K88" s="66">
        <f t="shared" si="14"/>
        <v>218</v>
      </c>
      <c r="L88" s="66">
        <f t="shared" si="11"/>
        <v>927</v>
      </c>
      <c r="M88" s="66">
        <f t="shared" si="12"/>
        <v>927</v>
      </c>
    </row>
    <row r="89" spans="1:13" s="57" customFormat="1" ht="15.2" customHeight="1">
      <c r="A89" s="67">
        <f t="shared" si="9"/>
        <v>82</v>
      </c>
      <c r="B89" s="63" t="s">
        <v>2656</v>
      </c>
      <c r="C89" s="64" t="s">
        <v>2657</v>
      </c>
      <c r="D89" s="65">
        <v>1</v>
      </c>
      <c r="E89" s="62" t="s">
        <v>2608</v>
      </c>
      <c r="F89" s="66">
        <f>일위대가!H480</f>
        <v>526</v>
      </c>
      <c r="G89" s="66">
        <f>TRUNC(D89*F89)</f>
        <v>526</v>
      </c>
      <c r="H89" s="66">
        <f>일위대가!J480</f>
        <v>5885</v>
      </c>
      <c r="I89" s="66">
        <f>TRUNC(D89*H89)</f>
        <v>5885</v>
      </c>
      <c r="J89" s="66">
        <f>일위대가!L480</f>
        <v>335</v>
      </c>
      <c r="K89" s="66">
        <f>TRUNC(D89*J89)</f>
        <v>335</v>
      </c>
      <c r="L89" s="66">
        <f>F89+H89+J89</f>
        <v>6746</v>
      </c>
      <c r="M89" s="66">
        <f>G89+I89+K89</f>
        <v>6746</v>
      </c>
    </row>
    <row r="90" spans="1:13" s="57" customFormat="1" ht="15.2" customHeight="1">
      <c r="A90" s="67">
        <f t="shared" si="9"/>
        <v>83</v>
      </c>
      <c r="B90" s="63" t="s">
        <v>2654</v>
      </c>
      <c r="C90" s="643" t="s">
        <v>4070</v>
      </c>
      <c r="D90" s="65">
        <v>1</v>
      </c>
      <c r="E90" s="62" t="s">
        <v>2608</v>
      </c>
      <c r="F90" s="66">
        <f>일위대가!H483</f>
        <v>177</v>
      </c>
      <c r="G90" s="66">
        <f t="shared" si="10"/>
        <v>177</v>
      </c>
      <c r="H90" s="66">
        <f>일위대가!J483</f>
        <v>301</v>
      </c>
      <c r="I90" s="66">
        <f t="shared" si="13"/>
        <v>301</v>
      </c>
      <c r="J90" s="66">
        <f>일위대가!L483</f>
        <v>240</v>
      </c>
      <c r="K90" s="66">
        <f t="shared" si="14"/>
        <v>240</v>
      </c>
      <c r="L90" s="66">
        <f t="shared" si="11"/>
        <v>718</v>
      </c>
      <c r="M90" s="66">
        <f t="shared" si="12"/>
        <v>718</v>
      </c>
    </row>
    <row r="91" spans="1:13" s="57" customFormat="1" ht="15.2" customHeight="1">
      <c r="A91" s="67">
        <f t="shared" si="9"/>
        <v>84</v>
      </c>
      <c r="B91" s="63" t="s">
        <v>2656</v>
      </c>
      <c r="C91" s="643" t="s">
        <v>4070</v>
      </c>
      <c r="D91" s="65">
        <v>1</v>
      </c>
      <c r="E91" s="62" t="s">
        <v>2608</v>
      </c>
      <c r="F91" s="66">
        <f>일위대가!H487</f>
        <v>468</v>
      </c>
      <c r="G91" s="66">
        <f>TRUNC(D91*F91)</f>
        <v>468</v>
      </c>
      <c r="H91" s="66">
        <f>일위대가!J487</f>
        <v>5712</v>
      </c>
      <c r="I91" s="66">
        <f>TRUNC(D91*H91)</f>
        <v>5712</v>
      </c>
      <c r="J91" s="66">
        <f>일위대가!L487</f>
        <v>357</v>
      </c>
      <c r="K91" s="66">
        <f>TRUNC(D91*J91)</f>
        <v>357</v>
      </c>
      <c r="L91" s="66">
        <f>F91+H91+J91</f>
        <v>6537</v>
      </c>
      <c r="M91" s="66">
        <f>G91+I91+K91</f>
        <v>6537</v>
      </c>
    </row>
    <row r="92" spans="1:13" s="57" customFormat="1" ht="15.2" customHeight="1">
      <c r="A92" s="67">
        <f t="shared" si="9"/>
        <v>85</v>
      </c>
      <c r="B92" s="63" t="s">
        <v>2658</v>
      </c>
      <c r="C92" s="64" t="s">
        <v>2659</v>
      </c>
      <c r="D92" s="65">
        <v>1</v>
      </c>
      <c r="E92" s="62" t="s">
        <v>2608</v>
      </c>
      <c r="F92" s="66">
        <f>일위대가!H490</f>
        <v>0</v>
      </c>
      <c r="G92" s="66">
        <f t="shared" si="10"/>
        <v>0</v>
      </c>
      <c r="H92" s="66">
        <f>일위대가!J490</f>
        <v>9329</v>
      </c>
      <c r="I92" s="66">
        <f t="shared" si="13"/>
        <v>9329</v>
      </c>
      <c r="J92" s="66">
        <f>일위대가!L490</f>
        <v>0</v>
      </c>
      <c r="K92" s="66">
        <f t="shared" si="14"/>
        <v>0</v>
      </c>
      <c r="L92" s="66">
        <f t="shared" si="11"/>
        <v>9329</v>
      </c>
      <c r="M92" s="66">
        <f t="shared" si="12"/>
        <v>9329</v>
      </c>
    </row>
    <row r="93" spans="1:13" s="57" customFormat="1" ht="15.2" customHeight="1">
      <c r="A93" s="67">
        <f t="shared" si="9"/>
        <v>86</v>
      </c>
      <c r="B93" s="63" t="s">
        <v>2658</v>
      </c>
      <c r="C93" s="64" t="s">
        <v>2660</v>
      </c>
      <c r="D93" s="65">
        <v>1</v>
      </c>
      <c r="E93" s="62" t="s">
        <v>2608</v>
      </c>
      <c r="F93" s="66">
        <f>일위대가!H493</f>
        <v>0</v>
      </c>
      <c r="G93" s="66">
        <f t="shared" si="10"/>
        <v>0</v>
      </c>
      <c r="H93" s="66">
        <f>일위대가!J493</f>
        <v>11196</v>
      </c>
      <c r="I93" s="66">
        <f t="shared" si="13"/>
        <v>11196</v>
      </c>
      <c r="J93" s="66">
        <f>일위대가!L493</f>
        <v>0</v>
      </c>
      <c r="K93" s="66">
        <f t="shared" si="14"/>
        <v>0</v>
      </c>
      <c r="L93" s="66">
        <f t="shared" si="11"/>
        <v>11196</v>
      </c>
      <c r="M93" s="66">
        <f t="shared" si="12"/>
        <v>11196</v>
      </c>
    </row>
    <row r="94" spans="1:13" s="57" customFormat="1" ht="15.2" customHeight="1">
      <c r="A94" s="67">
        <f t="shared" si="9"/>
        <v>87</v>
      </c>
      <c r="B94" s="63" t="s">
        <v>2661</v>
      </c>
      <c r="C94" s="64" t="s">
        <v>2655</v>
      </c>
      <c r="D94" s="65">
        <v>1</v>
      </c>
      <c r="E94" s="62" t="s">
        <v>2608</v>
      </c>
      <c r="F94" s="66">
        <f>일위대가!H496</f>
        <v>294</v>
      </c>
      <c r="G94" s="66">
        <f t="shared" si="10"/>
        <v>294</v>
      </c>
      <c r="H94" s="66">
        <f>일위대가!J496</f>
        <v>1187</v>
      </c>
      <c r="I94" s="66">
        <f t="shared" si="13"/>
        <v>1187</v>
      </c>
      <c r="J94" s="66">
        <f>일위대가!L496</f>
        <v>491</v>
      </c>
      <c r="K94" s="66">
        <f t="shared" si="14"/>
        <v>491</v>
      </c>
      <c r="L94" s="66">
        <f t="shared" si="11"/>
        <v>1972</v>
      </c>
      <c r="M94" s="66">
        <f t="shared" si="12"/>
        <v>1972</v>
      </c>
    </row>
    <row r="95" spans="1:13" s="57" customFormat="1" ht="15.2" customHeight="1">
      <c r="A95" s="67">
        <f t="shared" si="9"/>
        <v>88</v>
      </c>
      <c r="B95" s="63" t="s">
        <v>2661</v>
      </c>
      <c r="C95" s="64" t="s">
        <v>2657</v>
      </c>
      <c r="D95" s="65">
        <v>1</v>
      </c>
      <c r="E95" s="62" t="s">
        <v>2608</v>
      </c>
      <c r="F95" s="66">
        <f>일위대가!H499</f>
        <v>294</v>
      </c>
      <c r="G95" s="66">
        <f t="shared" si="10"/>
        <v>294</v>
      </c>
      <c r="H95" s="66">
        <f>일위대가!J499</f>
        <v>593</v>
      </c>
      <c r="I95" s="66">
        <f t="shared" si="13"/>
        <v>593</v>
      </c>
      <c r="J95" s="66">
        <f>일위대가!L499</f>
        <v>273</v>
      </c>
      <c r="K95" s="66">
        <f t="shared" si="14"/>
        <v>273</v>
      </c>
      <c r="L95" s="66">
        <f t="shared" si="11"/>
        <v>1160</v>
      </c>
      <c r="M95" s="66">
        <f t="shared" si="12"/>
        <v>1160</v>
      </c>
    </row>
    <row r="96" spans="1:13" s="57" customFormat="1" ht="15.2" customHeight="1">
      <c r="A96" s="67">
        <f t="shared" si="9"/>
        <v>89</v>
      </c>
      <c r="B96" s="63" t="s">
        <v>2661</v>
      </c>
      <c r="C96" s="643" t="s">
        <v>4070</v>
      </c>
      <c r="D96" s="65">
        <v>1</v>
      </c>
      <c r="E96" s="62" t="s">
        <v>2608</v>
      </c>
      <c r="F96" s="66">
        <f>일위대가!H502</f>
        <v>222</v>
      </c>
      <c r="G96" s="66">
        <f t="shared" si="10"/>
        <v>222</v>
      </c>
      <c r="H96" s="66">
        <f>일위대가!J502</f>
        <v>376</v>
      </c>
      <c r="I96" s="66">
        <f t="shared" si="13"/>
        <v>376</v>
      </c>
      <c r="J96" s="66">
        <f>일위대가!L502</f>
        <v>300</v>
      </c>
      <c r="K96" s="66">
        <f t="shared" si="14"/>
        <v>300</v>
      </c>
      <c r="L96" s="66">
        <f t="shared" si="11"/>
        <v>898</v>
      </c>
      <c r="M96" s="66">
        <f t="shared" si="12"/>
        <v>898</v>
      </c>
    </row>
    <row r="97" spans="1:13" s="57" customFormat="1" ht="15.2" customHeight="1">
      <c r="A97" s="67">
        <f t="shared" si="9"/>
        <v>90</v>
      </c>
      <c r="B97" s="63" t="s">
        <v>2662</v>
      </c>
      <c r="C97" s="64" t="s">
        <v>2655</v>
      </c>
      <c r="D97" s="65">
        <v>1</v>
      </c>
      <c r="E97" s="62" t="s">
        <v>2608</v>
      </c>
      <c r="F97" s="66">
        <f>일위대가!G504</f>
        <v>754</v>
      </c>
      <c r="G97" s="66">
        <f>TRUNC(D97*F97)</f>
        <v>754</v>
      </c>
      <c r="H97" s="66">
        <f>일위대가!I504</f>
        <v>3038</v>
      </c>
      <c r="I97" s="66">
        <f>TRUNC(D97*H97)</f>
        <v>3038</v>
      </c>
      <c r="J97" s="66">
        <f>일위대가!K504</f>
        <v>1258</v>
      </c>
      <c r="K97" s="66">
        <f>TRUNC(D97*J97)</f>
        <v>1258</v>
      </c>
      <c r="L97" s="66">
        <f t="shared" ref="L97:M99" si="15">F97+H97+J97</f>
        <v>5050</v>
      </c>
      <c r="M97" s="66">
        <f t="shared" si="15"/>
        <v>5050</v>
      </c>
    </row>
    <row r="98" spans="1:13" s="57" customFormat="1" ht="15.2" customHeight="1">
      <c r="A98" s="67">
        <f t="shared" si="9"/>
        <v>91</v>
      </c>
      <c r="B98" s="63" t="s">
        <v>2662</v>
      </c>
      <c r="C98" s="64" t="s">
        <v>2657</v>
      </c>
      <c r="D98" s="65">
        <v>1</v>
      </c>
      <c r="E98" s="62" t="s">
        <v>2608</v>
      </c>
      <c r="F98" s="66">
        <f>일위대가!G507</f>
        <v>752</v>
      </c>
      <c r="G98" s="66">
        <f>TRUNC(D98*F98)</f>
        <v>752</v>
      </c>
      <c r="H98" s="66">
        <f>일위대가!I507</f>
        <v>1518</v>
      </c>
      <c r="I98" s="66">
        <f>TRUNC(D98*H98)</f>
        <v>1518</v>
      </c>
      <c r="J98" s="66">
        <f>일위대가!K507</f>
        <v>699</v>
      </c>
      <c r="K98" s="66">
        <f>TRUNC(D98*J98)</f>
        <v>699</v>
      </c>
      <c r="L98" s="66">
        <f t="shared" si="15"/>
        <v>2969</v>
      </c>
      <c r="M98" s="66">
        <f t="shared" si="15"/>
        <v>2969</v>
      </c>
    </row>
    <row r="99" spans="1:13" s="57" customFormat="1" ht="15.2" customHeight="1">
      <c r="A99" s="67">
        <f t="shared" si="9"/>
        <v>92</v>
      </c>
      <c r="B99" s="63" t="s">
        <v>2662</v>
      </c>
      <c r="C99" s="643" t="s">
        <v>4070</v>
      </c>
      <c r="D99" s="65">
        <v>1</v>
      </c>
      <c r="E99" s="62" t="s">
        <v>2608</v>
      </c>
      <c r="F99" s="66">
        <f>일위대가!G510</f>
        <v>569</v>
      </c>
      <c r="G99" s="66">
        <f>TRUNC(D99*F99)</f>
        <v>569</v>
      </c>
      <c r="H99" s="66">
        <f>일위대가!I510</f>
        <v>964</v>
      </c>
      <c r="I99" s="66">
        <f>TRUNC(D99*H99)</f>
        <v>964</v>
      </c>
      <c r="J99" s="66">
        <f>일위대가!K510</f>
        <v>767</v>
      </c>
      <c r="K99" s="66">
        <f>TRUNC(D99*J99)</f>
        <v>767</v>
      </c>
      <c r="L99" s="66">
        <f t="shared" si="15"/>
        <v>2300</v>
      </c>
      <c r="M99" s="66">
        <f t="shared" si="15"/>
        <v>2300</v>
      </c>
    </row>
    <row r="100" spans="1:13" s="57" customFormat="1" ht="15.2" customHeight="1">
      <c r="A100" s="67">
        <f t="shared" si="9"/>
        <v>93</v>
      </c>
      <c r="B100" s="63" t="s">
        <v>2663</v>
      </c>
      <c r="C100" s="64" t="s">
        <v>2624</v>
      </c>
      <c r="D100" s="65">
        <v>1</v>
      </c>
      <c r="E100" s="62" t="s">
        <v>2608</v>
      </c>
      <c r="F100" s="66">
        <f>일위대가!H514</f>
        <v>0</v>
      </c>
      <c r="G100" s="66">
        <f t="shared" si="10"/>
        <v>0</v>
      </c>
      <c r="H100" s="66">
        <f>일위대가!J514</f>
        <v>14330</v>
      </c>
      <c r="I100" s="66">
        <f t="shared" si="13"/>
        <v>14330</v>
      </c>
      <c r="J100" s="66">
        <f>일위대가!L514</f>
        <v>0</v>
      </c>
      <c r="K100" s="66">
        <f t="shared" si="14"/>
        <v>0</v>
      </c>
      <c r="L100" s="66">
        <f t="shared" si="11"/>
        <v>14330</v>
      </c>
      <c r="M100" s="66">
        <f t="shared" si="12"/>
        <v>14330</v>
      </c>
    </row>
    <row r="101" spans="1:13" s="57" customFormat="1" ht="15.2" customHeight="1">
      <c r="A101" s="67">
        <f t="shared" si="9"/>
        <v>94</v>
      </c>
      <c r="B101" s="63" t="s">
        <v>2663</v>
      </c>
      <c r="C101" s="64" t="s">
        <v>2664</v>
      </c>
      <c r="D101" s="65">
        <v>1</v>
      </c>
      <c r="E101" s="62" t="s">
        <v>2608</v>
      </c>
      <c r="F101" s="66">
        <f>일위대가!H517</f>
        <v>0</v>
      </c>
      <c r="G101" s="66">
        <f t="shared" si="10"/>
        <v>0</v>
      </c>
      <c r="H101" s="66">
        <f>일위대가!J517</f>
        <v>19704</v>
      </c>
      <c r="I101" s="66">
        <f t="shared" si="13"/>
        <v>19704</v>
      </c>
      <c r="J101" s="66">
        <f>일위대가!L517</f>
        <v>0</v>
      </c>
      <c r="K101" s="66">
        <f t="shared" si="14"/>
        <v>0</v>
      </c>
      <c r="L101" s="66">
        <f t="shared" si="11"/>
        <v>19704</v>
      </c>
      <c r="M101" s="66">
        <f t="shared" si="12"/>
        <v>19704</v>
      </c>
    </row>
    <row r="102" spans="1:13" s="57" customFormat="1" ht="15.2" customHeight="1">
      <c r="A102" s="67">
        <f t="shared" si="9"/>
        <v>95</v>
      </c>
      <c r="B102" s="63" t="s">
        <v>2665</v>
      </c>
      <c r="C102" s="64" t="s">
        <v>2655</v>
      </c>
      <c r="D102" s="65">
        <v>1</v>
      </c>
      <c r="E102" s="62" t="s">
        <v>2608</v>
      </c>
      <c r="F102" s="66">
        <f>일위대가!H520</f>
        <v>360</v>
      </c>
      <c r="G102" s="66">
        <f t="shared" si="10"/>
        <v>360</v>
      </c>
      <c r="H102" s="66">
        <f>일위대가!J520</f>
        <v>1451</v>
      </c>
      <c r="I102" s="66">
        <f t="shared" si="13"/>
        <v>1451</v>
      </c>
      <c r="J102" s="66">
        <f>일위대가!L520</f>
        <v>601</v>
      </c>
      <c r="K102" s="66">
        <f t="shared" si="14"/>
        <v>601</v>
      </c>
      <c r="L102" s="66">
        <f t="shared" si="11"/>
        <v>2412</v>
      </c>
      <c r="M102" s="66">
        <f t="shared" si="12"/>
        <v>2412</v>
      </c>
    </row>
    <row r="103" spans="1:13" s="57" customFormat="1" ht="15.2" customHeight="1">
      <c r="A103" s="67">
        <f t="shared" si="9"/>
        <v>96</v>
      </c>
      <c r="B103" s="63" t="s">
        <v>2665</v>
      </c>
      <c r="C103" s="64" t="s">
        <v>2657</v>
      </c>
      <c r="D103" s="65">
        <v>1</v>
      </c>
      <c r="E103" s="62" t="s">
        <v>2608</v>
      </c>
      <c r="F103" s="66">
        <f>일위대가!H523</f>
        <v>359</v>
      </c>
      <c r="G103" s="66">
        <f t="shared" si="10"/>
        <v>359</v>
      </c>
      <c r="H103" s="66">
        <f>일위대가!J523</f>
        <v>725</v>
      </c>
      <c r="I103" s="66">
        <f t="shared" si="13"/>
        <v>725</v>
      </c>
      <c r="J103" s="66">
        <f>일위대가!L523</f>
        <v>334</v>
      </c>
      <c r="K103" s="66">
        <f t="shared" si="14"/>
        <v>334</v>
      </c>
      <c r="L103" s="66">
        <f t="shared" si="11"/>
        <v>1418</v>
      </c>
      <c r="M103" s="66">
        <f t="shared" si="12"/>
        <v>1418</v>
      </c>
    </row>
    <row r="104" spans="1:13" s="57" customFormat="1" ht="15.2" customHeight="1">
      <c r="A104" s="67">
        <f t="shared" si="9"/>
        <v>97</v>
      </c>
      <c r="B104" s="63" t="s">
        <v>2665</v>
      </c>
      <c r="C104" s="643" t="s">
        <v>4070</v>
      </c>
      <c r="D104" s="65">
        <v>1</v>
      </c>
      <c r="E104" s="62" t="s">
        <v>2608</v>
      </c>
      <c r="F104" s="66">
        <f>일위대가!H526</f>
        <v>271</v>
      </c>
      <c r="G104" s="66">
        <f t="shared" si="10"/>
        <v>271</v>
      </c>
      <c r="H104" s="66">
        <f>일위대가!J526</f>
        <v>460</v>
      </c>
      <c r="I104" s="66">
        <f t="shared" si="13"/>
        <v>460</v>
      </c>
      <c r="J104" s="66">
        <f>일위대가!L526</f>
        <v>366</v>
      </c>
      <c r="K104" s="66">
        <f t="shared" si="14"/>
        <v>366</v>
      </c>
      <c r="L104" s="66">
        <f t="shared" si="11"/>
        <v>1097</v>
      </c>
      <c r="M104" s="66">
        <f t="shared" si="12"/>
        <v>1097</v>
      </c>
    </row>
    <row r="105" spans="1:13" s="57" customFormat="1" ht="15.2" customHeight="1">
      <c r="A105" s="67">
        <f t="shared" si="9"/>
        <v>98</v>
      </c>
      <c r="B105" s="63" t="s">
        <v>2666</v>
      </c>
      <c r="C105" s="64" t="s">
        <v>2657</v>
      </c>
      <c r="D105" s="65">
        <v>1</v>
      </c>
      <c r="E105" s="62" t="s">
        <v>2608</v>
      </c>
      <c r="F105" s="66">
        <f>일위대가!H529</f>
        <v>752</v>
      </c>
      <c r="G105" s="66">
        <f t="shared" si="10"/>
        <v>752</v>
      </c>
      <c r="H105" s="66">
        <f>일위대가!J529</f>
        <v>1518</v>
      </c>
      <c r="I105" s="66">
        <f t="shared" si="13"/>
        <v>1518</v>
      </c>
      <c r="J105" s="66">
        <f>일위대가!L529</f>
        <v>699</v>
      </c>
      <c r="K105" s="66">
        <f t="shared" si="14"/>
        <v>699</v>
      </c>
      <c r="L105" s="66">
        <f t="shared" si="11"/>
        <v>2969</v>
      </c>
      <c r="M105" s="66">
        <f t="shared" si="12"/>
        <v>2969</v>
      </c>
    </row>
    <row r="106" spans="1:13" s="57" customFormat="1" ht="15.2" customHeight="1">
      <c r="A106" s="67">
        <f t="shared" si="9"/>
        <v>99</v>
      </c>
      <c r="B106" s="63" t="s">
        <v>2666</v>
      </c>
      <c r="C106" s="643" t="s">
        <v>4070</v>
      </c>
      <c r="D106" s="65">
        <v>1</v>
      </c>
      <c r="E106" s="62" t="s">
        <v>2608</v>
      </c>
      <c r="F106" s="66">
        <f>일위대가!H532</f>
        <v>569</v>
      </c>
      <c r="G106" s="66">
        <f t="shared" si="10"/>
        <v>569</v>
      </c>
      <c r="H106" s="66">
        <f>일위대가!J532</f>
        <v>964</v>
      </c>
      <c r="I106" s="66">
        <f t="shared" si="13"/>
        <v>964</v>
      </c>
      <c r="J106" s="66">
        <f>일위대가!L532</f>
        <v>767</v>
      </c>
      <c r="K106" s="66">
        <f t="shared" si="14"/>
        <v>767</v>
      </c>
      <c r="L106" s="66">
        <f t="shared" si="11"/>
        <v>2300</v>
      </c>
      <c r="M106" s="66">
        <f t="shared" si="12"/>
        <v>2300</v>
      </c>
    </row>
    <row r="107" spans="1:13" s="57" customFormat="1" ht="15.2" customHeight="1">
      <c r="A107" s="67">
        <f t="shared" si="9"/>
        <v>100</v>
      </c>
      <c r="B107" s="63" t="s">
        <v>2667</v>
      </c>
      <c r="C107" s="64" t="s">
        <v>2635</v>
      </c>
      <c r="D107" s="65">
        <v>1</v>
      </c>
      <c r="E107" s="62" t="s">
        <v>2608</v>
      </c>
      <c r="F107" s="66">
        <f>일위대가!H539</f>
        <v>4944</v>
      </c>
      <c r="G107" s="66">
        <f t="shared" si="10"/>
        <v>4944</v>
      </c>
      <c r="H107" s="66">
        <f>일위대가!J539</f>
        <v>107177</v>
      </c>
      <c r="I107" s="66">
        <f t="shared" si="13"/>
        <v>107177</v>
      </c>
      <c r="J107" s="66">
        <f>일위대가!L539</f>
        <v>1445</v>
      </c>
      <c r="K107" s="66">
        <f t="shared" si="14"/>
        <v>1445</v>
      </c>
      <c r="L107" s="66">
        <f t="shared" si="11"/>
        <v>113566</v>
      </c>
      <c r="M107" s="66">
        <f t="shared" si="12"/>
        <v>113566</v>
      </c>
    </row>
    <row r="108" spans="1:13" s="57" customFormat="1" ht="15.2" customHeight="1">
      <c r="A108" s="67">
        <f t="shared" si="9"/>
        <v>101</v>
      </c>
      <c r="B108" s="63" t="s">
        <v>2668</v>
      </c>
      <c r="C108" s="64" t="s">
        <v>2669</v>
      </c>
      <c r="D108" s="65">
        <v>1</v>
      </c>
      <c r="E108" s="62" t="s">
        <v>2608</v>
      </c>
      <c r="F108" s="66">
        <f>일위대가!H545</f>
        <v>4232</v>
      </c>
      <c r="G108" s="66">
        <f t="shared" si="10"/>
        <v>4232</v>
      </c>
      <c r="H108" s="66">
        <f>일위대가!J545</f>
        <v>11624</v>
      </c>
      <c r="I108" s="66">
        <f t="shared" si="13"/>
        <v>11624</v>
      </c>
      <c r="J108" s="66">
        <f>일위대가!L545</f>
        <v>4989</v>
      </c>
      <c r="K108" s="66">
        <f t="shared" si="14"/>
        <v>4989</v>
      </c>
      <c r="L108" s="66">
        <f t="shared" si="11"/>
        <v>20845</v>
      </c>
      <c r="M108" s="66">
        <f t="shared" si="12"/>
        <v>20845</v>
      </c>
    </row>
    <row r="109" spans="1:13" s="57" customFormat="1" ht="15.2" customHeight="1">
      <c r="A109" s="67">
        <f t="shared" si="9"/>
        <v>102</v>
      </c>
      <c r="B109" s="63" t="s">
        <v>2670</v>
      </c>
      <c r="C109" s="64" t="s">
        <v>2669</v>
      </c>
      <c r="D109" s="65">
        <v>1</v>
      </c>
      <c r="E109" s="62" t="s">
        <v>2608</v>
      </c>
      <c r="F109" s="66">
        <f>일위대가!$H$551</f>
        <v>5371</v>
      </c>
      <c r="G109" s="66">
        <f t="shared" si="10"/>
        <v>5371</v>
      </c>
      <c r="H109" s="66">
        <f>일위대가!J551</f>
        <v>14754</v>
      </c>
      <c r="I109" s="66">
        <f t="shared" si="13"/>
        <v>14754</v>
      </c>
      <c r="J109" s="66">
        <f>일위대가!L551</f>
        <v>6332</v>
      </c>
      <c r="K109" s="66">
        <f t="shared" si="14"/>
        <v>6332</v>
      </c>
      <c r="L109" s="66">
        <f t="shared" si="11"/>
        <v>26457</v>
      </c>
      <c r="M109" s="66">
        <f t="shared" si="12"/>
        <v>26457</v>
      </c>
    </row>
    <row r="110" spans="1:13" s="57" customFormat="1" ht="15.2" customHeight="1">
      <c r="A110" s="67">
        <f t="shared" si="9"/>
        <v>103</v>
      </c>
      <c r="B110" s="63" t="s">
        <v>2668</v>
      </c>
      <c r="C110" s="643" t="s">
        <v>4080</v>
      </c>
      <c r="D110" s="65">
        <v>1</v>
      </c>
      <c r="E110" s="62" t="s">
        <v>2608</v>
      </c>
      <c r="F110" s="66">
        <f>일위대가!H557</f>
        <v>4033</v>
      </c>
      <c r="G110" s="66">
        <f t="shared" si="10"/>
        <v>4033</v>
      </c>
      <c r="H110" s="66">
        <f>일위대가!J557</f>
        <v>8339</v>
      </c>
      <c r="I110" s="66">
        <f t="shared" si="13"/>
        <v>8339</v>
      </c>
      <c r="J110" s="66">
        <f>일위대가!L557</f>
        <v>6270</v>
      </c>
      <c r="K110" s="66">
        <f t="shared" si="14"/>
        <v>6270</v>
      </c>
      <c r="L110" s="66">
        <f t="shared" si="11"/>
        <v>18642</v>
      </c>
      <c r="M110" s="66">
        <f t="shared" si="12"/>
        <v>18642</v>
      </c>
    </row>
    <row r="111" spans="1:13" s="57" customFormat="1" ht="15.2" customHeight="1">
      <c r="A111" s="67">
        <f t="shared" si="9"/>
        <v>104</v>
      </c>
      <c r="B111" s="63" t="s">
        <v>2670</v>
      </c>
      <c r="C111" s="64" t="s">
        <v>3661</v>
      </c>
      <c r="D111" s="65">
        <v>1</v>
      </c>
      <c r="E111" s="62" t="s">
        <v>2608</v>
      </c>
      <c r="F111" s="66">
        <f>일위대가!H563</f>
        <v>5153</v>
      </c>
      <c r="G111" s="66">
        <f t="shared" si="10"/>
        <v>5153</v>
      </c>
      <c r="H111" s="66">
        <f>일위대가!J563</f>
        <v>10655</v>
      </c>
      <c r="I111" s="66">
        <f t="shared" si="13"/>
        <v>10655</v>
      </c>
      <c r="J111" s="66">
        <f>일위대가!L563</f>
        <v>8012</v>
      </c>
      <c r="K111" s="66">
        <f t="shared" si="14"/>
        <v>8012</v>
      </c>
      <c r="L111" s="66">
        <f t="shared" si="11"/>
        <v>23820</v>
      </c>
      <c r="M111" s="66">
        <f t="shared" si="12"/>
        <v>23820</v>
      </c>
    </row>
    <row r="112" spans="1:13" s="57" customFormat="1" ht="15.2" customHeight="1">
      <c r="A112" s="67">
        <f t="shared" si="9"/>
        <v>105</v>
      </c>
      <c r="B112" s="63" t="s">
        <v>2671</v>
      </c>
      <c r="C112" s="64" t="s">
        <v>2672</v>
      </c>
      <c r="D112" s="65">
        <v>1</v>
      </c>
      <c r="E112" s="62" t="s">
        <v>2608</v>
      </c>
      <c r="F112" s="66">
        <f>일위대가!H566</f>
        <v>728</v>
      </c>
      <c r="G112" s="66">
        <f t="shared" si="10"/>
        <v>728</v>
      </c>
      <c r="H112" s="66">
        <f>일위대가!J566</f>
        <v>19628</v>
      </c>
      <c r="I112" s="66">
        <f t="shared" si="13"/>
        <v>19628</v>
      </c>
      <c r="J112" s="66">
        <f>일위대가!L566</f>
        <v>2200</v>
      </c>
      <c r="K112" s="66">
        <f t="shared" si="14"/>
        <v>2200</v>
      </c>
      <c r="L112" s="66">
        <f t="shared" si="11"/>
        <v>22556</v>
      </c>
      <c r="M112" s="66">
        <f t="shared" si="12"/>
        <v>22556</v>
      </c>
    </row>
    <row r="113" spans="1:13" s="57" customFormat="1" ht="15.2" customHeight="1">
      <c r="A113" s="67">
        <f t="shared" si="9"/>
        <v>106</v>
      </c>
      <c r="B113" s="63" t="s">
        <v>2671</v>
      </c>
      <c r="C113" s="64" t="s">
        <v>2673</v>
      </c>
      <c r="D113" s="65">
        <v>1</v>
      </c>
      <c r="E113" s="62" t="s">
        <v>2608</v>
      </c>
      <c r="F113" s="66">
        <f>일위대가!H569</f>
        <v>697</v>
      </c>
      <c r="G113" s="66">
        <f t="shared" si="10"/>
        <v>697</v>
      </c>
      <c r="H113" s="66">
        <f>일위대가!J569</f>
        <v>17848</v>
      </c>
      <c r="I113" s="66">
        <f t="shared" si="13"/>
        <v>17848</v>
      </c>
      <c r="J113" s="66">
        <f>일위대가!L569</f>
        <v>2096</v>
      </c>
      <c r="K113" s="66">
        <f t="shared" si="14"/>
        <v>2096</v>
      </c>
      <c r="L113" s="66">
        <f t="shared" si="11"/>
        <v>20641</v>
      </c>
      <c r="M113" s="66">
        <f t="shared" si="12"/>
        <v>20641</v>
      </c>
    </row>
    <row r="114" spans="1:13" s="57" customFormat="1" ht="15.2" customHeight="1">
      <c r="A114" s="67">
        <f t="shared" si="9"/>
        <v>107</v>
      </c>
      <c r="B114" s="63" t="s">
        <v>2671</v>
      </c>
      <c r="C114" s="64" t="s">
        <v>2674</v>
      </c>
      <c r="D114" s="65">
        <v>1</v>
      </c>
      <c r="E114" s="62" t="s">
        <v>2608</v>
      </c>
      <c r="F114" s="66">
        <f>일위대가!H572</f>
        <v>1013</v>
      </c>
      <c r="G114" s="66">
        <f t="shared" si="10"/>
        <v>1013</v>
      </c>
      <c r="H114" s="66">
        <f>일위대가!J572</f>
        <v>5564</v>
      </c>
      <c r="I114" s="66">
        <f t="shared" si="13"/>
        <v>5564</v>
      </c>
      <c r="J114" s="66">
        <f>일위대가!L572</f>
        <v>1265</v>
      </c>
      <c r="K114" s="66">
        <f t="shared" si="14"/>
        <v>1265</v>
      </c>
      <c r="L114" s="66">
        <f t="shared" si="11"/>
        <v>7842</v>
      </c>
      <c r="M114" s="66">
        <f t="shared" si="12"/>
        <v>7842</v>
      </c>
    </row>
    <row r="115" spans="1:13" s="57" customFormat="1" ht="15.2" customHeight="1">
      <c r="A115" s="67">
        <f t="shared" si="9"/>
        <v>108</v>
      </c>
      <c r="B115" s="63" t="s">
        <v>2671</v>
      </c>
      <c r="C115" s="64" t="s">
        <v>2675</v>
      </c>
      <c r="D115" s="65">
        <v>1</v>
      </c>
      <c r="E115" s="62" t="s">
        <v>2608</v>
      </c>
      <c r="F115" s="66">
        <f>일위대가!H575</f>
        <v>1119</v>
      </c>
      <c r="G115" s="66">
        <f t="shared" si="10"/>
        <v>1119</v>
      </c>
      <c r="H115" s="66">
        <f>일위대가!J575</f>
        <v>3563</v>
      </c>
      <c r="I115" s="66">
        <f t="shared" si="13"/>
        <v>3563</v>
      </c>
      <c r="J115" s="66">
        <f>일위대가!L575</f>
        <v>945</v>
      </c>
      <c r="K115" s="66">
        <f t="shared" si="14"/>
        <v>945</v>
      </c>
      <c r="L115" s="66">
        <f t="shared" si="11"/>
        <v>5627</v>
      </c>
      <c r="M115" s="66">
        <f t="shared" si="12"/>
        <v>5627</v>
      </c>
    </row>
    <row r="116" spans="1:13" s="57" customFormat="1" ht="15.2" customHeight="1">
      <c r="A116" s="67">
        <f t="shared" si="9"/>
        <v>109</v>
      </c>
      <c r="B116" s="63" t="s">
        <v>2671</v>
      </c>
      <c r="C116" s="64" t="s">
        <v>2676</v>
      </c>
      <c r="D116" s="65">
        <v>1</v>
      </c>
      <c r="E116" s="62" t="s">
        <v>2608</v>
      </c>
      <c r="F116" s="66">
        <f>일위대가!H578</f>
        <v>908</v>
      </c>
      <c r="G116" s="66">
        <f t="shared" si="10"/>
        <v>908</v>
      </c>
      <c r="H116" s="66">
        <f>일위대가!J578</f>
        <v>2890</v>
      </c>
      <c r="I116" s="66">
        <f t="shared" si="13"/>
        <v>2890</v>
      </c>
      <c r="J116" s="66">
        <f>일위대가!L578</f>
        <v>767</v>
      </c>
      <c r="K116" s="66">
        <f t="shared" si="14"/>
        <v>767</v>
      </c>
      <c r="L116" s="66">
        <f t="shared" si="11"/>
        <v>4565</v>
      </c>
      <c r="M116" s="66">
        <f t="shared" si="12"/>
        <v>4565</v>
      </c>
    </row>
    <row r="117" spans="1:13" s="57" customFormat="1" ht="15.2" customHeight="1">
      <c r="A117" s="67">
        <f t="shared" si="9"/>
        <v>110</v>
      </c>
      <c r="B117" s="63" t="s">
        <v>2677</v>
      </c>
      <c r="C117" s="64" t="s">
        <v>2678</v>
      </c>
      <c r="D117" s="65">
        <v>1</v>
      </c>
      <c r="E117" s="62" t="s">
        <v>2652</v>
      </c>
      <c r="F117" s="66">
        <f>일위대가!G580</f>
        <v>4496</v>
      </c>
      <c r="G117" s="66">
        <f t="shared" ref="G117:G122" si="16">TRUNC(D117*F117)</f>
        <v>4496</v>
      </c>
      <c r="H117" s="66">
        <f>일위대가!I580</f>
        <v>4994</v>
      </c>
      <c r="I117" s="66">
        <f>TRUNC(D117*H117)</f>
        <v>4994</v>
      </c>
      <c r="J117" s="66">
        <f>일위대가!K580</f>
        <v>3237</v>
      </c>
      <c r="K117" s="66">
        <f>TRUNC(D117*J117)</f>
        <v>3237</v>
      </c>
      <c r="L117" s="66">
        <f>F117+H117+J117</f>
        <v>12727</v>
      </c>
      <c r="M117" s="66">
        <f>G117+I117+K117</f>
        <v>12727</v>
      </c>
    </row>
    <row r="118" spans="1:13" s="57" customFormat="1" ht="15.2" customHeight="1">
      <c r="A118" s="67">
        <f t="shared" si="9"/>
        <v>111</v>
      </c>
      <c r="B118" s="63" t="s">
        <v>2679</v>
      </c>
      <c r="C118" s="643" t="s">
        <v>4084</v>
      </c>
      <c r="D118" s="65">
        <v>1</v>
      </c>
      <c r="E118" s="62" t="s">
        <v>2652</v>
      </c>
      <c r="F118" s="66">
        <f>일위대가!H584</f>
        <v>4139</v>
      </c>
      <c r="G118" s="66">
        <f t="shared" si="16"/>
        <v>4139</v>
      </c>
      <c r="H118" s="66">
        <f>일위대가!J584</f>
        <v>4596</v>
      </c>
      <c r="I118" s="66">
        <f t="shared" si="13"/>
        <v>4596</v>
      </c>
      <c r="J118" s="66">
        <f>일위대가!L584</f>
        <v>2980</v>
      </c>
      <c r="K118" s="66">
        <f t="shared" si="14"/>
        <v>2980</v>
      </c>
      <c r="L118" s="66">
        <f t="shared" si="11"/>
        <v>11715</v>
      </c>
      <c r="M118" s="66">
        <f t="shared" si="12"/>
        <v>11715</v>
      </c>
    </row>
    <row r="119" spans="1:13" s="57" customFormat="1" ht="15.2" customHeight="1">
      <c r="A119" s="67">
        <f t="shared" si="9"/>
        <v>112</v>
      </c>
      <c r="B119" s="63" t="s">
        <v>2679</v>
      </c>
      <c r="C119" s="64" t="s">
        <v>2680</v>
      </c>
      <c r="D119" s="65">
        <v>1</v>
      </c>
      <c r="E119" s="62" t="s">
        <v>2652</v>
      </c>
      <c r="F119" s="66">
        <f>일위대가!G586</f>
        <v>4485</v>
      </c>
      <c r="G119" s="66">
        <f t="shared" si="16"/>
        <v>4485</v>
      </c>
      <c r="H119" s="66">
        <f>일위대가!I586</f>
        <v>3960</v>
      </c>
      <c r="I119" s="66">
        <f>TRUNC(D119*H119)</f>
        <v>3960</v>
      </c>
      <c r="J119" s="66">
        <f>일위대가!K586</f>
        <v>3557</v>
      </c>
      <c r="K119" s="66">
        <f>TRUNC(D119*J119)</f>
        <v>3557</v>
      </c>
      <c r="L119" s="66">
        <f t="shared" ref="L119:M122" si="17">F119+H119+J119</f>
        <v>12002</v>
      </c>
      <c r="M119" s="66">
        <f t="shared" si="17"/>
        <v>12002</v>
      </c>
    </row>
    <row r="120" spans="1:13" s="57" customFormat="1" ht="15.2" customHeight="1">
      <c r="A120" s="67">
        <f t="shared" si="9"/>
        <v>113</v>
      </c>
      <c r="B120" s="63" t="s">
        <v>2679</v>
      </c>
      <c r="C120" s="643" t="s">
        <v>4087</v>
      </c>
      <c r="D120" s="65">
        <v>1</v>
      </c>
      <c r="E120" s="62" t="s">
        <v>2652</v>
      </c>
      <c r="F120" s="66">
        <f>일위대가!H590</f>
        <v>4038</v>
      </c>
      <c r="G120" s="66">
        <f t="shared" si="16"/>
        <v>4038</v>
      </c>
      <c r="H120" s="66">
        <f>일위대가!J590</f>
        <v>3565</v>
      </c>
      <c r="I120" s="66">
        <f t="shared" si="13"/>
        <v>3565</v>
      </c>
      <c r="J120" s="66">
        <f>일위대가!L590</f>
        <v>3202</v>
      </c>
      <c r="K120" s="66">
        <f t="shared" si="14"/>
        <v>3202</v>
      </c>
      <c r="L120" s="66">
        <f t="shared" si="17"/>
        <v>10805</v>
      </c>
      <c r="M120" s="66">
        <f t="shared" si="17"/>
        <v>10805</v>
      </c>
    </row>
    <row r="121" spans="1:13" s="57" customFormat="1" ht="15.2" customHeight="1">
      <c r="A121" s="67">
        <f t="shared" si="9"/>
        <v>114</v>
      </c>
      <c r="B121" s="63" t="s">
        <v>2679</v>
      </c>
      <c r="C121" s="64" t="s">
        <v>2681</v>
      </c>
      <c r="D121" s="65">
        <v>1</v>
      </c>
      <c r="E121" s="62" t="s">
        <v>2652</v>
      </c>
      <c r="F121" s="66">
        <f>일위대가!G592</f>
        <v>4490</v>
      </c>
      <c r="G121" s="66">
        <f t="shared" si="16"/>
        <v>4490</v>
      </c>
      <c r="H121" s="66">
        <f>일위대가!I592</f>
        <v>3447</v>
      </c>
      <c r="I121" s="66">
        <f>TRUNC(D121*H121)</f>
        <v>3447</v>
      </c>
      <c r="J121" s="66">
        <f>일위대가!K592</f>
        <v>3642</v>
      </c>
      <c r="K121" s="66">
        <f>TRUNC(D121*J121)</f>
        <v>3642</v>
      </c>
      <c r="L121" s="66">
        <f t="shared" si="17"/>
        <v>11579</v>
      </c>
      <c r="M121" s="66">
        <f t="shared" si="17"/>
        <v>11579</v>
      </c>
    </row>
    <row r="122" spans="1:13" s="57" customFormat="1" ht="15.2" customHeight="1">
      <c r="A122" s="67">
        <f t="shared" si="9"/>
        <v>115</v>
      </c>
      <c r="B122" s="63" t="s">
        <v>2679</v>
      </c>
      <c r="C122" s="643" t="s">
        <v>4090</v>
      </c>
      <c r="D122" s="65">
        <v>1</v>
      </c>
      <c r="E122" s="62" t="s">
        <v>2652</v>
      </c>
      <c r="F122" s="66">
        <f>일위대가!H596</f>
        <v>3971</v>
      </c>
      <c r="G122" s="66">
        <f t="shared" si="16"/>
        <v>3971</v>
      </c>
      <c r="H122" s="66">
        <f>일위대가!J596</f>
        <v>3049</v>
      </c>
      <c r="I122" s="66">
        <f t="shared" si="13"/>
        <v>3049</v>
      </c>
      <c r="J122" s="66">
        <f>일위대가!L596</f>
        <v>3221</v>
      </c>
      <c r="K122" s="66">
        <f t="shared" si="14"/>
        <v>3221</v>
      </c>
      <c r="L122" s="66">
        <f t="shared" si="17"/>
        <v>10241</v>
      </c>
      <c r="M122" s="66">
        <f t="shared" si="17"/>
        <v>10241</v>
      </c>
    </row>
    <row r="123" spans="1:13" s="57" customFormat="1" ht="15.2" customHeight="1">
      <c r="A123" s="67">
        <f t="shared" si="9"/>
        <v>116</v>
      </c>
      <c r="B123" s="63" t="s">
        <v>2682</v>
      </c>
      <c r="C123" s="64" t="s">
        <v>2683</v>
      </c>
      <c r="D123" s="65">
        <v>1</v>
      </c>
      <c r="E123" s="62" t="s">
        <v>2652</v>
      </c>
      <c r="F123" s="66">
        <f>일위대가!H600</f>
        <v>1052</v>
      </c>
      <c r="G123" s="66">
        <f t="shared" si="10"/>
        <v>1052</v>
      </c>
      <c r="H123" s="66">
        <f>일위대가!J600</f>
        <v>25394</v>
      </c>
      <c r="I123" s="66">
        <f t="shared" si="13"/>
        <v>25394</v>
      </c>
      <c r="J123" s="66">
        <f>일위대가!L600</f>
        <v>3058</v>
      </c>
      <c r="K123" s="66">
        <f t="shared" si="14"/>
        <v>3058</v>
      </c>
      <c r="L123" s="66">
        <f t="shared" si="11"/>
        <v>29504</v>
      </c>
      <c r="M123" s="66">
        <f t="shared" si="12"/>
        <v>29504</v>
      </c>
    </row>
    <row r="124" spans="1:13" s="57" customFormat="1" ht="15.2" customHeight="1">
      <c r="A124" s="67">
        <f t="shared" si="9"/>
        <v>117</v>
      </c>
      <c r="B124" s="63" t="s">
        <v>2682</v>
      </c>
      <c r="C124" s="64" t="s">
        <v>2684</v>
      </c>
      <c r="D124" s="65">
        <v>1</v>
      </c>
      <c r="E124" s="62" t="s">
        <v>2652</v>
      </c>
      <c r="F124" s="66">
        <f>일위대가!H604</f>
        <v>1009</v>
      </c>
      <c r="G124" s="66">
        <f t="shared" si="10"/>
        <v>1009</v>
      </c>
      <c r="H124" s="66">
        <f>일위대가!J604</f>
        <v>20832</v>
      </c>
      <c r="I124" s="66">
        <f t="shared" si="13"/>
        <v>20832</v>
      </c>
      <c r="J124" s="66">
        <f>일위대가!L604</f>
        <v>2888</v>
      </c>
      <c r="K124" s="66">
        <f t="shared" si="14"/>
        <v>2888</v>
      </c>
      <c r="L124" s="66">
        <f t="shared" si="11"/>
        <v>24729</v>
      </c>
      <c r="M124" s="66">
        <f t="shared" si="12"/>
        <v>24729</v>
      </c>
    </row>
    <row r="125" spans="1:13" s="57" customFormat="1" ht="15.2" customHeight="1">
      <c r="A125" s="67">
        <f t="shared" si="9"/>
        <v>118</v>
      </c>
      <c r="B125" s="63" t="s">
        <v>2682</v>
      </c>
      <c r="C125" s="64" t="s">
        <v>2685</v>
      </c>
      <c r="D125" s="65">
        <v>1</v>
      </c>
      <c r="E125" s="62" t="s">
        <v>2652</v>
      </c>
      <c r="F125" s="66">
        <f>일위대가!H608</f>
        <v>1756</v>
      </c>
      <c r="G125" s="66">
        <f t="shared" si="10"/>
        <v>1756</v>
      </c>
      <c r="H125" s="66">
        <f>일위대가!J608</f>
        <v>9638</v>
      </c>
      <c r="I125" s="66">
        <f t="shared" si="13"/>
        <v>9638</v>
      </c>
      <c r="J125" s="66">
        <f>일위대가!L608</f>
        <v>2191</v>
      </c>
      <c r="K125" s="66">
        <f t="shared" si="14"/>
        <v>2191</v>
      </c>
      <c r="L125" s="66">
        <f t="shared" si="11"/>
        <v>13585</v>
      </c>
      <c r="M125" s="66">
        <f t="shared" si="12"/>
        <v>13585</v>
      </c>
    </row>
    <row r="126" spans="1:13" s="57" customFormat="1" ht="15.2" customHeight="1">
      <c r="A126" s="67">
        <f t="shared" si="9"/>
        <v>119</v>
      </c>
      <c r="B126" s="63" t="s">
        <v>2682</v>
      </c>
      <c r="C126" s="64" t="s">
        <v>2686</v>
      </c>
      <c r="D126" s="65">
        <v>1</v>
      </c>
      <c r="E126" s="62" t="s">
        <v>2652</v>
      </c>
      <c r="F126" s="66">
        <f>일위대가!H612</f>
        <v>2229</v>
      </c>
      <c r="G126" s="66">
        <f t="shared" si="10"/>
        <v>2229</v>
      </c>
      <c r="H126" s="66">
        <f>일위대가!J612</f>
        <v>7096</v>
      </c>
      <c r="I126" s="66">
        <f t="shared" si="13"/>
        <v>7096</v>
      </c>
      <c r="J126" s="66">
        <f>일위대가!L612</f>
        <v>1883</v>
      </c>
      <c r="K126" s="66">
        <f t="shared" si="14"/>
        <v>1883</v>
      </c>
      <c r="L126" s="66">
        <f t="shared" si="11"/>
        <v>11208</v>
      </c>
      <c r="M126" s="66">
        <f t="shared" si="12"/>
        <v>11208</v>
      </c>
    </row>
    <row r="127" spans="1:13" s="57" customFormat="1" ht="15.2" customHeight="1">
      <c r="A127" s="67">
        <f t="shared" si="9"/>
        <v>120</v>
      </c>
      <c r="B127" s="63" t="s">
        <v>2682</v>
      </c>
      <c r="C127" s="64" t="s">
        <v>2687</v>
      </c>
      <c r="D127" s="65">
        <v>1</v>
      </c>
      <c r="E127" s="62" t="s">
        <v>2652</v>
      </c>
      <c r="F127" s="66">
        <f>일위대가!H616</f>
        <v>1615</v>
      </c>
      <c r="G127" s="66">
        <f t="shared" si="10"/>
        <v>1615</v>
      </c>
      <c r="H127" s="66">
        <f>일위대가!J616</f>
        <v>5143</v>
      </c>
      <c r="I127" s="66">
        <f t="shared" si="13"/>
        <v>5143</v>
      </c>
      <c r="J127" s="66">
        <f>일위대가!L616</f>
        <v>1365</v>
      </c>
      <c r="K127" s="66">
        <f t="shared" si="14"/>
        <v>1365</v>
      </c>
      <c r="L127" s="66">
        <f t="shared" si="11"/>
        <v>8123</v>
      </c>
      <c r="M127" s="66">
        <f t="shared" si="12"/>
        <v>8123</v>
      </c>
    </row>
    <row r="128" spans="1:13" s="57" customFormat="1" ht="15.2" customHeight="1">
      <c r="A128" s="67">
        <f t="shared" si="9"/>
        <v>121</v>
      </c>
      <c r="B128" s="63" t="s">
        <v>2688</v>
      </c>
      <c r="C128" s="643" t="s">
        <v>4084</v>
      </c>
      <c r="D128" s="65">
        <v>1</v>
      </c>
      <c r="E128" s="62" t="s">
        <v>2652</v>
      </c>
      <c r="F128" s="66">
        <f>일위대가!H620</f>
        <v>6115</v>
      </c>
      <c r="G128" s="66">
        <f t="shared" si="10"/>
        <v>6115</v>
      </c>
      <c r="H128" s="66">
        <f>일위대가!J620</f>
        <v>6792</v>
      </c>
      <c r="I128" s="66">
        <f t="shared" si="13"/>
        <v>6792</v>
      </c>
      <c r="J128" s="66">
        <f>일위대가!L620</f>
        <v>4403</v>
      </c>
      <c r="K128" s="66">
        <f t="shared" si="14"/>
        <v>4403</v>
      </c>
      <c r="L128" s="66">
        <f t="shared" si="11"/>
        <v>17310</v>
      </c>
      <c r="M128" s="66">
        <f t="shared" si="12"/>
        <v>17310</v>
      </c>
    </row>
    <row r="129" spans="1:14" s="57" customFormat="1" ht="15.2" customHeight="1">
      <c r="A129" s="67">
        <f>A128+1</f>
        <v>122</v>
      </c>
      <c r="B129" s="63" t="s">
        <v>2688</v>
      </c>
      <c r="C129" s="643" t="s">
        <v>4087</v>
      </c>
      <c r="D129" s="65">
        <v>1</v>
      </c>
      <c r="E129" s="62" t="s">
        <v>2652</v>
      </c>
      <c r="F129" s="66">
        <f>일위대가!H624</f>
        <v>6009</v>
      </c>
      <c r="G129" s="645">
        <f t="shared" si="10"/>
        <v>6009</v>
      </c>
      <c r="H129" s="66">
        <f>일위대가!J624</f>
        <v>5306</v>
      </c>
      <c r="I129" s="645">
        <f t="shared" si="13"/>
        <v>5306</v>
      </c>
      <c r="J129" s="66">
        <f>일위대가!L624</f>
        <v>4766</v>
      </c>
      <c r="K129" s="645">
        <f t="shared" si="14"/>
        <v>4766</v>
      </c>
      <c r="L129" s="645">
        <f t="shared" si="11"/>
        <v>16081</v>
      </c>
      <c r="M129" s="66">
        <f>G129+I129+K129</f>
        <v>16081</v>
      </c>
    </row>
    <row r="130" spans="1:14" s="57" customFormat="1" ht="15.2" customHeight="1">
      <c r="A130" s="67">
        <f>A129+1</f>
        <v>123</v>
      </c>
      <c r="B130" s="63" t="s">
        <v>2688</v>
      </c>
      <c r="C130" s="643" t="s">
        <v>4090</v>
      </c>
      <c r="D130" s="65">
        <v>1</v>
      </c>
      <c r="E130" s="62" t="s">
        <v>2652</v>
      </c>
      <c r="F130" s="66">
        <f>일위대가!H628</f>
        <v>5937</v>
      </c>
      <c r="G130" s="645">
        <f t="shared" si="10"/>
        <v>5937</v>
      </c>
      <c r="H130" s="66">
        <f>일위대가!J628</f>
        <v>4558</v>
      </c>
      <c r="I130" s="645">
        <f t="shared" si="13"/>
        <v>4558</v>
      </c>
      <c r="J130" s="66">
        <f>일위대가!L628</f>
        <v>4815</v>
      </c>
      <c r="K130" s="645">
        <f t="shared" si="14"/>
        <v>4815</v>
      </c>
      <c r="L130" s="645">
        <f t="shared" si="11"/>
        <v>15310</v>
      </c>
      <c r="M130" s="66">
        <f>G130+I130+K130</f>
        <v>15310</v>
      </c>
    </row>
    <row r="131" spans="1:14" s="57" customFormat="1" ht="15.2" customHeight="1">
      <c r="A131" s="67"/>
      <c r="B131" s="63" t="s">
        <v>2689</v>
      </c>
      <c r="C131" s="64"/>
      <c r="D131" s="65"/>
      <c r="E131" s="62"/>
      <c r="F131" s="66"/>
      <c r="G131" s="66">
        <f>SUM(G63:G130)</f>
        <v>146918</v>
      </c>
      <c r="H131" s="66"/>
      <c r="I131" s="66">
        <f>SUM(I63:I130)</f>
        <v>1590248</v>
      </c>
      <c r="J131" s="66"/>
      <c r="K131" s="66">
        <f>SUM(K63:K130)</f>
        <v>103798</v>
      </c>
      <c r="L131" s="66"/>
      <c r="M131" s="66">
        <f>SUM(M63:M130)</f>
        <v>1840964</v>
      </c>
      <c r="N131" s="61">
        <f>G131+I131+K131</f>
        <v>1840964</v>
      </c>
    </row>
    <row r="132" spans="1:14" s="57" customFormat="1" ht="15.2" customHeight="1">
      <c r="A132" s="756" t="s">
        <v>3295</v>
      </c>
      <c r="B132" s="757"/>
      <c r="C132" s="757"/>
      <c r="D132" s="757"/>
      <c r="E132" s="757"/>
      <c r="F132" s="449"/>
      <c r="G132" s="449"/>
      <c r="H132" s="449"/>
      <c r="I132" s="449"/>
      <c r="J132" s="449"/>
      <c r="K132" s="449"/>
      <c r="L132" s="449"/>
      <c r="M132" s="450"/>
    </row>
    <row r="133" spans="1:14" s="57" customFormat="1" ht="15.2" customHeight="1">
      <c r="A133" s="67">
        <f>A130+1</f>
        <v>124</v>
      </c>
      <c r="B133" s="63" t="s">
        <v>2690</v>
      </c>
      <c r="C133" s="64" t="s">
        <v>2691</v>
      </c>
      <c r="D133" s="65">
        <v>1</v>
      </c>
      <c r="E133" s="62" t="s">
        <v>2692</v>
      </c>
      <c r="F133" s="66">
        <f>일위대가!H636</f>
        <v>136572</v>
      </c>
      <c r="G133" s="66">
        <f t="shared" si="10"/>
        <v>136572</v>
      </c>
      <c r="H133" s="66">
        <f>일위대가!J636</f>
        <v>296671</v>
      </c>
      <c r="I133" s="66">
        <f t="shared" si="13"/>
        <v>296671</v>
      </c>
      <c r="J133" s="66">
        <f>일위대가!L636</f>
        <v>2882</v>
      </c>
      <c r="K133" s="66">
        <f t="shared" si="14"/>
        <v>2882</v>
      </c>
      <c r="L133" s="66">
        <f t="shared" si="11"/>
        <v>436125</v>
      </c>
      <c r="M133" s="66">
        <f t="shared" si="12"/>
        <v>436125</v>
      </c>
    </row>
    <row r="134" spans="1:14" s="57" customFormat="1" ht="15.2" customHeight="1">
      <c r="A134" s="67">
        <f>A133+1</f>
        <v>125</v>
      </c>
      <c r="B134" s="642" t="s">
        <v>4017</v>
      </c>
      <c r="C134" s="64" t="s">
        <v>2693</v>
      </c>
      <c r="D134" s="65">
        <v>1</v>
      </c>
      <c r="E134" s="62" t="s">
        <v>2692</v>
      </c>
      <c r="F134" s="66">
        <f>일위대가!H644</f>
        <v>109085</v>
      </c>
      <c r="G134" s="66">
        <f t="shared" si="10"/>
        <v>109085</v>
      </c>
      <c r="H134" s="66">
        <f>일위대가!J644</f>
        <v>247922</v>
      </c>
      <c r="I134" s="66">
        <f t="shared" si="13"/>
        <v>247922</v>
      </c>
      <c r="J134" s="66">
        <f>일위대가!L644</f>
        <v>2160</v>
      </c>
      <c r="K134" s="66">
        <f t="shared" si="14"/>
        <v>2160</v>
      </c>
      <c r="L134" s="66">
        <f t="shared" si="11"/>
        <v>359167</v>
      </c>
      <c r="M134" s="66">
        <f t="shared" si="12"/>
        <v>359167</v>
      </c>
    </row>
    <row r="135" spans="1:14" s="57" customFormat="1" ht="15.2" customHeight="1">
      <c r="A135" s="67">
        <f t="shared" ref="A135:A148" si="18">A134+1</f>
        <v>126</v>
      </c>
      <c r="B135" s="63" t="s">
        <v>2694</v>
      </c>
      <c r="C135" s="64" t="s">
        <v>2695</v>
      </c>
      <c r="D135" s="65">
        <v>1</v>
      </c>
      <c r="E135" s="62" t="s">
        <v>2692</v>
      </c>
      <c r="F135" s="66">
        <f>일위대가!H652</f>
        <v>18998</v>
      </c>
      <c r="G135" s="66">
        <f t="shared" si="10"/>
        <v>18998</v>
      </c>
      <c r="H135" s="66">
        <f>일위대가!J652</f>
        <v>118611</v>
      </c>
      <c r="I135" s="66">
        <f t="shared" si="13"/>
        <v>118611</v>
      </c>
      <c r="J135" s="66">
        <f>일위대가!L652</f>
        <v>427</v>
      </c>
      <c r="K135" s="66">
        <f t="shared" si="14"/>
        <v>427</v>
      </c>
      <c r="L135" s="66">
        <f t="shared" si="11"/>
        <v>138036</v>
      </c>
      <c r="M135" s="66">
        <f t="shared" si="12"/>
        <v>138036</v>
      </c>
    </row>
    <row r="136" spans="1:14" s="57" customFormat="1" ht="15.2" customHeight="1">
      <c r="A136" s="67">
        <f t="shared" si="18"/>
        <v>127</v>
      </c>
      <c r="B136" s="63" t="s">
        <v>2696</v>
      </c>
      <c r="C136" s="64" t="s">
        <v>2697</v>
      </c>
      <c r="D136" s="65">
        <v>1</v>
      </c>
      <c r="E136" s="62" t="s">
        <v>2692</v>
      </c>
      <c r="F136" s="66">
        <f>일위대가!H660</f>
        <v>151077</v>
      </c>
      <c r="G136" s="66">
        <f t="shared" si="10"/>
        <v>151077</v>
      </c>
      <c r="H136" s="66">
        <f>일위대가!J660</f>
        <v>317388</v>
      </c>
      <c r="I136" s="66">
        <f t="shared" si="13"/>
        <v>317388</v>
      </c>
      <c r="J136" s="66">
        <f>일위대가!L660</f>
        <v>3183</v>
      </c>
      <c r="K136" s="66">
        <f t="shared" si="14"/>
        <v>3183</v>
      </c>
      <c r="L136" s="66">
        <f t="shared" si="11"/>
        <v>471648</v>
      </c>
      <c r="M136" s="66">
        <f t="shared" si="12"/>
        <v>471648</v>
      </c>
    </row>
    <row r="137" spans="1:14" s="57" customFormat="1" ht="15.2" customHeight="1">
      <c r="A137" s="67">
        <f t="shared" si="18"/>
        <v>128</v>
      </c>
      <c r="B137" s="63" t="s">
        <v>2698</v>
      </c>
      <c r="C137" s="64" t="s">
        <v>2691</v>
      </c>
      <c r="D137" s="65">
        <v>1</v>
      </c>
      <c r="E137" s="62" t="s">
        <v>2692</v>
      </c>
      <c r="F137" s="66">
        <f>일위대가!H668</f>
        <v>85259</v>
      </c>
      <c r="G137" s="66">
        <f t="shared" si="10"/>
        <v>85259</v>
      </c>
      <c r="H137" s="66">
        <f>일위대가!J668</f>
        <v>205108</v>
      </c>
      <c r="I137" s="66">
        <f t="shared" si="13"/>
        <v>205108</v>
      </c>
      <c r="J137" s="66">
        <f>일위대가!L668</f>
        <v>1522</v>
      </c>
      <c r="K137" s="66">
        <f t="shared" si="14"/>
        <v>1522</v>
      </c>
      <c r="L137" s="66">
        <f t="shared" si="11"/>
        <v>291889</v>
      </c>
      <c r="M137" s="66">
        <f t="shared" si="12"/>
        <v>291889</v>
      </c>
    </row>
    <row r="138" spans="1:14" s="57" customFormat="1" ht="15.2" customHeight="1">
      <c r="A138" s="67">
        <f t="shared" si="18"/>
        <v>129</v>
      </c>
      <c r="B138" s="63" t="s">
        <v>2698</v>
      </c>
      <c r="C138" s="64" t="s">
        <v>2699</v>
      </c>
      <c r="D138" s="65">
        <v>1</v>
      </c>
      <c r="E138" s="62" t="s">
        <v>2692</v>
      </c>
      <c r="F138" s="66">
        <f>일위대가!H676</f>
        <v>103981</v>
      </c>
      <c r="G138" s="66">
        <f t="shared" si="10"/>
        <v>103981</v>
      </c>
      <c r="H138" s="66">
        <f>일위대가!J676</f>
        <v>291389</v>
      </c>
      <c r="I138" s="66">
        <f t="shared" si="13"/>
        <v>291389</v>
      </c>
      <c r="J138" s="66">
        <f>일위대가!L676</f>
        <v>2226</v>
      </c>
      <c r="K138" s="66">
        <f t="shared" si="14"/>
        <v>2226</v>
      </c>
      <c r="L138" s="66">
        <f t="shared" si="11"/>
        <v>397596</v>
      </c>
      <c r="M138" s="66">
        <f t="shared" si="12"/>
        <v>397596</v>
      </c>
    </row>
    <row r="139" spans="1:14" s="57" customFormat="1" ht="15.2" customHeight="1">
      <c r="A139" s="67">
        <f t="shared" si="18"/>
        <v>130</v>
      </c>
      <c r="B139" s="63" t="s">
        <v>2700</v>
      </c>
      <c r="C139" s="64" t="s">
        <v>2691</v>
      </c>
      <c r="D139" s="65">
        <v>1</v>
      </c>
      <c r="E139" s="62" t="s">
        <v>2692</v>
      </c>
      <c r="F139" s="66">
        <f>일위대가!H685</f>
        <v>85259</v>
      </c>
      <c r="G139" s="66">
        <f t="shared" si="10"/>
        <v>85259</v>
      </c>
      <c r="H139" s="66">
        <f>일위대가!J685</f>
        <v>205108</v>
      </c>
      <c r="I139" s="66">
        <f t="shared" si="13"/>
        <v>205108</v>
      </c>
      <c r="J139" s="66">
        <f>일위대가!L685</f>
        <v>1522</v>
      </c>
      <c r="K139" s="66">
        <f t="shared" si="14"/>
        <v>1522</v>
      </c>
      <c r="L139" s="66">
        <f t="shared" si="11"/>
        <v>291889</v>
      </c>
      <c r="M139" s="66">
        <f t="shared" si="12"/>
        <v>291889</v>
      </c>
    </row>
    <row r="140" spans="1:14" s="57" customFormat="1" ht="15.2" customHeight="1">
      <c r="A140" s="67">
        <f t="shared" si="18"/>
        <v>131</v>
      </c>
      <c r="B140" s="63" t="s">
        <v>2701</v>
      </c>
      <c r="C140" s="64" t="s">
        <v>2702</v>
      </c>
      <c r="D140" s="65">
        <v>1</v>
      </c>
      <c r="E140" s="62" t="s">
        <v>2703</v>
      </c>
      <c r="F140" s="66">
        <f>일위대가!H690</f>
        <v>2687</v>
      </c>
      <c r="G140" s="66">
        <f t="shared" si="10"/>
        <v>2687</v>
      </c>
      <c r="H140" s="66">
        <f>일위대가!J690</f>
        <v>0</v>
      </c>
      <c r="I140" s="66">
        <f t="shared" si="13"/>
        <v>0</v>
      </c>
      <c r="J140" s="66">
        <f>일위대가!L690</f>
        <v>134</v>
      </c>
      <c r="K140" s="66">
        <f t="shared" si="14"/>
        <v>134</v>
      </c>
      <c r="L140" s="66">
        <f t="shared" si="11"/>
        <v>2821</v>
      </c>
      <c r="M140" s="66">
        <f t="shared" si="12"/>
        <v>2821</v>
      </c>
    </row>
    <row r="141" spans="1:14" s="57" customFormat="1" ht="15.2" customHeight="1">
      <c r="A141" s="67">
        <f t="shared" si="18"/>
        <v>132</v>
      </c>
      <c r="B141" s="63" t="s">
        <v>2704</v>
      </c>
      <c r="C141" s="64" t="s">
        <v>2705</v>
      </c>
      <c r="D141" s="65">
        <v>1</v>
      </c>
      <c r="E141" s="62" t="s">
        <v>2703</v>
      </c>
      <c r="F141" s="66">
        <f>일위대가!H699</f>
        <v>4440</v>
      </c>
      <c r="G141" s="66">
        <f t="shared" si="10"/>
        <v>4440</v>
      </c>
      <c r="H141" s="66">
        <f>일위대가!J699</f>
        <v>14195</v>
      </c>
      <c r="I141" s="66">
        <f t="shared" si="13"/>
        <v>14195</v>
      </c>
      <c r="J141" s="66">
        <f>일위대가!L699</f>
        <v>1682</v>
      </c>
      <c r="K141" s="66">
        <f t="shared" si="14"/>
        <v>1682</v>
      </c>
      <c r="L141" s="66">
        <f t="shared" si="11"/>
        <v>20317</v>
      </c>
      <c r="M141" s="66">
        <f t="shared" si="12"/>
        <v>20317</v>
      </c>
    </row>
    <row r="142" spans="1:14" s="57" customFormat="1" ht="15.2" customHeight="1">
      <c r="A142" s="67">
        <f t="shared" si="18"/>
        <v>133</v>
      </c>
      <c r="B142" s="63" t="s">
        <v>2706</v>
      </c>
      <c r="C142" s="64" t="s">
        <v>2707</v>
      </c>
      <c r="D142" s="65">
        <v>1</v>
      </c>
      <c r="E142" s="62" t="s">
        <v>2703</v>
      </c>
      <c r="F142" s="66">
        <f>일위대가!H708</f>
        <v>4481</v>
      </c>
      <c r="G142" s="66">
        <f t="shared" si="10"/>
        <v>4481</v>
      </c>
      <c r="H142" s="66">
        <f>일위대가!J708</f>
        <v>15634</v>
      </c>
      <c r="I142" s="66">
        <f t="shared" si="13"/>
        <v>15634</v>
      </c>
      <c r="J142" s="66">
        <f>일위대가!L708</f>
        <v>856</v>
      </c>
      <c r="K142" s="66">
        <f t="shared" si="14"/>
        <v>856</v>
      </c>
      <c r="L142" s="66">
        <f t="shared" si="11"/>
        <v>20971</v>
      </c>
      <c r="M142" s="66">
        <f t="shared" si="12"/>
        <v>20971</v>
      </c>
    </row>
    <row r="143" spans="1:14" s="57" customFormat="1" ht="15.2" customHeight="1">
      <c r="A143" s="67">
        <f t="shared" si="18"/>
        <v>134</v>
      </c>
      <c r="B143" s="63" t="s">
        <v>2708</v>
      </c>
      <c r="C143" s="64" t="s">
        <v>2709</v>
      </c>
      <c r="D143" s="65">
        <v>1</v>
      </c>
      <c r="E143" s="62" t="s">
        <v>2703</v>
      </c>
      <c r="F143" s="66">
        <f>일위대가!H717</f>
        <v>5122</v>
      </c>
      <c r="G143" s="66">
        <f t="shared" si="10"/>
        <v>5122</v>
      </c>
      <c r="H143" s="66">
        <f>일위대가!J717</f>
        <v>17773</v>
      </c>
      <c r="I143" s="66">
        <f t="shared" si="13"/>
        <v>17773</v>
      </c>
      <c r="J143" s="66">
        <f>일위대가!L717</f>
        <v>3125</v>
      </c>
      <c r="K143" s="66">
        <f t="shared" si="14"/>
        <v>3125</v>
      </c>
      <c r="L143" s="66">
        <f t="shared" si="11"/>
        <v>26020</v>
      </c>
      <c r="M143" s="66">
        <f t="shared" si="12"/>
        <v>26020</v>
      </c>
    </row>
    <row r="144" spans="1:14" s="57" customFormat="1" ht="15.2" customHeight="1">
      <c r="A144" s="67">
        <f t="shared" si="18"/>
        <v>135</v>
      </c>
      <c r="B144" s="63" t="s">
        <v>2710</v>
      </c>
      <c r="C144" s="64" t="s">
        <v>2711</v>
      </c>
      <c r="D144" s="65">
        <v>1</v>
      </c>
      <c r="E144" s="62" t="s">
        <v>2703</v>
      </c>
      <c r="F144" s="66">
        <f>일위대가!H726</f>
        <v>5122</v>
      </c>
      <c r="G144" s="66">
        <f t="shared" si="10"/>
        <v>5122</v>
      </c>
      <c r="H144" s="66">
        <f>일위대가!J726</f>
        <v>19170</v>
      </c>
      <c r="I144" s="66">
        <f t="shared" si="13"/>
        <v>19170</v>
      </c>
      <c r="J144" s="66">
        <f>일위대가!L726</f>
        <v>1153</v>
      </c>
      <c r="K144" s="66">
        <f t="shared" si="14"/>
        <v>1153</v>
      </c>
      <c r="L144" s="66">
        <f t="shared" si="11"/>
        <v>25445</v>
      </c>
      <c r="M144" s="66">
        <f t="shared" si="12"/>
        <v>25445</v>
      </c>
    </row>
    <row r="145" spans="1:14" s="57" customFormat="1" ht="15.2" customHeight="1">
      <c r="A145" s="67">
        <f t="shared" si="18"/>
        <v>136</v>
      </c>
      <c r="B145" s="63" t="s">
        <v>2712</v>
      </c>
      <c r="C145" s="64" t="s">
        <v>2713</v>
      </c>
      <c r="D145" s="65">
        <v>1</v>
      </c>
      <c r="E145" s="62" t="s">
        <v>2703</v>
      </c>
      <c r="F145" s="66">
        <f>일위대가!H731</f>
        <v>7041</v>
      </c>
      <c r="G145" s="66">
        <f t="shared" si="10"/>
        <v>7041</v>
      </c>
      <c r="H145" s="66">
        <f>일위대가!J731</f>
        <v>22326</v>
      </c>
      <c r="I145" s="66">
        <f t="shared" si="13"/>
        <v>22326</v>
      </c>
      <c r="J145" s="66">
        <f>일위대가!L731</f>
        <v>713</v>
      </c>
      <c r="K145" s="66">
        <f t="shared" si="14"/>
        <v>713</v>
      </c>
      <c r="L145" s="66">
        <f t="shared" si="11"/>
        <v>30080</v>
      </c>
      <c r="M145" s="66">
        <f t="shared" si="12"/>
        <v>30080</v>
      </c>
    </row>
    <row r="146" spans="1:14" s="57" customFormat="1" ht="15.2" customHeight="1">
      <c r="A146" s="67">
        <f t="shared" si="18"/>
        <v>137</v>
      </c>
      <c r="B146" s="63" t="s">
        <v>2712</v>
      </c>
      <c r="C146" s="64" t="s">
        <v>2714</v>
      </c>
      <c r="D146" s="65">
        <v>1</v>
      </c>
      <c r="E146" s="62" t="s">
        <v>2703</v>
      </c>
      <c r="F146" s="66">
        <f>일위대가!H736</f>
        <v>7683</v>
      </c>
      <c r="G146" s="66">
        <f t="shared" si="10"/>
        <v>7683</v>
      </c>
      <c r="H146" s="66">
        <f>일위대가!J736</f>
        <v>24272</v>
      </c>
      <c r="I146" s="66">
        <f t="shared" si="13"/>
        <v>24272</v>
      </c>
      <c r="J146" s="66">
        <f>일위대가!L736</f>
        <v>797</v>
      </c>
      <c r="K146" s="66">
        <f t="shared" si="14"/>
        <v>797</v>
      </c>
      <c r="L146" s="66">
        <f t="shared" si="11"/>
        <v>32752</v>
      </c>
      <c r="M146" s="66">
        <f t="shared" si="12"/>
        <v>32752</v>
      </c>
    </row>
    <row r="147" spans="1:14" s="57" customFormat="1" ht="15.2" customHeight="1">
      <c r="A147" s="67">
        <f t="shared" si="18"/>
        <v>138</v>
      </c>
      <c r="B147" s="63" t="s">
        <v>2712</v>
      </c>
      <c r="C147" s="64" t="s">
        <v>2715</v>
      </c>
      <c r="D147" s="65">
        <v>1</v>
      </c>
      <c r="E147" s="62" t="s">
        <v>2703</v>
      </c>
      <c r="F147" s="66">
        <f>일위대가!H742</f>
        <v>1581</v>
      </c>
      <c r="G147" s="66">
        <f t="shared" si="10"/>
        <v>1581</v>
      </c>
      <c r="H147" s="66">
        <f>일위대가!J742</f>
        <v>8379</v>
      </c>
      <c r="I147" s="66">
        <f t="shared" si="13"/>
        <v>8379</v>
      </c>
      <c r="J147" s="66">
        <f>일위대가!L742</f>
        <v>0</v>
      </c>
      <c r="K147" s="66">
        <f t="shared" si="14"/>
        <v>0</v>
      </c>
      <c r="L147" s="66">
        <f t="shared" si="11"/>
        <v>9960</v>
      </c>
      <c r="M147" s="66">
        <f t="shared" si="12"/>
        <v>9960</v>
      </c>
    </row>
    <row r="148" spans="1:14" s="57" customFormat="1" ht="15.2" customHeight="1">
      <c r="A148" s="67">
        <f t="shared" si="18"/>
        <v>139</v>
      </c>
      <c r="B148" s="63" t="s">
        <v>2712</v>
      </c>
      <c r="C148" s="64" t="s">
        <v>2716</v>
      </c>
      <c r="D148" s="65">
        <v>1</v>
      </c>
      <c r="E148" s="62" t="s">
        <v>2703</v>
      </c>
      <c r="F148" s="66">
        <f>일위대가!H748</f>
        <v>1581</v>
      </c>
      <c r="G148" s="66">
        <f t="shared" si="10"/>
        <v>1581</v>
      </c>
      <c r="H148" s="66">
        <f>일위대가!J748</f>
        <v>8685</v>
      </c>
      <c r="I148" s="66">
        <f t="shared" si="13"/>
        <v>8685</v>
      </c>
      <c r="J148" s="66">
        <f>일위대가!L748</f>
        <v>0</v>
      </c>
      <c r="K148" s="66">
        <f t="shared" si="14"/>
        <v>0</v>
      </c>
      <c r="L148" s="66">
        <f t="shared" si="11"/>
        <v>10266</v>
      </c>
      <c r="M148" s="66">
        <f t="shared" si="12"/>
        <v>10266</v>
      </c>
    </row>
    <row r="149" spans="1:14" s="57" customFormat="1" ht="15.2" customHeight="1">
      <c r="A149" s="67"/>
      <c r="B149" s="63" t="s">
        <v>2689</v>
      </c>
      <c r="C149" s="64"/>
      <c r="D149" s="65"/>
      <c r="E149" s="62"/>
      <c r="F149" s="66"/>
      <c r="G149" s="66">
        <f>SUM(G133:G148)</f>
        <v>729969</v>
      </c>
      <c r="H149" s="66"/>
      <c r="I149" s="66">
        <f>SUM(I133:I148)</f>
        <v>1812631</v>
      </c>
      <c r="J149" s="66"/>
      <c r="K149" s="66">
        <f>SUM(K133:K148)</f>
        <v>22382</v>
      </c>
      <c r="L149" s="66"/>
      <c r="M149" s="66">
        <f>SUM(M133:M148)</f>
        <v>2564982</v>
      </c>
      <c r="N149" s="61">
        <f>G149+I149+K149</f>
        <v>2564982</v>
      </c>
    </row>
    <row r="150" spans="1:14" s="57" customFormat="1" ht="15.2" customHeight="1">
      <c r="A150" s="756" t="s">
        <v>3294</v>
      </c>
      <c r="B150" s="757"/>
      <c r="C150" s="757"/>
      <c r="D150" s="757"/>
      <c r="E150" s="757"/>
      <c r="F150" s="449"/>
      <c r="G150" s="449"/>
      <c r="H150" s="449"/>
      <c r="I150" s="449"/>
      <c r="J150" s="449"/>
      <c r="K150" s="449"/>
      <c r="L150" s="449"/>
      <c r="M150" s="450"/>
    </row>
    <row r="151" spans="1:14" s="57" customFormat="1" ht="15.2" customHeight="1">
      <c r="A151" s="67">
        <f>A148+1</f>
        <v>140</v>
      </c>
      <c r="B151" s="63" t="s">
        <v>2717</v>
      </c>
      <c r="C151" s="64" t="s">
        <v>3668</v>
      </c>
      <c r="D151" s="65">
        <v>1</v>
      </c>
      <c r="E151" s="62" t="s">
        <v>2581</v>
      </c>
      <c r="F151" s="66">
        <f>일위대가!H751</f>
        <v>0</v>
      </c>
      <c r="G151" s="66">
        <f t="shared" si="10"/>
        <v>0</v>
      </c>
      <c r="H151" s="66">
        <f>일위대가!J751</f>
        <v>4120</v>
      </c>
      <c r="I151" s="66">
        <f t="shared" si="13"/>
        <v>4120</v>
      </c>
      <c r="J151" s="66">
        <f>일위대가!L751</f>
        <v>0</v>
      </c>
      <c r="K151" s="66">
        <f t="shared" si="14"/>
        <v>0</v>
      </c>
      <c r="L151" s="66">
        <f t="shared" si="11"/>
        <v>4120</v>
      </c>
      <c r="M151" s="66">
        <f t="shared" si="12"/>
        <v>4120</v>
      </c>
    </row>
    <row r="152" spans="1:14" s="640" customFormat="1" ht="15.2" customHeight="1">
      <c r="A152" s="646">
        <f>A151+1</f>
        <v>141</v>
      </c>
      <c r="B152" s="642" t="s">
        <v>4049</v>
      </c>
      <c r="C152" s="643" t="s">
        <v>4059</v>
      </c>
      <c r="D152" s="644">
        <v>1</v>
      </c>
      <c r="E152" s="641" t="s">
        <v>1352</v>
      </c>
      <c r="F152" s="645">
        <f>일위대가!H756</f>
        <v>1369</v>
      </c>
      <c r="G152" s="645">
        <f t="shared" ref="G152" si="19">TRUNC(D152*F152)</f>
        <v>1369</v>
      </c>
      <c r="H152" s="645">
        <f>일위대가!J756</f>
        <v>4687</v>
      </c>
      <c r="I152" s="645">
        <f t="shared" ref="I152" si="20">TRUNC(D152*H152)</f>
        <v>4687</v>
      </c>
      <c r="J152" s="645">
        <f>일위대가!L756</f>
        <v>146</v>
      </c>
      <c r="K152" s="645">
        <f t="shared" ref="K152" si="21">TRUNC(D152*J152)</f>
        <v>146</v>
      </c>
      <c r="L152" s="645">
        <f t="shared" ref="L152" si="22">F152+H152+J152</f>
        <v>6202</v>
      </c>
      <c r="M152" s="645">
        <f t="shared" ref="M152" si="23">G152+I152+K152</f>
        <v>6202</v>
      </c>
    </row>
    <row r="153" spans="1:14" s="640" customFormat="1" ht="15.2" customHeight="1">
      <c r="A153" s="646">
        <f>A152+1</f>
        <v>142</v>
      </c>
      <c r="B153" s="642" t="s">
        <v>4060</v>
      </c>
      <c r="C153" s="643" t="s">
        <v>4059</v>
      </c>
      <c r="D153" s="644">
        <v>1</v>
      </c>
      <c r="E153" s="641" t="s">
        <v>1352</v>
      </c>
      <c r="F153" s="645">
        <f>일위대가!H761</f>
        <v>4447</v>
      </c>
      <c r="G153" s="645">
        <f t="shared" ref="G153" si="24">TRUNC(D153*F153)</f>
        <v>4447</v>
      </c>
      <c r="H153" s="645">
        <f>일위대가!J761</f>
        <v>15001</v>
      </c>
      <c r="I153" s="645">
        <f t="shared" ref="I153" si="25">TRUNC(D153*H153)</f>
        <v>15001</v>
      </c>
      <c r="J153" s="645">
        <f>일위대가!L761</f>
        <v>467</v>
      </c>
      <c r="K153" s="645">
        <f t="shared" ref="K153" si="26">TRUNC(D153*J153)</f>
        <v>467</v>
      </c>
      <c r="L153" s="645">
        <f t="shared" ref="L153" si="27">F153+H153+J153</f>
        <v>19915</v>
      </c>
      <c r="M153" s="645">
        <f t="shared" ref="M153" si="28">G153+I153+K153</f>
        <v>19915</v>
      </c>
    </row>
    <row r="154" spans="1:14" s="57" customFormat="1" ht="15.2" customHeight="1">
      <c r="A154" s="646">
        <f t="shared" ref="A154:A187" si="29">A153+1</f>
        <v>143</v>
      </c>
      <c r="B154" s="63" t="s">
        <v>2718</v>
      </c>
      <c r="C154" s="643" t="s">
        <v>3668</v>
      </c>
      <c r="D154" s="65">
        <v>1</v>
      </c>
      <c r="E154" s="62" t="s">
        <v>2719</v>
      </c>
      <c r="F154" s="66">
        <f>일위대가!H774</f>
        <v>262582</v>
      </c>
      <c r="G154" s="66">
        <f t="shared" si="10"/>
        <v>262582</v>
      </c>
      <c r="H154" s="66">
        <f>일위대가!J774</f>
        <v>781638</v>
      </c>
      <c r="I154" s="66">
        <f t="shared" si="13"/>
        <v>781638</v>
      </c>
      <c r="J154" s="66">
        <f>일위대가!L774</f>
        <v>149546</v>
      </c>
      <c r="K154" s="66">
        <f t="shared" si="14"/>
        <v>149546</v>
      </c>
      <c r="L154" s="66">
        <f t="shared" si="11"/>
        <v>1193766</v>
      </c>
      <c r="M154" s="66">
        <f t="shared" si="12"/>
        <v>1193766</v>
      </c>
    </row>
    <row r="155" spans="1:14" s="57" customFormat="1" ht="15.2" customHeight="1">
      <c r="A155" s="646">
        <f t="shared" si="29"/>
        <v>144</v>
      </c>
      <c r="B155" s="63" t="s">
        <v>2718</v>
      </c>
      <c r="C155" s="64" t="s">
        <v>3669</v>
      </c>
      <c r="D155" s="65">
        <v>1</v>
      </c>
      <c r="E155" s="62" t="s">
        <v>1530</v>
      </c>
      <c r="F155" s="66">
        <f>일위대가!H785</f>
        <v>249550</v>
      </c>
      <c r="G155" s="66">
        <f t="shared" si="10"/>
        <v>249550</v>
      </c>
      <c r="H155" s="66">
        <f>일위대가!J785</f>
        <v>611704</v>
      </c>
      <c r="I155" s="66">
        <f t="shared" si="13"/>
        <v>611704</v>
      </c>
      <c r="J155" s="66">
        <f>일위대가!L785</f>
        <v>182513</v>
      </c>
      <c r="K155" s="66">
        <f t="shared" si="14"/>
        <v>182513</v>
      </c>
      <c r="L155" s="66">
        <f>F155+H155+J155</f>
        <v>1043767</v>
      </c>
      <c r="M155" s="66">
        <f>G155+I155+K155</f>
        <v>1043767</v>
      </c>
    </row>
    <row r="156" spans="1:14" s="57" customFormat="1" ht="15.2" customHeight="1">
      <c r="A156" s="646">
        <f t="shared" si="29"/>
        <v>145</v>
      </c>
      <c r="B156" s="63" t="s">
        <v>2720</v>
      </c>
      <c r="C156" s="64" t="s">
        <v>2721</v>
      </c>
      <c r="D156" s="65">
        <v>1</v>
      </c>
      <c r="E156" s="62" t="s">
        <v>2719</v>
      </c>
      <c r="F156" s="66">
        <f>일위대가!H789</f>
        <v>0</v>
      </c>
      <c r="G156" s="66">
        <f t="shared" si="10"/>
        <v>0</v>
      </c>
      <c r="H156" s="66">
        <f>일위대가!J789</f>
        <v>35826</v>
      </c>
      <c r="I156" s="66">
        <f t="shared" si="13"/>
        <v>35826</v>
      </c>
      <c r="J156" s="66">
        <f>일위대가!L789</f>
        <v>0</v>
      </c>
      <c r="K156" s="66">
        <f t="shared" si="14"/>
        <v>0</v>
      </c>
      <c r="L156" s="66">
        <f t="shared" si="11"/>
        <v>35826</v>
      </c>
      <c r="M156" s="66">
        <f t="shared" si="12"/>
        <v>35826</v>
      </c>
    </row>
    <row r="157" spans="1:14" s="57" customFormat="1" ht="15.2" customHeight="1">
      <c r="A157" s="646">
        <f t="shared" si="29"/>
        <v>146</v>
      </c>
      <c r="B157" s="63" t="s">
        <v>2722</v>
      </c>
      <c r="C157" s="64" t="s">
        <v>2723</v>
      </c>
      <c r="D157" s="65">
        <v>1</v>
      </c>
      <c r="E157" s="62" t="s">
        <v>2719</v>
      </c>
      <c r="F157" s="66">
        <f>일위대가!H793</f>
        <v>75900</v>
      </c>
      <c r="G157" s="66">
        <f t="shared" si="10"/>
        <v>75900</v>
      </c>
      <c r="H157" s="66">
        <f>일위대가!J793</f>
        <v>134349</v>
      </c>
      <c r="I157" s="66">
        <f t="shared" si="13"/>
        <v>134349</v>
      </c>
      <c r="J157" s="66">
        <f>일위대가!L793</f>
        <v>0</v>
      </c>
      <c r="K157" s="66">
        <f t="shared" si="14"/>
        <v>0</v>
      </c>
      <c r="L157" s="66">
        <f t="shared" si="11"/>
        <v>210249</v>
      </c>
      <c r="M157" s="66">
        <f t="shared" si="12"/>
        <v>210249</v>
      </c>
    </row>
    <row r="158" spans="1:14" s="57" customFormat="1" ht="15.2" customHeight="1">
      <c r="A158" s="646">
        <f t="shared" si="29"/>
        <v>147</v>
      </c>
      <c r="B158" s="63" t="s">
        <v>2724</v>
      </c>
      <c r="C158" s="64" t="s">
        <v>2725</v>
      </c>
      <c r="D158" s="65">
        <v>1</v>
      </c>
      <c r="E158" s="62" t="s">
        <v>2719</v>
      </c>
      <c r="F158" s="66">
        <f>일위대가!H801</f>
        <v>84983</v>
      </c>
      <c r="G158" s="66">
        <f t="shared" si="10"/>
        <v>84983</v>
      </c>
      <c r="H158" s="66">
        <f>일위대가!J801</f>
        <v>264124</v>
      </c>
      <c r="I158" s="66">
        <f t="shared" si="13"/>
        <v>264124</v>
      </c>
      <c r="J158" s="66">
        <f>일위대가!L801</f>
        <v>0</v>
      </c>
      <c r="K158" s="66">
        <f t="shared" si="14"/>
        <v>0</v>
      </c>
      <c r="L158" s="66">
        <f t="shared" si="11"/>
        <v>349107</v>
      </c>
      <c r="M158" s="66">
        <f t="shared" si="12"/>
        <v>349107</v>
      </c>
    </row>
    <row r="159" spans="1:14" s="57" customFormat="1" ht="15.2" customHeight="1">
      <c r="A159" s="646">
        <f t="shared" si="29"/>
        <v>148</v>
      </c>
      <c r="B159" s="63" t="s">
        <v>2726</v>
      </c>
      <c r="C159" s="64" t="s">
        <v>2725</v>
      </c>
      <c r="D159" s="65">
        <v>1</v>
      </c>
      <c r="E159" s="62" t="s">
        <v>2719</v>
      </c>
      <c r="F159" s="66">
        <f>일위대가!H808</f>
        <v>1365941</v>
      </c>
      <c r="G159" s="66">
        <f t="shared" si="10"/>
        <v>1365941</v>
      </c>
      <c r="H159" s="66">
        <f>일위대가!J808</f>
        <v>4102705</v>
      </c>
      <c r="I159" s="66">
        <f t="shared" si="13"/>
        <v>4102705</v>
      </c>
      <c r="J159" s="66">
        <f>일위대가!L808</f>
        <v>167960</v>
      </c>
      <c r="K159" s="66">
        <f t="shared" si="14"/>
        <v>167960</v>
      </c>
      <c r="L159" s="66">
        <f t="shared" si="11"/>
        <v>5636606</v>
      </c>
      <c r="M159" s="66">
        <f t="shared" si="12"/>
        <v>5636606</v>
      </c>
    </row>
    <row r="160" spans="1:14" s="57" customFormat="1" ht="15.2" customHeight="1">
      <c r="A160" s="646">
        <f t="shared" si="29"/>
        <v>149</v>
      </c>
      <c r="B160" s="63" t="s">
        <v>2727</v>
      </c>
      <c r="C160" s="64" t="s">
        <v>2728</v>
      </c>
      <c r="D160" s="65">
        <v>1</v>
      </c>
      <c r="E160" s="62" t="s">
        <v>2729</v>
      </c>
      <c r="F160" s="66">
        <f>일위대가!H816</f>
        <v>930671</v>
      </c>
      <c r="G160" s="66">
        <f t="shared" si="10"/>
        <v>930671</v>
      </c>
      <c r="H160" s="66">
        <f>일위대가!J816</f>
        <v>179716</v>
      </c>
      <c r="I160" s="66">
        <f t="shared" si="13"/>
        <v>179716</v>
      </c>
      <c r="J160" s="66">
        <f>일위대가!L816</f>
        <v>45084</v>
      </c>
      <c r="K160" s="66">
        <f t="shared" si="14"/>
        <v>45084</v>
      </c>
      <c r="L160" s="66">
        <f t="shared" si="11"/>
        <v>1155471</v>
      </c>
      <c r="M160" s="66">
        <f t="shared" si="12"/>
        <v>1155471</v>
      </c>
    </row>
    <row r="161" spans="1:13" s="57" customFormat="1" ht="15.2" customHeight="1">
      <c r="A161" s="646">
        <f t="shared" si="29"/>
        <v>150</v>
      </c>
      <c r="B161" s="63" t="s">
        <v>2730</v>
      </c>
      <c r="C161" s="64" t="s">
        <v>2731</v>
      </c>
      <c r="D161" s="65">
        <v>1</v>
      </c>
      <c r="E161" s="62" t="s">
        <v>2719</v>
      </c>
      <c r="F161" s="66">
        <f>일위대가!H825</f>
        <v>957704</v>
      </c>
      <c r="G161" s="66">
        <f t="shared" si="10"/>
        <v>957704</v>
      </c>
      <c r="H161" s="66">
        <f>일위대가!J825</f>
        <v>123241</v>
      </c>
      <c r="I161" s="66">
        <f t="shared" si="13"/>
        <v>123241</v>
      </c>
      <c r="J161" s="66">
        <f>일위대가!L825</f>
        <v>73663</v>
      </c>
      <c r="K161" s="66">
        <f t="shared" si="14"/>
        <v>73663</v>
      </c>
      <c r="L161" s="66">
        <f t="shared" si="11"/>
        <v>1154608</v>
      </c>
      <c r="M161" s="66">
        <f t="shared" si="12"/>
        <v>1154608</v>
      </c>
    </row>
    <row r="162" spans="1:13" s="57" customFormat="1" ht="15.2" customHeight="1">
      <c r="A162" s="646">
        <f t="shared" si="29"/>
        <v>151</v>
      </c>
      <c r="B162" s="63" t="s">
        <v>2727</v>
      </c>
      <c r="C162" s="64" t="s">
        <v>2732</v>
      </c>
      <c r="D162" s="65">
        <v>1</v>
      </c>
      <c r="E162" s="62" t="s">
        <v>2719</v>
      </c>
      <c r="F162" s="66">
        <f>일위대가!H834</f>
        <v>913984</v>
      </c>
      <c r="G162" s="66">
        <f t="shared" si="10"/>
        <v>913984</v>
      </c>
      <c r="H162" s="66">
        <f>일위대가!J834</f>
        <v>51350</v>
      </c>
      <c r="I162" s="66">
        <f t="shared" si="13"/>
        <v>51350</v>
      </c>
      <c r="J162" s="66">
        <f>일위대가!L834</f>
        <v>34827</v>
      </c>
      <c r="K162" s="66">
        <f t="shared" si="14"/>
        <v>34827</v>
      </c>
      <c r="L162" s="66">
        <f t="shared" si="11"/>
        <v>1000161</v>
      </c>
      <c r="M162" s="66">
        <f t="shared" si="12"/>
        <v>1000161</v>
      </c>
    </row>
    <row r="163" spans="1:13" s="57" customFormat="1" ht="15.2" customHeight="1">
      <c r="A163" s="646">
        <f t="shared" si="29"/>
        <v>152</v>
      </c>
      <c r="B163" s="63" t="s">
        <v>2733</v>
      </c>
      <c r="C163" s="64" t="s">
        <v>2734</v>
      </c>
      <c r="D163" s="65">
        <v>1</v>
      </c>
      <c r="E163" s="62" t="s">
        <v>2719</v>
      </c>
      <c r="F163" s="66">
        <f>일위대가!H842</f>
        <v>685940</v>
      </c>
      <c r="G163" s="66">
        <f t="shared" si="10"/>
        <v>685940</v>
      </c>
      <c r="H163" s="66">
        <f>일위대가!J842</f>
        <v>197760</v>
      </c>
      <c r="I163" s="66">
        <f t="shared" si="13"/>
        <v>197760</v>
      </c>
      <c r="J163" s="66">
        <f>일위대가!L842</f>
        <v>49611</v>
      </c>
      <c r="K163" s="66">
        <f t="shared" si="14"/>
        <v>49611</v>
      </c>
      <c r="L163" s="66">
        <f t="shared" si="11"/>
        <v>933311</v>
      </c>
      <c r="M163" s="66">
        <f t="shared" si="12"/>
        <v>933311</v>
      </c>
    </row>
    <row r="164" spans="1:13" s="57" customFormat="1" ht="15.2" customHeight="1">
      <c r="A164" s="646">
        <f t="shared" si="29"/>
        <v>153</v>
      </c>
      <c r="B164" s="63" t="s">
        <v>2733</v>
      </c>
      <c r="C164" s="64" t="s">
        <v>2735</v>
      </c>
      <c r="D164" s="65">
        <v>1</v>
      </c>
      <c r="E164" s="62" t="s">
        <v>2719</v>
      </c>
      <c r="F164" s="66">
        <f>일위대가!H852</f>
        <v>715965</v>
      </c>
      <c r="G164" s="66">
        <f t="shared" si="10"/>
        <v>715965</v>
      </c>
      <c r="H164" s="66">
        <f>일위대가!J852</f>
        <v>151034</v>
      </c>
      <c r="I164" s="66">
        <f t="shared" si="13"/>
        <v>151034</v>
      </c>
      <c r="J164" s="66">
        <f>일위대가!L852</f>
        <v>81338</v>
      </c>
      <c r="K164" s="66">
        <f t="shared" si="14"/>
        <v>81338</v>
      </c>
      <c r="L164" s="66">
        <f t="shared" si="11"/>
        <v>948337</v>
      </c>
      <c r="M164" s="66">
        <f t="shared" si="12"/>
        <v>948337</v>
      </c>
    </row>
    <row r="165" spans="1:13" s="57" customFormat="1" ht="15.2" customHeight="1">
      <c r="A165" s="646">
        <f t="shared" si="29"/>
        <v>154</v>
      </c>
      <c r="B165" s="63" t="s">
        <v>2733</v>
      </c>
      <c r="C165" s="64" t="s">
        <v>2732</v>
      </c>
      <c r="D165" s="65">
        <v>1</v>
      </c>
      <c r="E165" s="62" t="s">
        <v>2719</v>
      </c>
      <c r="F165" s="66">
        <f>일위대가!H862</f>
        <v>667261</v>
      </c>
      <c r="G165" s="66">
        <f t="shared" ref="G165:G241" si="30">TRUNC(D165*F165)</f>
        <v>667261</v>
      </c>
      <c r="H165" s="66">
        <f>일위대가!J862</f>
        <v>62062</v>
      </c>
      <c r="I165" s="66">
        <f t="shared" si="13"/>
        <v>62062</v>
      </c>
      <c r="J165" s="66">
        <f>일위대가!L862</f>
        <v>37961</v>
      </c>
      <c r="K165" s="66">
        <f t="shared" si="14"/>
        <v>37961</v>
      </c>
      <c r="L165" s="66">
        <f t="shared" ref="L165:L241" si="31">F165+H165+J165</f>
        <v>767284</v>
      </c>
      <c r="M165" s="66">
        <f t="shared" ref="M165:M241" si="32">G165+I165+K165</f>
        <v>767284</v>
      </c>
    </row>
    <row r="166" spans="1:13" s="57" customFormat="1" ht="15.2" customHeight="1">
      <c r="A166" s="646">
        <f t="shared" si="29"/>
        <v>155</v>
      </c>
      <c r="B166" s="63" t="s">
        <v>2736</v>
      </c>
      <c r="C166" s="64" t="s">
        <v>2737</v>
      </c>
      <c r="D166" s="65">
        <v>1</v>
      </c>
      <c r="E166" s="62" t="s">
        <v>2719</v>
      </c>
      <c r="F166" s="66">
        <f>일위대가!H870</f>
        <v>461113</v>
      </c>
      <c r="G166" s="66">
        <f t="shared" si="30"/>
        <v>461113</v>
      </c>
      <c r="H166" s="66">
        <f>일위대가!J870</f>
        <v>146423</v>
      </c>
      <c r="I166" s="66">
        <f t="shared" si="13"/>
        <v>146423</v>
      </c>
      <c r="J166" s="66">
        <f>일위대가!L870</f>
        <v>36744</v>
      </c>
      <c r="K166" s="66">
        <f t="shared" si="14"/>
        <v>36744</v>
      </c>
      <c r="L166" s="66">
        <f t="shared" si="31"/>
        <v>644280</v>
      </c>
      <c r="M166" s="66">
        <f t="shared" si="32"/>
        <v>644280</v>
      </c>
    </row>
    <row r="167" spans="1:13" s="57" customFormat="1" ht="15.2" customHeight="1">
      <c r="A167" s="646">
        <f t="shared" si="29"/>
        <v>156</v>
      </c>
      <c r="B167" s="63" t="s">
        <v>2736</v>
      </c>
      <c r="C167" s="64" t="s">
        <v>2738</v>
      </c>
      <c r="D167" s="65">
        <v>1</v>
      </c>
      <c r="E167" s="62" t="s">
        <v>2719</v>
      </c>
      <c r="F167" s="66">
        <f>일위대가!H880</f>
        <v>484502</v>
      </c>
      <c r="G167" s="66">
        <f t="shared" si="30"/>
        <v>484502</v>
      </c>
      <c r="H167" s="66">
        <f>일위대가!J880</f>
        <v>113878</v>
      </c>
      <c r="I167" s="66">
        <f t="shared" ref="I167:I242" si="33">TRUNC(D167*H167)</f>
        <v>113878</v>
      </c>
      <c r="J167" s="66">
        <f>일위대가!L880</f>
        <v>61387</v>
      </c>
      <c r="K167" s="66">
        <f t="shared" si="14"/>
        <v>61387</v>
      </c>
      <c r="L167" s="66">
        <f t="shared" si="31"/>
        <v>659767</v>
      </c>
      <c r="M167" s="66">
        <f t="shared" si="32"/>
        <v>659767</v>
      </c>
    </row>
    <row r="168" spans="1:13" s="57" customFormat="1" ht="15.2" customHeight="1">
      <c r="A168" s="646">
        <f t="shared" si="29"/>
        <v>157</v>
      </c>
      <c r="B168" s="63" t="s">
        <v>2736</v>
      </c>
      <c r="C168" s="64" t="s">
        <v>2739</v>
      </c>
      <c r="D168" s="65">
        <v>1</v>
      </c>
      <c r="E168" s="62" t="s">
        <v>2719</v>
      </c>
      <c r="F168" s="66">
        <f>일위대가!H890</f>
        <v>447059</v>
      </c>
      <c r="G168" s="66">
        <f t="shared" si="30"/>
        <v>447059</v>
      </c>
      <c r="H168" s="66">
        <f>일위대가!J890</f>
        <v>45548</v>
      </c>
      <c r="I168" s="66">
        <f t="shared" si="33"/>
        <v>45548</v>
      </c>
      <c r="J168" s="66">
        <f>일위대가!L890</f>
        <v>27860</v>
      </c>
      <c r="K168" s="66">
        <f t="shared" ref="K168:K243" si="34">TRUNC(D168*J168)</f>
        <v>27860</v>
      </c>
      <c r="L168" s="66">
        <f t="shared" si="31"/>
        <v>520467</v>
      </c>
      <c r="M168" s="66">
        <f t="shared" si="32"/>
        <v>520467</v>
      </c>
    </row>
    <row r="169" spans="1:13" s="57" customFormat="1" ht="15.2" customHeight="1">
      <c r="A169" s="646">
        <f t="shared" si="29"/>
        <v>158</v>
      </c>
      <c r="B169" s="63" t="s">
        <v>2740</v>
      </c>
      <c r="C169" s="64" t="s">
        <v>2741</v>
      </c>
      <c r="D169" s="65">
        <v>1</v>
      </c>
      <c r="E169" s="62" t="s">
        <v>2719</v>
      </c>
      <c r="F169" s="66">
        <f>일위대가!H901</f>
        <v>42755</v>
      </c>
      <c r="G169" s="66">
        <f>TRUNC(D169*F169)</f>
        <v>42755</v>
      </c>
      <c r="H169" s="66">
        <f>일위대가!J901</f>
        <v>326211</v>
      </c>
      <c r="I169" s="66">
        <f>TRUNC(D169*H169)</f>
        <v>326211</v>
      </c>
      <c r="J169" s="66">
        <f>일위대가!L901</f>
        <v>30289</v>
      </c>
      <c r="K169" s="66">
        <f>TRUNC(D169*J169)</f>
        <v>30289</v>
      </c>
      <c r="L169" s="66">
        <f>F169+H169+J169</f>
        <v>399255</v>
      </c>
      <c r="M169" s="66">
        <f>G169+I169+K169</f>
        <v>399255</v>
      </c>
    </row>
    <row r="170" spans="1:13" s="57" customFormat="1" ht="15.2" customHeight="1">
      <c r="A170" s="646">
        <f t="shared" si="29"/>
        <v>159</v>
      </c>
      <c r="B170" s="63" t="s">
        <v>2740</v>
      </c>
      <c r="C170" s="64" t="s">
        <v>2742</v>
      </c>
      <c r="D170" s="65">
        <v>1</v>
      </c>
      <c r="E170" s="62" t="s">
        <v>2719</v>
      </c>
      <c r="F170" s="66">
        <f>일위대가!H912</f>
        <v>15834</v>
      </c>
      <c r="G170" s="66">
        <f t="shared" si="30"/>
        <v>15834</v>
      </c>
      <c r="H170" s="66">
        <f>일위대가!J912</f>
        <v>41539</v>
      </c>
      <c r="I170" s="66">
        <f t="shared" si="33"/>
        <v>41539</v>
      </c>
      <c r="J170" s="66">
        <f>일위대가!L912</f>
        <v>20972</v>
      </c>
      <c r="K170" s="66">
        <f t="shared" si="34"/>
        <v>20972</v>
      </c>
      <c r="L170" s="66">
        <f t="shared" si="31"/>
        <v>78345</v>
      </c>
      <c r="M170" s="66">
        <f t="shared" si="32"/>
        <v>78345</v>
      </c>
    </row>
    <row r="171" spans="1:13" s="57" customFormat="1" ht="15.2" customHeight="1">
      <c r="A171" s="646">
        <f t="shared" si="29"/>
        <v>160</v>
      </c>
      <c r="B171" s="63" t="s">
        <v>2743</v>
      </c>
      <c r="C171" s="64" t="s">
        <v>2744</v>
      </c>
      <c r="D171" s="65">
        <v>1</v>
      </c>
      <c r="E171" s="62" t="s">
        <v>2719</v>
      </c>
      <c r="F171" s="66">
        <f>일위대가!H917</f>
        <v>60168</v>
      </c>
      <c r="G171" s="66">
        <f t="shared" si="30"/>
        <v>60168</v>
      </c>
      <c r="H171" s="66">
        <f>일위대가!J917</f>
        <v>4955</v>
      </c>
      <c r="I171" s="66">
        <f t="shared" si="33"/>
        <v>4955</v>
      </c>
      <c r="J171" s="66">
        <f>일위대가!L917</f>
        <v>2468</v>
      </c>
      <c r="K171" s="66">
        <f t="shared" si="34"/>
        <v>2468</v>
      </c>
      <c r="L171" s="66">
        <f t="shared" ref="L171:L181" si="35">F171+H171+J171</f>
        <v>67591</v>
      </c>
      <c r="M171" s="66">
        <f t="shared" ref="M171:M181" si="36">G171+I171+K171</f>
        <v>67591</v>
      </c>
    </row>
    <row r="172" spans="1:13" s="57" customFormat="1" ht="15.2" customHeight="1">
      <c r="A172" s="646">
        <f t="shared" si="29"/>
        <v>161</v>
      </c>
      <c r="B172" s="63" t="s">
        <v>2745</v>
      </c>
      <c r="C172" s="64" t="s">
        <v>2746</v>
      </c>
      <c r="D172" s="65">
        <v>1</v>
      </c>
      <c r="E172" s="62" t="s">
        <v>2719</v>
      </c>
      <c r="F172" s="66">
        <f>일위대가!H922</f>
        <v>24168</v>
      </c>
      <c r="G172" s="66">
        <f t="shared" si="30"/>
        <v>24168</v>
      </c>
      <c r="H172" s="66">
        <f>일위대가!J922</f>
        <v>4955</v>
      </c>
      <c r="I172" s="66">
        <f t="shared" si="33"/>
        <v>4955</v>
      </c>
      <c r="J172" s="66">
        <f>일위대가!L922</f>
        <v>1028</v>
      </c>
      <c r="K172" s="66">
        <f t="shared" si="34"/>
        <v>1028</v>
      </c>
      <c r="L172" s="66">
        <f t="shared" si="35"/>
        <v>30151</v>
      </c>
      <c r="M172" s="66">
        <f t="shared" si="36"/>
        <v>30151</v>
      </c>
    </row>
    <row r="173" spans="1:13" s="57" customFormat="1" ht="15.2" customHeight="1">
      <c r="A173" s="646">
        <f t="shared" si="29"/>
        <v>162</v>
      </c>
      <c r="B173" s="63" t="s">
        <v>2747</v>
      </c>
      <c r="C173" s="64" t="s">
        <v>2748</v>
      </c>
      <c r="D173" s="65">
        <v>1</v>
      </c>
      <c r="E173" s="62" t="s">
        <v>2719</v>
      </c>
      <c r="F173" s="66">
        <f>일위대가!H934</f>
        <v>42965</v>
      </c>
      <c r="G173" s="66">
        <f t="shared" si="30"/>
        <v>42965</v>
      </c>
      <c r="H173" s="66">
        <f>일위대가!J934</f>
        <v>335167</v>
      </c>
      <c r="I173" s="66">
        <f t="shared" si="33"/>
        <v>335167</v>
      </c>
      <c r="J173" s="66">
        <f>일위대가!L934</f>
        <v>30289</v>
      </c>
      <c r="K173" s="66">
        <f t="shared" si="34"/>
        <v>30289</v>
      </c>
      <c r="L173" s="66">
        <f t="shared" si="35"/>
        <v>408421</v>
      </c>
      <c r="M173" s="66">
        <f t="shared" si="36"/>
        <v>408421</v>
      </c>
    </row>
    <row r="174" spans="1:13" s="57" customFormat="1" ht="15.2" customHeight="1">
      <c r="A174" s="646">
        <f t="shared" si="29"/>
        <v>163</v>
      </c>
      <c r="B174" s="63" t="s">
        <v>2749</v>
      </c>
      <c r="C174" s="64" t="s">
        <v>2750</v>
      </c>
      <c r="D174" s="65">
        <v>1</v>
      </c>
      <c r="E174" s="62" t="s">
        <v>2719</v>
      </c>
      <c r="F174" s="66">
        <f>일위대가!H946</f>
        <v>25982</v>
      </c>
      <c r="G174" s="66">
        <f t="shared" si="30"/>
        <v>25982</v>
      </c>
      <c r="H174" s="66">
        <f>일위대가!J946</f>
        <v>92040</v>
      </c>
      <c r="I174" s="66">
        <f t="shared" si="33"/>
        <v>92040</v>
      </c>
      <c r="J174" s="66">
        <f>일위대가!L946</f>
        <v>35774</v>
      </c>
      <c r="K174" s="66">
        <f t="shared" si="34"/>
        <v>35774</v>
      </c>
      <c r="L174" s="66">
        <f t="shared" si="35"/>
        <v>153796</v>
      </c>
      <c r="M174" s="66">
        <f t="shared" si="36"/>
        <v>153796</v>
      </c>
    </row>
    <row r="175" spans="1:13" s="57" customFormat="1" ht="15.2" customHeight="1">
      <c r="A175" s="646">
        <f t="shared" si="29"/>
        <v>164</v>
      </c>
      <c r="B175" s="63" t="s">
        <v>2749</v>
      </c>
      <c r="C175" s="64" t="s">
        <v>2751</v>
      </c>
      <c r="D175" s="65">
        <v>1</v>
      </c>
      <c r="E175" s="62" t="s">
        <v>2719</v>
      </c>
      <c r="F175" s="66">
        <f>일위대가!H958</f>
        <v>10626</v>
      </c>
      <c r="G175" s="66">
        <f t="shared" si="30"/>
        <v>10626</v>
      </c>
      <c r="H175" s="66">
        <f>일위대가!J958</f>
        <v>42186</v>
      </c>
      <c r="I175" s="66">
        <f t="shared" si="33"/>
        <v>42186</v>
      </c>
      <c r="J175" s="66">
        <f>일위대가!L958</f>
        <v>14307</v>
      </c>
      <c r="K175" s="66">
        <f t="shared" si="34"/>
        <v>14307</v>
      </c>
      <c r="L175" s="66">
        <f t="shared" si="35"/>
        <v>67119</v>
      </c>
      <c r="M175" s="66">
        <f t="shared" si="36"/>
        <v>67119</v>
      </c>
    </row>
    <row r="176" spans="1:13" s="57" customFormat="1" ht="15.2" customHeight="1">
      <c r="A176" s="646">
        <f t="shared" si="29"/>
        <v>165</v>
      </c>
      <c r="B176" s="63" t="s">
        <v>2752</v>
      </c>
      <c r="C176" s="64" t="s">
        <v>2750</v>
      </c>
      <c r="D176" s="65">
        <v>1</v>
      </c>
      <c r="E176" s="62" t="s">
        <v>2719</v>
      </c>
      <c r="F176" s="66">
        <f>일위대가!H970</f>
        <v>25982</v>
      </c>
      <c r="G176" s="66">
        <f t="shared" si="30"/>
        <v>25982</v>
      </c>
      <c r="H176" s="66">
        <f>일위대가!J970</f>
        <v>92040</v>
      </c>
      <c r="I176" s="66">
        <f t="shared" si="33"/>
        <v>92040</v>
      </c>
      <c r="J176" s="66">
        <f>일위대가!L970</f>
        <v>35774</v>
      </c>
      <c r="K176" s="66">
        <f t="shared" si="34"/>
        <v>35774</v>
      </c>
      <c r="L176" s="66">
        <f t="shared" si="35"/>
        <v>153796</v>
      </c>
      <c r="M176" s="66">
        <f t="shared" si="36"/>
        <v>153796</v>
      </c>
    </row>
    <row r="177" spans="1:14" s="57" customFormat="1" ht="15.2" customHeight="1">
      <c r="A177" s="646">
        <f t="shared" si="29"/>
        <v>166</v>
      </c>
      <c r="B177" s="63" t="s">
        <v>2752</v>
      </c>
      <c r="C177" s="64" t="s">
        <v>2751</v>
      </c>
      <c r="D177" s="65">
        <v>1</v>
      </c>
      <c r="E177" s="62" t="s">
        <v>2719</v>
      </c>
      <c r="F177" s="66">
        <f>일위대가!H982</f>
        <v>10626</v>
      </c>
      <c r="G177" s="66">
        <f t="shared" si="30"/>
        <v>10626</v>
      </c>
      <c r="H177" s="66">
        <f>일위대가!J982</f>
        <v>42186</v>
      </c>
      <c r="I177" s="66">
        <f t="shared" si="33"/>
        <v>42186</v>
      </c>
      <c r="J177" s="66">
        <f>일위대가!L982</f>
        <v>14307</v>
      </c>
      <c r="K177" s="66">
        <f t="shared" si="34"/>
        <v>14307</v>
      </c>
      <c r="L177" s="66">
        <f t="shared" si="35"/>
        <v>67119</v>
      </c>
      <c r="M177" s="66">
        <f t="shared" si="36"/>
        <v>67119</v>
      </c>
    </row>
    <row r="178" spans="1:14" s="57" customFormat="1" ht="15.2" customHeight="1">
      <c r="A178" s="646">
        <f t="shared" si="29"/>
        <v>167</v>
      </c>
      <c r="B178" s="63" t="s">
        <v>2753</v>
      </c>
      <c r="C178" s="64" t="s">
        <v>2754</v>
      </c>
      <c r="D178" s="65">
        <v>1</v>
      </c>
      <c r="E178" s="62" t="s">
        <v>2719</v>
      </c>
      <c r="F178" s="66">
        <f>일위대가!H996</f>
        <v>55491</v>
      </c>
      <c r="G178" s="66">
        <f t="shared" si="30"/>
        <v>55491</v>
      </c>
      <c r="H178" s="66">
        <f>일위대가!J996</f>
        <v>95441</v>
      </c>
      <c r="I178" s="66">
        <f t="shared" si="33"/>
        <v>95441</v>
      </c>
      <c r="J178" s="66">
        <f>일위대가!L996</f>
        <v>103829</v>
      </c>
      <c r="K178" s="66">
        <f t="shared" si="34"/>
        <v>103829</v>
      </c>
      <c r="L178" s="66">
        <f t="shared" si="35"/>
        <v>254761</v>
      </c>
      <c r="M178" s="66">
        <f t="shared" si="36"/>
        <v>254761</v>
      </c>
    </row>
    <row r="179" spans="1:14" s="57" customFormat="1" ht="15.2" customHeight="1">
      <c r="A179" s="646">
        <f t="shared" si="29"/>
        <v>168</v>
      </c>
      <c r="B179" s="63" t="s">
        <v>2755</v>
      </c>
      <c r="C179" s="64" t="s">
        <v>2756</v>
      </c>
      <c r="D179" s="65">
        <v>1</v>
      </c>
      <c r="E179" s="62" t="s">
        <v>2719</v>
      </c>
      <c r="F179" s="66">
        <f>일위대가!H1007</f>
        <v>265382</v>
      </c>
      <c r="G179" s="66">
        <f t="shared" si="30"/>
        <v>265382</v>
      </c>
      <c r="H179" s="66">
        <f>일위대가!J1007</f>
        <v>2363936</v>
      </c>
      <c r="I179" s="66">
        <f t="shared" si="33"/>
        <v>2363936</v>
      </c>
      <c r="J179" s="66">
        <f>일위대가!L1007</f>
        <v>330112</v>
      </c>
      <c r="K179" s="66">
        <f t="shared" si="34"/>
        <v>330112</v>
      </c>
      <c r="L179" s="66">
        <f t="shared" si="35"/>
        <v>2959430</v>
      </c>
      <c r="M179" s="66">
        <f t="shared" si="36"/>
        <v>2959430</v>
      </c>
    </row>
    <row r="180" spans="1:14" s="57" customFormat="1" ht="15.2" customHeight="1">
      <c r="A180" s="646">
        <f t="shared" si="29"/>
        <v>169</v>
      </c>
      <c r="B180" s="63" t="s">
        <v>2755</v>
      </c>
      <c r="C180" s="64" t="s">
        <v>2757</v>
      </c>
      <c r="D180" s="65">
        <v>1</v>
      </c>
      <c r="E180" s="62" t="s">
        <v>2719</v>
      </c>
      <c r="F180" s="66">
        <f>일위대가!H1018</f>
        <v>344877</v>
      </c>
      <c r="G180" s="66">
        <f t="shared" si="30"/>
        <v>344877</v>
      </c>
      <c r="H180" s="66">
        <f>일위대가!J1018</f>
        <v>3070427</v>
      </c>
      <c r="I180" s="66">
        <f t="shared" si="33"/>
        <v>3070427</v>
      </c>
      <c r="J180" s="66">
        <f>일위대가!L1018</f>
        <v>429144</v>
      </c>
      <c r="K180" s="66">
        <f t="shared" si="34"/>
        <v>429144</v>
      </c>
      <c r="L180" s="66">
        <f t="shared" si="35"/>
        <v>3844448</v>
      </c>
      <c r="M180" s="66">
        <f t="shared" si="36"/>
        <v>3844448</v>
      </c>
    </row>
    <row r="181" spans="1:14" s="57" customFormat="1" ht="15.2" customHeight="1">
      <c r="A181" s="646">
        <f t="shared" si="29"/>
        <v>170</v>
      </c>
      <c r="B181" s="63" t="s">
        <v>2758</v>
      </c>
      <c r="C181" s="64" t="s">
        <v>2759</v>
      </c>
      <c r="D181" s="65">
        <v>1</v>
      </c>
      <c r="E181" s="62" t="s">
        <v>2719</v>
      </c>
      <c r="F181" s="66">
        <f>일위대가!H1030</f>
        <v>537054</v>
      </c>
      <c r="G181" s="66">
        <f t="shared" si="30"/>
        <v>537054</v>
      </c>
      <c r="H181" s="66">
        <f>일위대가!J1030</f>
        <v>4207046</v>
      </c>
      <c r="I181" s="66">
        <f t="shared" si="33"/>
        <v>4207046</v>
      </c>
      <c r="J181" s="66">
        <f>일위대가!L1030</f>
        <v>519414</v>
      </c>
      <c r="K181" s="66">
        <f t="shared" si="34"/>
        <v>519414</v>
      </c>
      <c r="L181" s="618">
        <f t="shared" si="35"/>
        <v>5263514</v>
      </c>
      <c r="M181" s="66">
        <f t="shared" si="36"/>
        <v>5263514</v>
      </c>
    </row>
    <row r="182" spans="1:14" s="57" customFormat="1" ht="15.2" customHeight="1">
      <c r="A182" s="646">
        <f t="shared" si="29"/>
        <v>171</v>
      </c>
      <c r="B182" s="63" t="s">
        <v>2760</v>
      </c>
      <c r="C182" s="64"/>
      <c r="D182" s="65">
        <v>1</v>
      </c>
      <c r="E182" s="62" t="s">
        <v>2719</v>
      </c>
      <c r="F182" s="66">
        <f>일위대가!H1034</f>
        <v>210</v>
      </c>
      <c r="G182" s="66">
        <f t="shared" si="30"/>
        <v>210</v>
      </c>
      <c r="H182" s="66">
        <f>일위대가!J1034</f>
        <v>8956</v>
      </c>
      <c r="I182" s="66">
        <f t="shared" si="33"/>
        <v>8956</v>
      </c>
      <c r="J182" s="66">
        <f>일위대가!L1034</f>
        <v>0</v>
      </c>
      <c r="K182" s="66">
        <f t="shared" si="34"/>
        <v>0</v>
      </c>
      <c r="L182" s="66">
        <f t="shared" si="31"/>
        <v>9166</v>
      </c>
      <c r="M182" s="66">
        <f t="shared" si="32"/>
        <v>9166</v>
      </c>
    </row>
    <row r="183" spans="1:14" s="57" customFormat="1" ht="15.2" customHeight="1">
      <c r="A183" s="646">
        <f t="shared" si="29"/>
        <v>172</v>
      </c>
      <c r="B183" s="63" t="s">
        <v>2761</v>
      </c>
      <c r="C183" s="64" t="s">
        <v>2762</v>
      </c>
      <c r="D183" s="65">
        <v>1</v>
      </c>
      <c r="E183" s="62" t="s">
        <v>2703</v>
      </c>
      <c r="F183" s="66">
        <f>일위대가!H1041</f>
        <v>11043</v>
      </c>
      <c r="G183" s="66">
        <f t="shared" si="30"/>
        <v>11043</v>
      </c>
      <c r="H183" s="66">
        <f>일위대가!J1041</f>
        <v>19800</v>
      </c>
      <c r="I183" s="66">
        <f t="shared" si="33"/>
        <v>19800</v>
      </c>
      <c r="J183" s="66">
        <f>일위대가!L1041</f>
        <v>1512</v>
      </c>
      <c r="K183" s="66">
        <f t="shared" si="34"/>
        <v>1512</v>
      </c>
      <c r="L183" s="66">
        <f t="shared" si="31"/>
        <v>32355</v>
      </c>
      <c r="M183" s="66">
        <f t="shared" si="32"/>
        <v>32355</v>
      </c>
    </row>
    <row r="184" spans="1:14" s="57" customFormat="1" ht="15.2" customHeight="1">
      <c r="A184" s="646">
        <f t="shared" si="29"/>
        <v>173</v>
      </c>
      <c r="B184" s="642" t="s">
        <v>3982</v>
      </c>
      <c r="C184" s="643" t="s">
        <v>3983</v>
      </c>
      <c r="D184" s="65">
        <v>1</v>
      </c>
      <c r="E184" s="62" t="s">
        <v>3639</v>
      </c>
      <c r="F184" s="66">
        <f>일위대가!H1055</f>
        <v>1817</v>
      </c>
      <c r="G184" s="66">
        <f t="shared" si="30"/>
        <v>1817</v>
      </c>
      <c r="H184" s="66">
        <f>일위대가!J1055</f>
        <v>602</v>
      </c>
      <c r="I184" s="66">
        <f t="shared" si="33"/>
        <v>602</v>
      </c>
      <c r="J184" s="66">
        <f>일위대가!L1055</f>
        <v>37</v>
      </c>
      <c r="K184" s="66">
        <f t="shared" si="34"/>
        <v>37</v>
      </c>
      <c r="L184" s="66">
        <f t="shared" ref="L184:M187" si="37">F184+H184+J184</f>
        <v>2456</v>
      </c>
      <c r="M184" s="66">
        <f t="shared" si="37"/>
        <v>2456</v>
      </c>
    </row>
    <row r="185" spans="1:14" s="57" customFormat="1" ht="15.2" customHeight="1">
      <c r="A185" s="646">
        <f t="shared" si="29"/>
        <v>174</v>
      </c>
      <c r="B185" s="642" t="s">
        <v>3982</v>
      </c>
      <c r="C185" s="643" t="s">
        <v>3984</v>
      </c>
      <c r="D185" s="65">
        <v>1</v>
      </c>
      <c r="E185" s="62" t="s">
        <v>3639</v>
      </c>
      <c r="F185" s="66">
        <f>일위대가!H1069</f>
        <v>1896</v>
      </c>
      <c r="G185" s="66">
        <f t="shared" si="30"/>
        <v>1896</v>
      </c>
      <c r="H185" s="66">
        <f>일위대가!J1069</f>
        <v>1194</v>
      </c>
      <c r="I185" s="66">
        <f t="shared" si="33"/>
        <v>1194</v>
      </c>
      <c r="J185" s="66">
        <f>일위대가!L1069</f>
        <v>76</v>
      </c>
      <c r="K185" s="66">
        <f t="shared" si="34"/>
        <v>76</v>
      </c>
      <c r="L185" s="66">
        <f t="shared" si="37"/>
        <v>3166</v>
      </c>
      <c r="M185" s="66">
        <f t="shared" si="37"/>
        <v>3166</v>
      </c>
    </row>
    <row r="186" spans="1:14" s="640" customFormat="1" ht="15.2" customHeight="1">
      <c r="A186" s="646">
        <f t="shared" si="29"/>
        <v>175</v>
      </c>
      <c r="B186" s="642" t="s">
        <v>3982</v>
      </c>
      <c r="C186" s="643" t="s">
        <v>3985</v>
      </c>
      <c r="D186" s="644">
        <v>1</v>
      </c>
      <c r="E186" s="641" t="s">
        <v>1190</v>
      </c>
      <c r="F186" s="645">
        <f>일위대가!H1083</f>
        <v>2008</v>
      </c>
      <c r="G186" s="645">
        <f t="shared" ref="G186:G187" si="38">TRUNC(D186*F186)</f>
        <v>2008</v>
      </c>
      <c r="H186" s="645">
        <f>일위대가!J1083</f>
        <v>602</v>
      </c>
      <c r="I186" s="645">
        <f t="shared" ref="I186:I187" si="39">TRUNC(D186*H186)</f>
        <v>602</v>
      </c>
      <c r="J186" s="645">
        <f>일위대가!L1083</f>
        <v>37</v>
      </c>
      <c r="K186" s="645">
        <f t="shared" ref="K186:K187" si="40">TRUNC(D186*J186)</f>
        <v>37</v>
      </c>
      <c r="L186" s="645">
        <f t="shared" si="37"/>
        <v>2647</v>
      </c>
      <c r="M186" s="645">
        <f t="shared" si="37"/>
        <v>2647</v>
      </c>
    </row>
    <row r="187" spans="1:14" s="640" customFormat="1" ht="15.2" customHeight="1">
      <c r="A187" s="646">
        <f t="shared" si="29"/>
        <v>176</v>
      </c>
      <c r="B187" s="642" t="s">
        <v>3982</v>
      </c>
      <c r="C187" s="643" t="s">
        <v>3986</v>
      </c>
      <c r="D187" s="644">
        <v>1</v>
      </c>
      <c r="E187" s="641" t="s">
        <v>1190</v>
      </c>
      <c r="F187" s="645">
        <f>일위대가!H1097</f>
        <v>2087</v>
      </c>
      <c r="G187" s="645">
        <f t="shared" si="38"/>
        <v>2087</v>
      </c>
      <c r="H187" s="645">
        <f>일위대가!J1097</f>
        <v>1194</v>
      </c>
      <c r="I187" s="645">
        <f t="shared" si="39"/>
        <v>1194</v>
      </c>
      <c r="J187" s="645">
        <f>일위대가!L1097</f>
        <v>76</v>
      </c>
      <c r="K187" s="645">
        <f t="shared" si="40"/>
        <v>76</v>
      </c>
      <c r="L187" s="645">
        <f t="shared" si="37"/>
        <v>3357</v>
      </c>
      <c r="M187" s="645">
        <f t="shared" si="37"/>
        <v>3357</v>
      </c>
    </row>
    <row r="188" spans="1:14" s="57" customFormat="1" ht="15.2" customHeight="1">
      <c r="A188" s="67"/>
      <c r="B188" s="63" t="s">
        <v>2689</v>
      </c>
      <c r="C188" s="64"/>
      <c r="D188" s="65"/>
      <c r="E188" s="62"/>
      <c r="F188" s="66"/>
      <c r="G188" s="66">
        <f>SUM(G151:G187)</f>
        <v>9789942</v>
      </c>
      <c r="H188" s="66"/>
      <c r="I188" s="66">
        <f>SUM(I151:I187)</f>
        <v>17775643</v>
      </c>
      <c r="J188" s="66"/>
      <c r="K188" s="66">
        <f>SUM(K151:K187)</f>
        <v>2518552</v>
      </c>
      <c r="L188" s="66"/>
      <c r="M188" s="66">
        <f>SUM(M151:M187)</f>
        <v>30084137</v>
      </c>
      <c r="N188" s="61">
        <f>G188+I188+K188</f>
        <v>30084137</v>
      </c>
    </row>
    <row r="189" spans="1:14" s="57" customFormat="1" ht="15.2" customHeight="1">
      <c r="A189" s="756" t="s">
        <v>3293</v>
      </c>
      <c r="B189" s="757"/>
      <c r="C189" s="757"/>
      <c r="D189" s="757"/>
      <c r="E189" s="757"/>
      <c r="F189" s="449"/>
      <c r="G189" s="449"/>
      <c r="H189" s="449"/>
      <c r="I189" s="449"/>
      <c r="J189" s="449"/>
      <c r="K189" s="449"/>
      <c r="L189" s="449"/>
      <c r="M189" s="450"/>
    </row>
    <row r="190" spans="1:14" s="57" customFormat="1" ht="15.2" customHeight="1">
      <c r="A190" s="67">
        <f>A187+1</f>
        <v>177</v>
      </c>
      <c r="B190" s="63" t="s">
        <v>2763</v>
      </c>
      <c r="C190" s="64" t="s">
        <v>2764</v>
      </c>
      <c r="D190" s="65">
        <v>1</v>
      </c>
      <c r="E190" s="62" t="s">
        <v>2765</v>
      </c>
      <c r="F190" s="66">
        <f>일위대가!H1100</f>
        <v>0</v>
      </c>
      <c r="G190" s="66">
        <f t="shared" si="30"/>
        <v>0</v>
      </c>
      <c r="H190" s="66">
        <f>일위대가!J1100</f>
        <v>0</v>
      </c>
      <c r="I190" s="66">
        <f t="shared" si="33"/>
        <v>0</v>
      </c>
      <c r="J190" s="66">
        <f>일위대가!L1100</f>
        <v>60000</v>
      </c>
      <c r="K190" s="66">
        <f t="shared" si="34"/>
        <v>60000</v>
      </c>
      <c r="L190" s="66">
        <f t="shared" si="31"/>
        <v>60000</v>
      </c>
      <c r="M190" s="66">
        <f t="shared" si="32"/>
        <v>60000</v>
      </c>
    </row>
    <row r="191" spans="1:14" s="57" customFormat="1" ht="15.2" customHeight="1">
      <c r="A191" s="67">
        <f>A190+1</f>
        <v>178</v>
      </c>
      <c r="B191" s="63" t="s">
        <v>2766</v>
      </c>
      <c r="C191" s="64" t="s">
        <v>2767</v>
      </c>
      <c r="D191" s="65">
        <v>1</v>
      </c>
      <c r="E191" s="62" t="s">
        <v>2765</v>
      </c>
      <c r="F191" s="66">
        <f>일위대가!H1103</f>
        <v>0</v>
      </c>
      <c r="G191" s="66">
        <f t="shared" si="30"/>
        <v>0</v>
      </c>
      <c r="H191" s="66">
        <f>일위대가!J1103</f>
        <v>0</v>
      </c>
      <c r="I191" s="66">
        <f t="shared" si="33"/>
        <v>0</v>
      </c>
      <c r="J191" s="66">
        <f>일위대가!L1103</f>
        <v>105000</v>
      </c>
      <c r="K191" s="66">
        <f t="shared" si="34"/>
        <v>105000</v>
      </c>
      <c r="L191" s="66">
        <f t="shared" si="31"/>
        <v>105000</v>
      </c>
      <c r="M191" s="66">
        <f t="shared" si="32"/>
        <v>105000</v>
      </c>
    </row>
    <row r="192" spans="1:14" s="57" customFormat="1" ht="15.2" customHeight="1">
      <c r="A192" s="67">
        <f t="shared" ref="A192:A215" si="41">A191+1</f>
        <v>179</v>
      </c>
      <c r="B192" s="63" t="s">
        <v>2768</v>
      </c>
      <c r="C192" s="64" t="s">
        <v>2769</v>
      </c>
      <c r="D192" s="65">
        <v>1</v>
      </c>
      <c r="E192" s="62" t="s">
        <v>2581</v>
      </c>
      <c r="F192" s="66">
        <f>일위대가!H1110</f>
        <v>0</v>
      </c>
      <c r="G192" s="66">
        <f t="shared" si="30"/>
        <v>0</v>
      </c>
      <c r="H192" s="66">
        <f>일위대가!J1110</f>
        <v>0</v>
      </c>
      <c r="I192" s="66">
        <f t="shared" si="33"/>
        <v>0</v>
      </c>
      <c r="J192" s="66">
        <f>일위대가!L1110</f>
        <v>9686</v>
      </c>
      <c r="K192" s="66">
        <f t="shared" si="34"/>
        <v>9686</v>
      </c>
      <c r="L192" s="66">
        <f t="shared" si="31"/>
        <v>9686</v>
      </c>
      <c r="M192" s="66">
        <f t="shared" si="32"/>
        <v>9686</v>
      </c>
    </row>
    <row r="193" spans="1:13" s="57" customFormat="1" ht="15.2" customHeight="1">
      <c r="A193" s="67">
        <f>A192+1</f>
        <v>180</v>
      </c>
      <c r="B193" s="63" t="s">
        <v>2770</v>
      </c>
      <c r="C193" s="64" t="s">
        <v>2771</v>
      </c>
      <c r="D193" s="65">
        <v>1</v>
      </c>
      <c r="E193" s="62" t="s">
        <v>2581</v>
      </c>
      <c r="F193" s="66">
        <f>일위대가!H1118</f>
        <v>2788</v>
      </c>
      <c r="G193" s="66">
        <f>TRUNC(D193*F193)</f>
        <v>2788</v>
      </c>
      <c r="H193" s="66">
        <f>일위대가!J1118</f>
        <v>6479</v>
      </c>
      <c r="I193" s="66">
        <f>TRUNC(D193*H193)</f>
        <v>6479</v>
      </c>
      <c r="J193" s="66"/>
      <c r="K193" s="66">
        <f>TRUNC(D193*J193)</f>
        <v>0</v>
      </c>
      <c r="L193" s="66">
        <f t="shared" ref="L193:M195" si="42">F193+H193+J193</f>
        <v>9267</v>
      </c>
      <c r="M193" s="66">
        <f t="shared" si="42"/>
        <v>9267</v>
      </c>
    </row>
    <row r="194" spans="1:13" s="57" customFormat="1" ht="15.2" customHeight="1">
      <c r="A194" s="67">
        <f>A193+1</f>
        <v>181</v>
      </c>
      <c r="B194" s="63" t="s">
        <v>2770</v>
      </c>
      <c r="C194" s="64" t="s">
        <v>2772</v>
      </c>
      <c r="D194" s="65">
        <v>1</v>
      </c>
      <c r="E194" s="62" t="s">
        <v>2581</v>
      </c>
      <c r="F194" s="66">
        <f>일위대가!H1126</f>
        <v>3283</v>
      </c>
      <c r="G194" s="66">
        <f>TRUNC(D194*F194)</f>
        <v>3283</v>
      </c>
      <c r="H194" s="66">
        <f>일위대가!J1126</f>
        <v>6479</v>
      </c>
      <c r="I194" s="66">
        <f>TRUNC(D194*H194)</f>
        <v>6479</v>
      </c>
      <c r="J194" s="66"/>
      <c r="K194" s="66">
        <f>TRUNC(D194*J194)</f>
        <v>0</v>
      </c>
      <c r="L194" s="66">
        <f t="shared" si="42"/>
        <v>9762</v>
      </c>
      <c r="M194" s="66">
        <f t="shared" si="42"/>
        <v>9762</v>
      </c>
    </row>
    <row r="195" spans="1:13" s="57" customFormat="1" ht="15.2" customHeight="1">
      <c r="A195" s="67">
        <f>A194+1</f>
        <v>182</v>
      </c>
      <c r="B195" s="63" t="s">
        <v>2770</v>
      </c>
      <c r="C195" s="64" t="s">
        <v>2773</v>
      </c>
      <c r="D195" s="65">
        <v>1</v>
      </c>
      <c r="E195" s="62" t="s">
        <v>2581</v>
      </c>
      <c r="F195" s="66">
        <f>일위대가!H1134</f>
        <v>4408</v>
      </c>
      <c r="G195" s="66">
        <f>TRUNC(D195*F195)</f>
        <v>4408</v>
      </c>
      <c r="H195" s="66">
        <f>일위대가!J1134</f>
        <v>6479</v>
      </c>
      <c r="I195" s="66">
        <f>TRUNC(D195*H195)</f>
        <v>6479</v>
      </c>
      <c r="J195" s="66">
        <f>일위대가!L1136</f>
        <v>0</v>
      </c>
      <c r="K195" s="66">
        <f>TRUNC(D195*J195)</f>
        <v>0</v>
      </c>
      <c r="L195" s="66">
        <f t="shared" si="42"/>
        <v>10887</v>
      </c>
      <c r="M195" s="66">
        <f t="shared" si="42"/>
        <v>10887</v>
      </c>
    </row>
    <row r="196" spans="1:13" s="57" customFormat="1" ht="15.2" customHeight="1">
      <c r="A196" s="67">
        <f>A195+1</f>
        <v>183</v>
      </c>
      <c r="B196" s="63" t="s">
        <v>2774</v>
      </c>
      <c r="C196" s="64" t="s">
        <v>2775</v>
      </c>
      <c r="D196" s="65">
        <v>1</v>
      </c>
      <c r="E196" s="62" t="s">
        <v>2776</v>
      </c>
      <c r="F196" s="66">
        <f>일위대가!H1141</f>
        <v>0</v>
      </c>
      <c r="G196" s="66">
        <f t="shared" si="30"/>
        <v>0</v>
      </c>
      <c r="H196" s="66">
        <f>일위대가!J1141</f>
        <v>0</v>
      </c>
      <c r="I196" s="66">
        <f t="shared" si="33"/>
        <v>0</v>
      </c>
      <c r="J196" s="66">
        <f>일위대가!L1141</f>
        <v>292868</v>
      </c>
      <c r="K196" s="66">
        <f t="shared" si="34"/>
        <v>292868</v>
      </c>
      <c r="L196" s="66">
        <f t="shared" si="31"/>
        <v>292868</v>
      </c>
      <c r="M196" s="66">
        <f t="shared" si="32"/>
        <v>292868</v>
      </c>
    </row>
    <row r="197" spans="1:13" s="57" customFormat="1" ht="15.2" customHeight="1">
      <c r="A197" s="67">
        <f t="shared" si="41"/>
        <v>184</v>
      </c>
      <c r="B197" s="63" t="s">
        <v>2774</v>
      </c>
      <c r="C197" s="64" t="s">
        <v>2777</v>
      </c>
      <c r="D197" s="65">
        <v>1</v>
      </c>
      <c r="E197" s="62" t="s">
        <v>2776</v>
      </c>
      <c r="F197" s="66">
        <f>일위대가!H1148</f>
        <v>0</v>
      </c>
      <c r="G197" s="66">
        <f t="shared" si="30"/>
        <v>0</v>
      </c>
      <c r="H197" s="66">
        <f>일위대가!J1148</f>
        <v>0</v>
      </c>
      <c r="I197" s="66">
        <f t="shared" si="33"/>
        <v>0</v>
      </c>
      <c r="J197" s="66">
        <f>일위대가!L1148</f>
        <v>376389</v>
      </c>
      <c r="K197" s="66">
        <f t="shared" si="34"/>
        <v>376389</v>
      </c>
      <c r="L197" s="66">
        <f t="shared" si="31"/>
        <v>376389</v>
      </c>
      <c r="M197" s="66">
        <f t="shared" si="32"/>
        <v>376389</v>
      </c>
    </row>
    <row r="198" spans="1:13" s="57" customFormat="1" ht="15.2" customHeight="1">
      <c r="A198" s="67">
        <f t="shared" si="41"/>
        <v>185</v>
      </c>
      <c r="B198" s="63" t="s">
        <v>2774</v>
      </c>
      <c r="C198" s="64" t="s">
        <v>2778</v>
      </c>
      <c r="D198" s="65">
        <v>1</v>
      </c>
      <c r="E198" s="62" t="s">
        <v>2776</v>
      </c>
      <c r="F198" s="66">
        <f>일위대가!H1155</f>
        <v>0</v>
      </c>
      <c r="G198" s="66">
        <f t="shared" si="30"/>
        <v>0</v>
      </c>
      <c r="H198" s="66">
        <f>일위대가!J1155</f>
        <v>0</v>
      </c>
      <c r="I198" s="66">
        <f t="shared" si="33"/>
        <v>0</v>
      </c>
      <c r="J198" s="66">
        <f>일위대가!L1155</f>
        <v>356868</v>
      </c>
      <c r="K198" s="66">
        <f t="shared" si="34"/>
        <v>356868</v>
      </c>
      <c r="L198" s="66">
        <f t="shared" si="31"/>
        <v>356868</v>
      </c>
      <c r="M198" s="66">
        <f t="shared" si="32"/>
        <v>356868</v>
      </c>
    </row>
    <row r="199" spans="1:13" s="57" customFormat="1" ht="15.2" customHeight="1">
      <c r="A199" s="67">
        <f t="shared" si="41"/>
        <v>186</v>
      </c>
      <c r="B199" s="63" t="s">
        <v>2774</v>
      </c>
      <c r="C199" s="64" t="s">
        <v>2779</v>
      </c>
      <c r="D199" s="65">
        <v>1</v>
      </c>
      <c r="E199" s="62" t="s">
        <v>2776</v>
      </c>
      <c r="F199" s="66">
        <f>일위대가!H1162</f>
        <v>0</v>
      </c>
      <c r="G199" s="66">
        <f t="shared" si="30"/>
        <v>0</v>
      </c>
      <c r="H199" s="66">
        <f>일위대가!J1162</f>
        <v>0</v>
      </c>
      <c r="I199" s="66">
        <f t="shared" si="33"/>
        <v>0</v>
      </c>
      <c r="J199" s="66">
        <f>일위대가!L1162</f>
        <v>460389</v>
      </c>
      <c r="K199" s="66">
        <f t="shared" si="34"/>
        <v>460389</v>
      </c>
      <c r="L199" s="66">
        <f t="shared" si="31"/>
        <v>460389</v>
      </c>
      <c r="M199" s="66">
        <f t="shared" si="32"/>
        <v>460389</v>
      </c>
    </row>
    <row r="200" spans="1:13" s="57" customFormat="1" ht="15.2" customHeight="1">
      <c r="A200" s="67">
        <f t="shared" si="41"/>
        <v>187</v>
      </c>
      <c r="B200" s="63" t="s">
        <v>2774</v>
      </c>
      <c r="C200" s="64" t="s">
        <v>2780</v>
      </c>
      <c r="D200" s="65">
        <v>1</v>
      </c>
      <c r="E200" s="62" t="s">
        <v>2776</v>
      </c>
      <c r="F200" s="66">
        <f>일위대가!H1169</f>
        <v>0</v>
      </c>
      <c r="G200" s="66">
        <f t="shared" si="30"/>
        <v>0</v>
      </c>
      <c r="H200" s="66">
        <f>일위대가!J1169</f>
        <v>0</v>
      </c>
      <c r="I200" s="66">
        <f t="shared" si="33"/>
        <v>0</v>
      </c>
      <c r="J200" s="66">
        <f>일위대가!L1169</f>
        <v>655941</v>
      </c>
      <c r="K200" s="66">
        <f t="shared" si="34"/>
        <v>655941</v>
      </c>
      <c r="L200" s="66">
        <f t="shared" si="31"/>
        <v>655941</v>
      </c>
      <c r="M200" s="66">
        <f t="shared" si="32"/>
        <v>655941</v>
      </c>
    </row>
    <row r="201" spans="1:13" s="57" customFormat="1" ht="15.2" customHeight="1">
      <c r="A201" s="67">
        <f t="shared" si="41"/>
        <v>188</v>
      </c>
      <c r="B201" s="63" t="s">
        <v>2774</v>
      </c>
      <c r="C201" s="64" t="s">
        <v>2781</v>
      </c>
      <c r="D201" s="65">
        <v>1</v>
      </c>
      <c r="E201" s="62" t="s">
        <v>2776</v>
      </c>
      <c r="F201" s="66">
        <f>일위대가!H1176</f>
        <v>0</v>
      </c>
      <c r="G201" s="66">
        <f t="shared" si="30"/>
        <v>0</v>
      </c>
      <c r="H201" s="66">
        <f>일위대가!J1176</f>
        <v>0</v>
      </c>
      <c r="I201" s="66">
        <f t="shared" si="33"/>
        <v>0</v>
      </c>
      <c r="J201" s="66">
        <f>일위대가!L1176</f>
        <v>500868</v>
      </c>
      <c r="K201" s="66">
        <f t="shared" si="34"/>
        <v>500868</v>
      </c>
      <c r="L201" s="66">
        <f t="shared" si="31"/>
        <v>500868</v>
      </c>
      <c r="M201" s="66">
        <f t="shared" si="32"/>
        <v>500868</v>
      </c>
    </row>
    <row r="202" spans="1:13" s="57" customFormat="1" ht="15.2" customHeight="1">
      <c r="A202" s="67">
        <f t="shared" si="41"/>
        <v>189</v>
      </c>
      <c r="B202" s="63" t="s">
        <v>2774</v>
      </c>
      <c r="C202" s="64" t="s">
        <v>2782</v>
      </c>
      <c r="D202" s="65">
        <v>1</v>
      </c>
      <c r="E202" s="62" t="s">
        <v>2776</v>
      </c>
      <c r="F202" s="66">
        <f>일위대가!H1183</f>
        <v>0</v>
      </c>
      <c r="G202" s="66">
        <f t="shared" si="30"/>
        <v>0</v>
      </c>
      <c r="H202" s="66">
        <f>일위대가!J1183</f>
        <v>0</v>
      </c>
      <c r="I202" s="66">
        <f t="shared" si="33"/>
        <v>0</v>
      </c>
      <c r="J202" s="66">
        <f>일위대가!L1183</f>
        <v>649389</v>
      </c>
      <c r="K202" s="66">
        <f t="shared" si="34"/>
        <v>649389</v>
      </c>
      <c r="L202" s="66">
        <f t="shared" si="31"/>
        <v>649389</v>
      </c>
      <c r="M202" s="66">
        <f t="shared" si="32"/>
        <v>649389</v>
      </c>
    </row>
    <row r="203" spans="1:13" s="57" customFormat="1" ht="15.2" customHeight="1">
      <c r="A203" s="67">
        <f t="shared" si="41"/>
        <v>190</v>
      </c>
      <c r="B203" s="63" t="s">
        <v>2774</v>
      </c>
      <c r="C203" s="64" t="s">
        <v>2783</v>
      </c>
      <c r="D203" s="65">
        <v>1</v>
      </c>
      <c r="E203" s="62" t="s">
        <v>2776</v>
      </c>
      <c r="F203" s="66">
        <f>일위대가!H1190</f>
        <v>0</v>
      </c>
      <c r="G203" s="66">
        <f t="shared" si="30"/>
        <v>0</v>
      </c>
      <c r="H203" s="66">
        <f>일위대가!J1190</f>
        <v>0</v>
      </c>
      <c r="I203" s="66">
        <f t="shared" si="33"/>
        <v>0</v>
      </c>
      <c r="J203" s="66">
        <f>일위대가!L1190</f>
        <v>943941</v>
      </c>
      <c r="K203" s="66">
        <f t="shared" si="34"/>
        <v>943941</v>
      </c>
      <c r="L203" s="66">
        <f t="shared" si="31"/>
        <v>943941</v>
      </c>
      <c r="M203" s="66">
        <f t="shared" si="32"/>
        <v>943941</v>
      </c>
    </row>
    <row r="204" spans="1:13" s="57" customFormat="1" ht="15.2" customHeight="1">
      <c r="A204" s="67">
        <f t="shared" si="41"/>
        <v>191</v>
      </c>
      <c r="B204" s="63" t="s">
        <v>2784</v>
      </c>
      <c r="C204" s="64" t="s">
        <v>2775</v>
      </c>
      <c r="D204" s="65">
        <v>1</v>
      </c>
      <c r="E204" s="62" t="s">
        <v>2776</v>
      </c>
      <c r="F204" s="66">
        <f>일위대가!H1197</f>
        <v>0</v>
      </c>
      <c r="G204" s="66">
        <f t="shared" si="30"/>
        <v>0</v>
      </c>
      <c r="H204" s="66">
        <f>일위대가!J1197</f>
        <v>0</v>
      </c>
      <c r="I204" s="66">
        <f t="shared" si="33"/>
        <v>0</v>
      </c>
      <c r="J204" s="66">
        <f>일위대가!L1197</f>
        <v>292868</v>
      </c>
      <c r="K204" s="66">
        <f t="shared" si="34"/>
        <v>292868</v>
      </c>
      <c r="L204" s="66">
        <f t="shared" si="31"/>
        <v>292868</v>
      </c>
      <c r="M204" s="66">
        <f t="shared" si="32"/>
        <v>292868</v>
      </c>
    </row>
    <row r="205" spans="1:13" s="57" customFormat="1" ht="15.2" customHeight="1">
      <c r="A205" s="67">
        <f t="shared" si="41"/>
        <v>192</v>
      </c>
      <c r="B205" s="63" t="s">
        <v>2784</v>
      </c>
      <c r="C205" s="64" t="s">
        <v>2777</v>
      </c>
      <c r="D205" s="65">
        <v>1</v>
      </c>
      <c r="E205" s="62" t="s">
        <v>2776</v>
      </c>
      <c r="F205" s="66">
        <f>일위대가!H1204</f>
        <v>0</v>
      </c>
      <c r="G205" s="66">
        <f t="shared" si="30"/>
        <v>0</v>
      </c>
      <c r="H205" s="66">
        <f>일위대가!J1204</f>
        <v>0</v>
      </c>
      <c r="I205" s="66">
        <f t="shared" si="33"/>
        <v>0</v>
      </c>
      <c r="J205" s="66">
        <f>일위대가!L1204</f>
        <v>376389</v>
      </c>
      <c r="K205" s="66">
        <f t="shared" si="34"/>
        <v>376389</v>
      </c>
      <c r="L205" s="66">
        <f t="shared" si="31"/>
        <v>376389</v>
      </c>
      <c r="M205" s="66">
        <f t="shared" si="32"/>
        <v>376389</v>
      </c>
    </row>
    <row r="206" spans="1:13" s="57" customFormat="1" ht="15.2" customHeight="1">
      <c r="A206" s="67">
        <f t="shared" si="41"/>
        <v>193</v>
      </c>
      <c r="B206" s="63" t="s">
        <v>2784</v>
      </c>
      <c r="C206" s="64" t="s">
        <v>2778</v>
      </c>
      <c r="D206" s="65">
        <v>1</v>
      </c>
      <c r="E206" s="62" t="s">
        <v>2776</v>
      </c>
      <c r="F206" s="66">
        <f>일위대가!H1211</f>
        <v>0</v>
      </c>
      <c r="G206" s="66">
        <f t="shared" si="30"/>
        <v>0</v>
      </c>
      <c r="H206" s="66">
        <f>일위대가!J1211</f>
        <v>0</v>
      </c>
      <c r="I206" s="66">
        <f t="shared" si="33"/>
        <v>0</v>
      </c>
      <c r="J206" s="66">
        <f>일위대가!L1211</f>
        <v>356868</v>
      </c>
      <c r="K206" s="66">
        <f t="shared" si="34"/>
        <v>356868</v>
      </c>
      <c r="L206" s="66">
        <f t="shared" si="31"/>
        <v>356868</v>
      </c>
      <c r="M206" s="66">
        <f t="shared" si="32"/>
        <v>356868</v>
      </c>
    </row>
    <row r="207" spans="1:13" s="57" customFormat="1" ht="15.2" customHeight="1">
      <c r="A207" s="67">
        <f t="shared" si="41"/>
        <v>194</v>
      </c>
      <c r="B207" s="63" t="s">
        <v>2784</v>
      </c>
      <c r="C207" s="64" t="s">
        <v>2779</v>
      </c>
      <c r="D207" s="65">
        <v>1</v>
      </c>
      <c r="E207" s="62" t="s">
        <v>2776</v>
      </c>
      <c r="F207" s="66">
        <f>일위대가!H1218</f>
        <v>0</v>
      </c>
      <c r="G207" s="66">
        <f t="shared" si="30"/>
        <v>0</v>
      </c>
      <c r="H207" s="66">
        <f>일위대가!J1218</f>
        <v>0</v>
      </c>
      <c r="I207" s="66">
        <f t="shared" si="33"/>
        <v>0</v>
      </c>
      <c r="J207" s="66">
        <f>일위대가!L1218</f>
        <v>460389</v>
      </c>
      <c r="K207" s="66">
        <f t="shared" si="34"/>
        <v>460389</v>
      </c>
      <c r="L207" s="66">
        <f t="shared" si="31"/>
        <v>460389</v>
      </c>
      <c r="M207" s="66">
        <f t="shared" si="32"/>
        <v>460389</v>
      </c>
    </row>
    <row r="208" spans="1:13" s="57" customFormat="1" ht="15.2" customHeight="1">
      <c r="A208" s="67">
        <f t="shared" si="41"/>
        <v>195</v>
      </c>
      <c r="B208" s="63" t="s">
        <v>2784</v>
      </c>
      <c r="C208" s="64" t="s">
        <v>2780</v>
      </c>
      <c r="D208" s="65">
        <v>1</v>
      </c>
      <c r="E208" s="62" t="s">
        <v>2776</v>
      </c>
      <c r="F208" s="66">
        <f>일위대가!H1225</f>
        <v>0</v>
      </c>
      <c r="G208" s="66">
        <f t="shared" si="30"/>
        <v>0</v>
      </c>
      <c r="H208" s="66">
        <f>일위대가!J1225</f>
        <v>0</v>
      </c>
      <c r="I208" s="66">
        <f t="shared" si="33"/>
        <v>0</v>
      </c>
      <c r="J208" s="66">
        <f>일위대가!L1225</f>
        <v>559941</v>
      </c>
      <c r="K208" s="66">
        <f t="shared" si="34"/>
        <v>559941</v>
      </c>
      <c r="L208" s="66">
        <f t="shared" si="31"/>
        <v>559941</v>
      </c>
      <c r="M208" s="66">
        <f t="shared" si="32"/>
        <v>559941</v>
      </c>
    </row>
    <row r="209" spans="1:14" s="57" customFormat="1" ht="15.2" customHeight="1">
      <c r="A209" s="67">
        <f t="shared" si="41"/>
        <v>196</v>
      </c>
      <c r="B209" s="63" t="s">
        <v>2784</v>
      </c>
      <c r="C209" s="64" t="s">
        <v>2781</v>
      </c>
      <c r="D209" s="65">
        <v>1</v>
      </c>
      <c r="E209" s="62" t="s">
        <v>2776</v>
      </c>
      <c r="F209" s="66">
        <f>일위대가!H1232</f>
        <v>0</v>
      </c>
      <c r="G209" s="66">
        <f t="shared" si="30"/>
        <v>0</v>
      </c>
      <c r="H209" s="66">
        <f>일위대가!J1232</f>
        <v>0</v>
      </c>
      <c r="I209" s="66">
        <f t="shared" si="33"/>
        <v>0</v>
      </c>
      <c r="J209" s="66">
        <f>일위대가!L1232</f>
        <v>500868</v>
      </c>
      <c r="K209" s="66">
        <f t="shared" si="34"/>
        <v>500868</v>
      </c>
      <c r="L209" s="66">
        <f t="shared" si="31"/>
        <v>500868</v>
      </c>
      <c r="M209" s="66">
        <f t="shared" si="32"/>
        <v>500868</v>
      </c>
    </row>
    <row r="210" spans="1:14" s="57" customFormat="1" ht="15.2" customHeight="1">
      <c r="A210" s="67">
        <f t="shared" si="41"/>
        <v>197</v>
      </c>
      <c r="B210" s="63" t="s">
        <v>2784</v>
      </c>
      <c r="C210" s="64" t="s">
        <v>2782</v>
      </c>
      <c r="D210" s="65">
        <v>1</v>
      </c>
      <c r="E210" s="62" t="s">
        <v>2776</v>
      </c>
      <c r="F210" s="66">
        <f>일위대가!H1239</f>
        <v>0</v>
      </c>
      <c r="G210" s="66">
        <f t="shared" si="30"/>
        <v>0</v>
      </c>
      <c r="H210" s="66">
        <f>일위대가!J1239</f>
        <v>0</v>
      </c>
      <c r="I210" s="66">
        <f t="shared" si="33"/>
        <v>0</v>
      </c>
      <c r="J210" s="66">
        <f>일위대가!L1239</f>
        <v>649389</v>
      </c>
      <c r="K210" s="66">
        <f t="shared" si="34"/>
        <v>649389</v>
      </c>
      <c r="L210" s="66">
        <f t="shared" si="31"/>
        <v>649389</v>
      </c>
      <c r="M210" s="66">
        <f t="shared" si="32"/>
        <v>649389</v>
      </c>
    </row>
    <row r="211" spans="1:14" s="57" customFormat="1" ht="15.2" customHeight="1">
      <c r="A211" s="67">
        <f t="shared" si="41"/>
        <v>198</v>
      </c>
      <c r="B211" s="63" t="s">
        <v>2784</v>
      </c>
      <c r="C211" s="64" t="s">
        <v>2783</v>
      </c>
      <c r="D211" s="65">
        <v>1</v>
      </c>
      <c r="E211" s="62" t="s">
        <v>2776</v>
      </c>
      <c r="F211" s="66">
        <f>일위대가!H1246</f>
        <v>0</v>
      </c>
      <c r="G211" s="66">
        <f t="shared" si="30"/>
        <v>0</v>
      </c>
      <c r="H211" s="66">
        <f>일위대가!J1246</f>
        <v>0</v>
      </c>
      <c r="I211" s="66">
        <f t="shared" si="33"/>
        <v>0</v>
      </c>
      <c r="J211" s="66">
        <f>일위대가!L1246</f>
        <v>793941</v>
      </c>
      <c r="K211" s="66">
        <f t="shared" si="34"/>
        <v>793941</v>
      </c>
      <c r="L211" s="66">
        <f t="shared" si="31"/>
        <v>793941</v>
      </c>
      <c r="M211" s="66">
        <f t="shared" si="32"/>
        <v>793941</v>
      </c>
    </row>
    <row r="212" spans="1:14" s="57" customFormat="1" ht="15.2" customHeight="1">
      <c r="A212" s="67">
        <f t="shared" si="41"/>
        <v>199</v>
      </c>
      <c r="B212" s="63" t="s">
        <v>2785</v>
      </c>
      <c r="C212" s="64" t="s">
        <v>2786</v>
      </c>
      <c r="D212" s="65">
        <v>1</v>
      </c>
      <c r="E212" s="62" t="s">
        <v>2765</v>
      </c>
      <c r="F212" s="66">
        <f>일위대가!H1249</f>
        <v>0</v>
      </c>
      <c r="G212" s="66">
        <f t="shared" si="30"/>
        <v>0</v>
      </c>
      <c r="H212" s="66">
        <f>일위대가!J1249</f>
        <v>0</v>
      </c>
      <c r="I212" s="66">
        <f t="shared" si="33"/>
        <v>0</v>
      </c>
      <c r="J212" s="66">
        <f>일위대가!L1249</f>
        <v>16000</v>
      </c>
      <c r="K212" s="66">
        <f t="shared" si="34"/>
        <v>16000</v>
      </c>
      <c r="L212" s="66">
        <f t="shared" si="31"/>
        <v>16000</v>
      </c>
      <c r="M212" s="66">
        <f t="shared" si="32"/>
        <v>16000</v>
      </c>
    </row>
    <row r="213" spans="1:14" s="57" customFormat="1" ht="15.2" customHeight="1">
      <c r="A213" s="67">
        <f t="shared" si="41"/>
        <v>200</v>
      </c>
      <c r="B213" s="63" t="s">
        <v>2787</v>
      </c>
      <c r="C213" s="64" t="s">
        <v>2786</v>
      </c>
      <c r="D213" s="65">
        <v>1</v>
      </c>
      <c r="E213" s="62" t="s">
        <v>2765</v>
      </c>
      <c r="F213" s="66">
        <f>일위대가!H1256</f>
        <v>0</v>
      </c>
      <c r="G213" s="66">
        <f t="shared" si="30"/>
        <v>0</v>
      </c>
      <c r="H213" s="66">
        <f>일위대가!J1256</f>
        <v>0</v>
      </c>
      <c r="I213" s="66">
        <f t="shared" si="33"/>
        <v>0</v>
      </c>
      <c r="J213" s="66">
        <f>일위대가!L1256</f>
        <v>4542</v>
      </c>
      <c r="K213" s="66">
        <f t="shared" si="34"/>
        <v>4542</v>
      </c>
      <c r="L213" s="66">
        <f t="shared" si="31"/>
        <v>4542</v>
      </c>
      <c r="M213" s="66">
        <f t="shared" si="32"/>
        <v>4542</v>
      </c>
    </row>
    <row r="214" spans="1:14" s="57" customFormat="1" ht="15.2" customHeight="1">
      <c r="A214" s="67">
        <f t="shared" si="41"/>
        <v>201</v>
      </c>
      <c r="B214" s="63" t="s">
        <v>2788</v>
      </c>
      <c r="C214" s="64" t="s">
        <v>2786</v>
      </c>
      <c r="D214" s="65">
        <v>1</v>
      </c>
      <c r="E214" s="62" t="s">
        <v>2765</v>
      </c>
      <c r="F214" s="66">
        <f>일위대가!H1263</f>
        <v>0</v>
      </c>
      <c r="G214" s="66">
        <f t="shared" si="30"/>
        <v>0</v>
      </c>
      <c r="H214" s="66">
        <f>일위대가!J1263</f>
        <v>0</v>
      </c>
      <c r="I214" s="66">
        <f t="shared" si="33"/>
        <v>0</v>
      </c>
      <c r="J214" s="66">
        <f>일위대가!L1263</f>
        <v>5662</v>
      </c>
      <c r="K214" s="66">
        <f t="shared" si="34"/>
        <v>5662</v>
      </c>
      <c r="L214" s="66">
        <f t="shared" si="31"/>
        <v>5662</v>
      </c>
      <c r="M214" s="66">
        <f t="shared" si="32"/>
        <v>5662</v>
      </c>
    </row>
    <row r="215" spans="1:14" s="57" customFormat="1" ht="15.2" customHeight="1">
      <c r="A215" s="67">
        <f t="shared" si="41"/>
        <v>202</v>
      </c>
      <c r="B215" s="63" t="s">
        <v>2789</v>
      </c>
      <c r="C215" s="64" t="s">
        <v>2786</v>
      </c>
      <c r="D215" s="65">
        <v>1</v>
      </c>
      <c r="E215" s="62" t="s">
        <v>2765</v>
      </c>
      <c r="F215" s="66">
        <f>일위대가!H1270</f>
        <v>0</v>
      </c>
      <c r="G215" s="66">
        <f t="shared" si="30"/>
        <v>0</v>
      </c>
      <c r="H215" s="66">
        <f>일위대가!J1270</f>
        <v>0</v>
      </c>
      <c r="I215" s="66">
        <f t="shared" si="33"/>
        <v>0</v>
      </c>
      <c r="J215" s="66">
        <f>일위대가!L1270</f>
        <v>7582</v>
      </c>
      <c r="K215" s="66">
        <f t="shared" si="34"/>
        <v>7582</v>
      </c>
      <c r="L215" s="66">
        <f t="shared" si="31"/>
        <v>7582</v>
      </c>
      <c r="M215" s="66">
        <f t="shared" si="32"/>
        <v>7582</v>
      </c>
    </row>
    <row r="216" spans="1:14" s="57" customFormat="1" ht="15.2" customHeight="1">
      <c r="A216" s="67"/>
      <c r="B216" s="63" t="s">
        <v>2689</v>
      </c>
      <c r="C216" s="64"/>
      <c r="D216" s="65"/>
      <c r="E216" s="62"/>
      <c r="F216" s="66"/>
      <c r="G216" s="66">
        <f>SUM(G190:G215)</f>
        <v>10479</v>
      </c>
      <c r="H216" s="66"/>
      <c r="I216" s="66">
        <f>SUM(I190:I215)</f>
        <v>19437</v>
      </c>
      <c r="J216" s="66"/>
      <c r="K216" s="66">
        <f>SUM(K190:K215)</f>
        <v>8435778</v>
      </c>
      <c r="L216" s="66"/>
      <c r="M216" s="66">
        <f>SUM(M190:M215)</f>
        <v>8465694</v>
      </c>
      <c r="N216" s="61">
        <f>G216+I216+K216</f>
        <v>8465694</v>
      </c>
    </row>
    <row r="217" spans="1:14" s="57" customFormat="1" ht="15.2" customHeight="1">
      <c r="A217" s="756" t="s">
        <v>3292</v>
      </c>
      <c r="B217" s="757"/>
      <c r="C217" s="757"/>
      <c r="D217" s="757"/>
      <c r="E217" s="757"/>
      <c r="F217" s="449"/>
      <c r="G217" s="449"/>
      <c r="H217" s="449"/>
      <c r="I217" s="449"/>
      <c r="J217" s="449"/>
      <c r="K217" s="449"/>
      <c r="L217" s="449"/>
      <c r="M217" s="450"/>
    </row>
    <row r="218" spans="1:14" s="57" customFormat="1" ht="15.2" customHeight="1">
      <c r="A218" s="67">
        <f>A215+1</f>
        <v>203</v>
      </c>
      <c r="B218" s="63" t="s">
        <v>2790</v>
      </c>
      <c r="C218" s="64" t="s">
        <v>2791</v>
      </c>
      <c r="D218" s="65">
        <v>1</v>
      </c>
      <c r="E218" s="62" t="s">
        <v>2792</v>
      </c>
      <c r="F218" s="66">
        <f>일위대가!H1273</f>
        <v>32332</v>
      </c>
      <c r="G218" s="66">
        <f t="shared" si="30"/>
        <v>32332</v>
      </c>
      <c r="H218" s="66">
        <f>일위대가!J1273</f>
        <v>27168</v>
      </c>
      <c r="I218" s="66">
        <f t="shared" si="33"/>
        <v>27168</v>
      </c>
      <c r="J218" s="66">
        <f>일위대가!L1273</f>
        <v>25599</v>
      </c>
      <c r="K218" s="66">
        <f t="shared" si="34"/>
        <v>25599</v>
      </c>
      <c r="L218" s="66">
        <f t="shared" si="31"/>
        <v>85099</v>
      </c>
      <c r="M218" s="66">
        <f t="shared" si="32"/>
        <v>85099</v>
      </c>
    </row>
    <row r="219" spans="1:14" s="57" customFormat="1" ht="15.2" customHeight="1">
      <c r="A219" s="67">
        <f>A218+1</f>
        <v>204</v>
      </c>
      <c r="B219" s="63" t="s">
        <v>2790</v>
      </c>
      <c r="C219" s="64" t="s">
        <v>2793</v>
      </c>
      <c r="D219" s="65">
        <v>1</v>
      </c>
      <c r="E219" s="62" t="s">
        <v>2792</v>
      </c>
      <c r="F219" s="66">
        <f>일위대가!H1276</f>
        <v>53800</v>
      </c>
      <c r="G219" s="66">
        <f t="shared" si="30"/>
        <v>53800</v>
      </c>
      <c r="H219" s="66">
        <f>일위대가!J1276</f>
        <v>27168</v>
      </c>
      <c r="I219" s="66">
        <f t="shared" si="33"/>
        <v>27168</v>
      </c>
      <c r="J219" s="66">
        <f>일위대가!L1276</f>
        <v>33999</v>
      </c>
      <c r="K219" s="66">
        <f t="shared" si="34"/>
        <v>33999</v>
      </c>
      <c r="L219" s="66">
        <f t="shared" si="31"/>
        <v>114967</v>
      </c>
      <c r="M219" s="66">
        <f t="shared" si="32"/>
        <v>114967</v>
      </c>
    </row>
    <row r="220" spans="1:14" s="57" customFormat="1" ht="15.2" customHeight="1">
      <c r="A220" s="67">
        <f t="shared" ref="A220:A235" si="43">A219+1</f>
        <v>205</v>
      </c>
      <c r="B220" s="63" t="s">
        <v>2794</v>
      </c>
      <c r="C220" s="64" t="s">
        <v>2791</v>
      </c>
      <c r="D220" s="65">
        <v>1</v>
      </c>
      <c r="E220" s="62" t="s">
        <v>2792</v>
      </c>
      <c r="F220" s="66">
        <f>일위대가!H1279</f>
        <v>0</v>
      </c>
      <c r="G220" s="66">
        <f t="shared" si="30"/>
        <v>0</v>
      </c>
      <c r="H220" s="66">
        <f>일위대가!J1279</f>
        <v>0</v>
      </c>
      <c r="I220" s="66">
        <f t="shared" si="33"/>
        <v>0</v>
      </c>
      <c r="J220" s="66">
        <f>일위대가!L1279</f>
        <v>1132</v>
      </c>
      <c r="K220" s="66">
        <f t="shared" si="34"/>
        <v>1132</v>
      </c>
      <c r="L220" s="66">
        <f t="shared" si="31"/>
        <v>1132</v>
      </c>
      <c r="M220" s="66">
        <f t="shared" si="32"/>
        <v>1132</v>
      </c>
    </row>
    <row r="221" spans="1:14" s="57" customFormat="1" ht="15.2" customHeight="1">
      <c r="A221" s="67">
        <f t="shared" si="43"/>
        <v>206</v>
      </c>
      <c r="B221" s="63" t="s">
        <v>2794</v>
      </c>
      <c r="C221" s="64" t="s">
        <v>2793</v>
      </c>
      <c r="D221" s="65">
        <v>1</v>
      </c>
      <c r="E221" s="62" t="s">
        <v>2792</v>
      </c>
      <c r="F221" s="66">
        <f>일위대가!H1282</f>
        <v>0</v>
      </c>
      <c r="G221" s="66">
        <f t="shared" si="30"/>
        <v>0</v>
      </c>
      <c r="H221" s="66">
        <f>일위대가!J1282</f>
        <v>0</v>
      </c>
      <c r="I221" s="66">
        <f t="shared" si="33"/>
        <v>0</v>
      </c>
      <c r="J221" s="66">
        <f>일위대가!L1282</f>
        <v>1775</v>
      </c>
      <c r="K221" s="66">
        <f t="shared" si="34"/>
        <v>1775</v>
      </c>
      <c r="L221" s="66">
        <f t="shared" si="31"/>
        <v>1775</v>
      </c>
      <c r="M221" s="66">
        <f t="shared" si="32"/>
        <v>1775</v>
      </c>
    </row>
    <row r="222" spans="1:14" s="57" customFormat="1" ht="15.2" customHeight="1">
      <c r="A222" s="67">
        <f t="shared" si="43"/>
        <v>207</v>
      </c>
      <c r="B222" s="63" t="s">
        <v>2795</v>
      </c>
      <c r="C222" s="64" t="s">
        <v>1016</v>
      </c>
      <c r="D222" s="65">
        <v>1</v>
      </c>
      <c r="E222" s="62" t="s">
        <v>2792</v>
      </c>
      <c r="F222" s="66">
        <f>일위대가!H1285</f>
        <v>6745</v>
      </c>
      <c r="G222" s="66">
        <f t="shared" si="30"/>
        <v>6745</v>
      </c>
      <c r="H222" s="66">
        <f>일위대가!J1285</f>
        <v>27168</v>
      </c>
      <c r="I222" s="66">
        <f t="shared" si="33"/>
        <v>27168</v>
      </c>
      <c r="J222" s="66">
        <f>일위대가!L1285</f>
        <v>11251</v>
      </c>
      <c r="K222" s="66">
        <f t="shared" si="34"/>
        <v>11251</v>
      </c>
      <c r="L222" s="66">
        <f t="shared" si="31"/>
        <v>45164</v>
      </c>
      <c r="M222" s="66">
        <f t="shared" si="32"/>
        <v>45164</v>
      </c>
    </row>
    <row r="223" spans="1:14" s="57" customFormat="1" ht="15.2" customHeight="1">
      <c r="A223" s="67">
        <f t="shared" si="43"/>
        <v>208</v>
      </c>
      <c r="B223" s="63" t="s">
        <v>2795</v>
      </c>
      <c r="C223" s="64" t="s">
        <v>2796</v>
      </c>
      <c r="D223" s="65">
        <v>1</v>
      </c>
      <c r="E223" s="62" t="s">
        <v>2797</v>
      </c>
      <c r="F223" s="66">
        <f>일위대가!H1288</f>
        <v>13465</v>
      </c>
      <c r="G223" s="66">
        <f t="shared" si="30"/>
        <v>13465</v>
      </c>
      <c r="H223" s="66">
        <f>일위대가!J1288</f>
        <v>27168</v>
      </c>
      <c r="I223" s="66">
        <f t="shared" si="33"/>
        <v>27168</v>
      </c>
      <c r="J223" s="66">
        <f>일위대가!L1288</f>
        <v>12514</v>
      </c>
      <c r="K223" s="66">
        <f t="shared" si="34"/>
        <v>12514</v>
      </c>
      <c r="L223" s="66">
        <f t="shared" si="31"/>
        <v>53147</v>
      </c>
      <c r="M223" s="66">
        <f t="shared" si="32"/>
        <v>53147</v>
      </c>
    </row>
    <row r="224" spans="1:14" s="57" customFormat="1" ht="15.2" customHeight="1">
      <c r="A224" s="67">
        <f t="shared" si="43"/>
        <v>209</v>
      </c>
      <c r="B224" s="63" t="s">
        <v>2798</v>
      </c>
      <c r="C224" s="64" t="s">
        <v>2799</v>
      </c>
      <c r="D224" s="65">
        <v>1</v>
      </c>
      <c r="E224" s="62" t="s">
        <v>2797</v>
      </c>
      <c r="F224" s="66">
        <f>일위대가!H1291</f>
        <v>15778</v>
      </c>
      <c r="G224" s="66">
        <f t="shared" si="30"/>
        <v>15778</v>
      </c>
      <c r="H224" s="66">
        <f>일위대가!J1291</f>
        <v>27168</v>
      </c>
      <c r="I224" s="66">
        <f t="shared" si="33"/>
        <v>27168</v>
      </c>
      <c r="J224" s="66">
        <f>일위대가!L1291</f>
        <v>19708</v>
      </c>
      <c r="K224" s="66">
        <f t="shared" si="34"/>
        <v>19708</v>
      </c>
      <c r="L224" s="66">
        <f t="shared" si="31"/>
        <v>62654</v>
      </c>
      <c r="M224" s="66">
        <f t="shared" si="32"/>
        <v>62654</v>
      </c>
    </row>
    <row r="225" spans="1:13" s="57" customFormat="1" ht="15.2" customHeight="1">
      <c r="A225" s="67">
        <f t="shared" si="43"/>
        <v>210</v>
      </c>
      <c r="B225" s="63" t="s">
        <v>2798</v>
      </c>
      <c r="C225" s="64" t="s">
        <v>2800</v>
      </c>
      <c r="D225" s="65">
        <v>1</v>
      </c>
      <c r="E225" s="62" t="s">
        <v>2797</v>
      </c>
      <c r="F225" s="66">
        <f>일위대가!H1294</f>
        <v>26523</v>
      </c>
      <c r="G225" s="66">
        <f t="shared" si="30"/>
        <v>26523</v>
      </c>
      <c r="H225" s="66">
        <f>일위대가!J1294</f>
        <v>27168</v>
      </c>
      <c r="I225" s="66">
        <f t="shared" si="33"/>
        <v>27168</v>
      </c>
      <c r="J225" s="66">
        <f>일위대가!L1294</f>
        <v>23559</v>
      </c>
      <c r="K225" s="66">
        <f t="shared" si="34"/>
        <v>23559</v>
      </c>
      <c r="L225" s="66">
        <f t="shared" si="31"/>
        <v>77250</v>
      </c>
      <c r="M225" s="66">
        <f t="shared" si="32"/>
        <v>77250</v>
      </c>
    </row>
    <row r="226" spans="1:13" s="57" customFormat="1" ht="15.2" customHeight="1">
      <c r="A226" s="67">
        <f t="shared" si="43"/>
        <v>211</v>
      </c>
      <c r="B226" s="63" t="s">
        <v>3655</v>
      </c>
      <c r="C226" s="64" t="s">
        <v>3649</v>
      </c>
      <c r="D226" s="65">
        <v>1</v>
      </c>
      <c r="E226" s="62" t="s">
        <v>453</v>
      </c>
      <c r="F226" s="66">
        <f>일위대가!H1297</f>
        <v>7741</v>
      </c>
      <c r="G226" s="66">
        <f t="shared" si="30"/>
        <v>7741</v>
      </c>
      <c r="H226" s="66">
        <f>일위대가!J1297</f>
        <v>27168</v>
      </c>
      <c r="I226" s="66">
        <f t="shared" si="33"/>
        <v>27168</v>
      </c>
      <c r="J226" s="66">
        <f>일위대가!L1297</f>
        <v>12947</v>
      </c>
      <c r="K226" s="66">
        <f t="shared" si="34"/>
        <v>12947</v>
      </c>
      <c r="L226" s="66">
        <f t="shared" ref="L226:M229" si="44">F226+H226+J226</f>
        <v>47856</v>
      </c>
      <c r="M226" s="66">
        <f t="shared" si="44"/>
        <v>47856</v>
      </c>
    </row>
    <row r="227" spans="1:13" s="57" customFormat="1" ht="15.2" customHeight="1">
      <c r="A227" s="67">
        <f t="shared" si="43"/>
        <v>212</v>
      </c>
      <c r="B227" s="63" t="s">
        <v>3655</v>
      </c>
      <c r="C227" s="64" t="s">
        <v>3652</v>
      </c>
      <c r="D227" s="65">
        <v>1</v>
      </c>
      <c r="E227" s="62" t="s">
        <v>453</v>
      </c>
      <c r="F227" s="66">
        <f>일위대가!H1300</f>
        <v>16036</v>
      </c>
      <c r="G227" s="66">
        <f t="shared" si="30"/>
        <v>16036</v>
      </c>
      <c r="H227" s="66">
        <f>일위대가!J1300</f>
        <v>27168</v>
      </c>
      <c r="I227" s="66">
        <f t="shared" si="33"/>
        <v>27168</v>
      </c>
      <c r="J227" s="66">
        <f>일위대가!L1300</f>
        <v>21622</v>
      </c>
      <c r="K227" s="66">
        <f t="shared" si="34"/>
        <v>21622</v>
      </c>
      <c r="L227" s="66">
        <f t="shared" si="44"/>
        <v>64826</v>
      </c>
      <c r="M227" s="66">
        <f t="shared" si="44"/>
        <v>64826</v>
      </c>
    </row>
    <row r="228" spans="1:13" s="57" customFormat="1" ht="15.2" customHeight="1">
      <c r="A228" s="67">
        <f t="shared" si="43"/>
        <v>213</v>
      </c>
      <c r="B228" s="63" t="s">
        <v>3655</v>
      </c>
      <c r="C228" s="64" t="s">
        <v>3653</v>
      </c>
      <c r="D228" s="65">
        <v>1</v>
      </c>
      <c r="E228" s="62" t="s">
        <v>453</v>
      </c>
      <c r="F228" s="66">
        <f>일위대가!H1303</f>
        <v>22534</v>
      </c>
      <c r="G228" s="66">
        <f t="shared" si="30"/>
        <v>22534</v>
      </c>
      <c r="H228" s="66">
        <f>일위대가!J1303</f>
        <v>27168</v>
      </c>
      <c r="I228" s="66">
        <f t="shared" si="33"/>
        <v>27168</v>
      </c>
      <c r="J228" s="66">
        <f>일위대가!L1303</f>
        <v>25531</v>
      </c>
      <c r="K228" s="66">
        <f t="shared" si="34"/>
        <v>25531</v>
      </c>
      <c r="L228" s="66">
        <f t="shared" si="44"/>
        <v>75233</v>
      </c>
      <c r="M228" s="66">
        <f t="shared" si="44"/>
        <v>75233</v>
      </c>
    </row>
    <row r="229" spans="1:13" s="57" customFormat="1" ht="15.2" customHeight="1">
      <c r="A229" s="67">
        <f t="shared" si="43"/>
        <v>214</v>
      </c>
      <c r="B229" s="63" t="s">
        <v>3655</v>
      </c>
      <c r="C229" s="64" t="s">
        <v>1036</v>
      </c>
      <c r="D229" s="65">
        <v>1</v>
      </c>
      <c r="E229" s="62" t="s">
        <v>453</v>
      </c>
      <c r="F229" s="66">
        <f>일위대가!H1306</f>
        <v>28340</v>
      </c>
      <c r="G229" s="66">
        <f t="shared" si="30"/>
        <v>28340</v>
      </c>
      <c r="H229" s="66">
        <f>일위대가!J1306</f>
        <v>27168</v>
      </c>
      <c r="I229" s="66">
        <f t="shared" si="33"/>
        <v>27168</v>
      </c>
      <c r="J229" s="66">
        <f>일위대가!L1306</f>
        <v>26935</v>
      </c>
      <c r="K229" s="66">
        <f t="shared" si="34"/>
        <v>26935</v>
      </c>
      <c r="L229" s="66">
        <f t="shared" si="44"/>
        <v>82443</v>
      </c>
      <c r="M229" s="66">
        <f t="shared" si="44"/>
        <v>82443</v>
      </c>
    </row>
    <row r="230" spans="1:13" s="57" customFormat="1" ht="15.2" customHeight="1">
      <c r="A230" s="67">
        <f>A229+1</f>
        <v>215</v>
      </c>
      <c r="B230" s="63" t="s">
        <v>2801</v>
      </c>
      <c r="C230" s="64" t="s">
        <v>2802</v>
      </c>
      <c r="D230" s="65">
        <v>1</v>
      </c>
      <c r="E230" s="62" t="s">
        <v>2797</v>
      </c>
      <c r="F230" s="66">
        <f>일위대가!H1309</f>
        <v>12180</v>
      </c>
      <c r="G230" s="66">
        <f t="shared" si="30"/>
        <v>12180</v>
      </c>
      <c r="H230" s="66">
        <f>일위대가!J1309</f>
        <v>27168</v>
      </c>
      <c r="I230" s="66">
        <f t="shared" si="33"/>
        <v>27168</v>
      </c>
      <c r="J230" s="66">
        <f>일위대가!L1309</f>
        <v>15031</v>
      </c>
      <c r="K230" s="66">
        <f t="shared" si="34"/>
        <v>15031</v>
      </c>
      <c r="L230" s="66">
        <f t="shared" si="31"/>
        <v>54379</v>
      </c>
      <c r="M230" s="66">
        <f t="shared" si="32"/>
        <v>54379</v>
      </c>
    </row>
    <row r="231" spans="1:13" s="57" customFormat="1" ht="15.2" customHeight="1">
      <c r="A231" s="67">
        <f t="shared" si="43"/>
        <v>216</v>
      </c>
      <c r="B231" s="63" t="s">
        <v>2801</v>
      </c>
      <c r="C231" s="64" t="s">
        <v>2799</v>
      </c>
      <c r="D231" s="65">
        <v>1</v>
      </c>
      <c r="E231" s="62" t="s">
        <v>2797</v>
      </c>
      <c r="F231" s="66">
        <f>일위대가!H1312</f>
        <v>14103</v>
      </c>
      <c r="G231" s="66">
        <f t="shared" si="30"/>
        <v>14103</v>
      </c>
      <c r="H231" s="66">
        <f>일위대가!J1312</f>
        <v>27168</v>
      </c>
      <c r="I231" s="66">
        <f t="shared" si="33"/>
        <v>27168</v>
      </c>
      <c r="J231" s="66">
        <f>일위대가!L1312</f>
        <v>19682</v>
      </c>
      <c r="K231" s="66">
        <f t="shared" si="34"/>
        <v>19682</v>
      </c>
      <c r="L231" s="66">
        <f t="shared" si="31"/>
        <v>60953</v>
      </c>
      <c r="M231" s="66">
        <f t="shared" si="32"/>
        <v>60953</v>
      </c>
    </row>
    <row r="232" spans="1:13" s="57" customFormat="1" ht="15.2" customHeight="1">
      <c r="A232" s="67">
        <f t="shared" si="43"/>
        <v>217</v>
      </c>
      <c r="B232" s="63" t="s">
        <v>2803</v>
      </c>
      <c r="C232" s="64" t="s">
        <v>2804</v>
      </c>
      <c r="D232" s="65">
        <v>1</v>
      </c>
      <c r="E232" s="62" t="s">
        <v>2797</v>
      </c>
      <c r="F232" s="66">
        <f>일위대가!H1315</f>
        <v>0</v>
      </c>
      <c r="G232" s="66">
        <f t="shared" si="30"/>
        <v>0</v>
      </c>
      <c r="H232" s="66">
        <f>일위대가!J1315</f>
        <v>0</v>
      </c>
      <c r="I232" s="66">
        <f t="shared" si="33"/>
        <v>0</v>
      </c>
      <c r="J232" s="66">
        <f>일위대가!L1315</f>
        <v>2155</v>
      </c>
      <c r="K232" s="66">
        <f t="shared" si="34"/>
        <v>2155</v>
      </c>
      <c r="L232" s="66">
        <f t="shared" si="31"/>
        <v>2155</v>
      </c>
      <c r="M232" s="66">
        <f t="shared" si="32"/>
        <v>2155</v>
      </c>
    </row>
    <row r="233" spans="1:13" s="57" customFormat="1" ht="15.2" customHeight="1">
      <c r="A233" s="67">
        <f t="shared" si="43"/>
        <v>218</v>
      </c>
      <c r="B233" s="63" t="s">
        <v>2803</v>
      </c>
      <c r="C233" s="64" t="s">
        <v>2802</v>
      </c>
      <c r="D233" s="65">
        <v>1</v>
      </c>
      <c r="E233" s="62" t="s">
        <v>2797</v>
      </c>
      <c r="F233" s="66">
        <f>일위대가!H1318</f>
        <v>0</v>
      </c>
      <c r="G233" s="66">
        <f t="shared" si="30"/>
        <v>0</v>
      </c>
      <c r="H233" s="66">
        <f>일위대가!J1318</f>
        <v>0</v>
      </c>
      <c r="I233" s="66">
        <f t="shared" si="33"/>
        <v>0</v>
      </c>
      <c r="J233" s="66">
        <f>일위대가!L1318</f>
        <v>3952</v>
      </c>
      <c r="K233" s="66">
        <f t="shared" si="34"/>
        <v>3952</v>
      </c>
      <c r="L233" s="66">
        <f t="shared" si="31"/>
        <v>3952</v>
      </c>
      <c r="M233" s="66">
        <f t="shared" si="32"/>
        <v>3952</v>
      </c>
    </row>
    <row r="234" spans="1:13" s="57" customFormat="1" ht="15.2" customHeight="1">
      <c r="A234" s="67">
        <f t="shared" si="43"/>
        <v>219</v>
      </c>
      <c r="B234" s="63" t="s">
        <v>2803</v>
      </c>
      <c r="C234" s="64" t="s">
        <v>3652</v>
      </c>
      <c r="D234" s="65">
        <v>1</v>
      </c>
      <c r="E234" s="62" t="s">
        <v>2797</v>
      </c>
      <c r="F234" s="66">
        <f>일위대가!H1321</f>
        <v>0</v>
      </c>
      <c r="G234" s="66">
        <f t="shared" si="30"/>
        <v>0</v>
      </c>
      <c r="H234" s="66">
        <f>일위대가!J1321</f>
        <v>0</v>
      </c>
      <c r="I234" s="66">
        <f t="shared" si="33"/>
        <v>0</v>
      </c>
      <c r="J234" s="66">
        <f>일위대가!L1321</f>
        <v>7225</v>
      </c>
      <c r="K234" s="66">
        <f t="shared" si="34"/>
        <v>7225</v>
      </c>
      <c r="L234" s="66">
        <f t="shared" si="31"/>
        <v>7225</v>
      </c>
      <c r="M234" s="66">
        <f t="shared" si="32"/>
        <v>7225</v>
      </c>
    </row>
    <row r="235" spans="1:13" s="57" customFormat="1" ht="15.2" customHeight="1">
      <c r="A235" s="67">
        <f t="shared" si="43"/>
        <v>220</v>
      </c>
      <c r="B235" s="63" t="s">
        <v>2805</v>
      </c>
      <c r="C235" s="64" t="s">
        <v>2806</v>
      </c>
      <c r="D235" s="65">
        <v>1</v>
      </c>
      <c r="E235" s="62" t="s">
        <v>2797</v>
      </c>
      <c r="F235" s="66">
        <f>일위대가!H1324</f>
        <v>15244</v>
      </c>
      <c r="G235" s="66">
        <f t="shared" si="30"/>
        <v>15244</v>
      </c>
      <c r="H235" s="66">
        <f>일위대가!J1324</f>
        <v>27168</v>
      </c>
      <c r="I235" s="66">
        <f t="shared" si="33"/>
        <v>27168</v>
      </c>
      <c r="J235" s="66">
        <f>일위대가!L1324</f>
        <v>24810</v>
      </c>
      <c r="K235" s="66">
        <f t="shared" si="34"/>
        <v>24810</v>
      </c>
      <c r="L235" s="66">
        <f t="shared" si="31"/>
        <v>67222</v>
      </c>
      <c r="M235" s="66">
        <f t="shared" si="32"/>
        <v>67222</v>
      </c>
    </row>
    <row r="236" spans="1:13" s="57" customFormat="1" ht="15.2" customHeight="1">
      <c r="A236" s="67">
        <f>A235+1</f>
        <v>221</v>
      </c>
      <c r="B236" s="63" t="s">
        <v>2805</v>
      </c>
      <c r="C236" s="64" t="s">
        <v>2807</v>
      </c>
      <c r="D236" s="65">
        <v>1</v>
      </c>
      <c r="E236" s="62" t="s">
        <v>2808</v>
      </c>
      <c r="F236" s="66">
        <f>일위대가!H1327</f>
        <v>19695</v>
      </c>
      <c r="G236" s="66">
        <f t="shared" si="30"/>
        <v>19695</v>
      </c>
      <c r="H236" s="66">
        <f>일위대가!J1327</f>
        <v>27168</v>
      </c>
      <c r="I236" s="66">
        <f t="shared" si="33"/>
        <v>27168</v>
      </c>
      <c r="J236" s="66">
        <f>일위대가!L1327</f>
        <v>30420</v>
      </c>
      <c r="K236" s="66">
        <f t="shared" si="34"/>
        <v>30420</v>
      </c>
      <c r="L236" s="66">
        <f t="shared" si="31"/>
        <v>77283</v>
      </c>
      <c r="M236" s="66">
        <f t="shared" si="32"/>
        <v>77283</v>
      </c>
    </row>
    <row r="237" spans="1:13" s="57" customFormat="1" ht="15.2" customHeight="1">
      <c r="A237" s="67">
        <f t="shared" ref="A237:A300" si="45">A236+1</f>
        <v>222</v>
      </c>
      <c r="B237" s="63" t="s">
        <v>2809</v>
      </c>
      <c r="C237" s="64" t="s">
        <v>2810</v>
      </c>
      <c r="D237" s="65">
        <v>1</v>
      </c>
      <c r="E237" s="62" t="s">
        <v>2808</v>
      </c>
      <c r="F237" s="66">
        <f>일위대가!H1330</f>
        <v>5619</v>
      </c>
      <c r="G237" s="66">
        <f t="shared" si="30"/>
        <v>5619</v>
      </c>
      <c r="H237" s="66">
        <f>일위대가!J1330</f>
        <v>27168</v>
      </c>
      <c r="I237" s="66">
        <f t="shared" si="33"/>
        <v>27168</v>
      </c>
      <c r="J237" s="66">
        <f>일위대가!L1330</f>
        <v>5767</v>
      </c>
      <c r="K237" s="66">
        <f t="shared" si="34"/>
        <v>5767</v>
      </c>
      <c r="L237" s="66">
        <f t="shared" si="31"/>
        <v>38554</v>
      </c>
      <c r="M237" s="66">
        <f t="shared" si="32"/>
        <v>38554</v>
      </c>
    </row>
    <row r="238" spans="1:13" s="57" customFormat="1" ht="15.2" customHeight="1">
      <c r="A238" s="67">
        <f t="shared" si="45"/>
        <v>223</v>
      </c>
      <c r="B238" s="63" t="s">
        <v>2809</v>
      </c>
      <c r="C238" s="64" t="s">
        <v>2811</v>
      </c>
      <c r="D238" s="65">
        <v>1</v>
      </c>
      <c r="E238" s="62" t="s">
        <v>2808</v>
      </c>
      <c r="F238" s="66">
        <f>일위대가!H1333</f>
        <v>12362</v>
      </c>
      <c r="G238" s="66">
        <f t="shared" si="30"/>
        <v>12362</v>
      </c>
      <c r="H238" s="66">
        <f>일위대가!J1333</f>
        <v>27168</v>
      </c>
      <c r="I238" s="66">
        <f t="shared" si="33"/>
        <v>27168</v>
      </c>
      <c r="J238" s="66">
        <f>일위대가!L1333</f>
        <v>15219</v>
      </c>
      <c r="K238" s="66">
        <f t="shared" si="34"/>
        <v>15219</v>
      </c>
      <c r="L238" s="66">
        <f t="shared" si="31"/>
        <v>54749</v>
      </c>
      <c r="M238" s="66">
        <f t="shared" si="32"/>
        <v>54749</v>
      </c>
    </row>
    <row r="239" spans="1:13" s="57" customFormat="1" ht="15.2" customHeight="1">
      <c r="A239" s="67">
        <f t="shared" si="45"/>
        <v>224</v>
      </c>
      <c r="B239" s="63" t="s">
        <v>2809</v>
      </c>
      <c r="C239" s="64" t="s">
        <v>2812</v>
      </c>
      <c r="D239" s="65">
        <v>1</v>
      </c>
      <c r="E239" s="62" t="s">
        <v>2808</v>
      </c>
      <c r="F239" s="66">
        <f>일위대가!H1336</f>
        <v>15733</v>
      </c>
      <c r="G239" s="66">
        <f t="shared" si="30"/>
        <v>15733</v>
      </c>
      <c r="H239" s="66">
        <f>일위대가!J1336</f>
        <v>27168</v>
      </c>
      <c r="I239" s="66">
        <f t="shared" si="33"/>
        <v>27168</v>
      </c>
      <c r="J239" s="66">
        <f>일위대가!L1336</f>
        <v>19407</v>
      </c>
      <c r="K239" s="66">
        <f t="shared" si="34"/>
        <v>19407</v>
      </c>
      <c r="L239" s="66">
        <f t="shared" si="31"/>
        <v>62308</v>
      </c>
      <c r="M239" s="66">
        <f t="shared" si="32"/>
        <v>62308</v>
      </c>
    </row>
    <row r="240" spans="1:13" s="57" customFormat="1" ht="15.2" customHeight="1">
      <c r="A240" s="67">
        <f t="shared" si="45"/>
        <v>225</v>
      </c>
      <c r="B240" s="63" t="s">
        <v>2813</v>
      </c>
      <c r="C240" s="64" t="s">
        <v>2814</v>
      </c>
      <c r="D240" s="65">
        <v>1</v>
      </c>
      <c r="E240" s="62" t="s">
        <v>2808</v>
      </c>
      <c r="F240" s="66">
        <f>일위대가!H1339</f>
        <v>25105</v>
      </c>
      <c r="G240" s="66">
        <f t="shared" si="30"/>
        <v>25105</v>
      </c>
      <c r="H240" s="66">
        <f>일위대가!J1339</f>
        <v>27168</v>
      </c>
      <c r="I240" s="66">
        <f t="shared" si="33"/>
        <v>27168</v>
      </c>
      <c r="J240" s="66">
        <f>일위대가!L1339</f>
        <v>33896</v>
      </c>
      <c r="K240" s="66">
        <f t="shared" si="34"/>
        <v>33896</v>
      </c>
      <c r="L240" s="66">
        <f t="shared" si="31"/>
        <v>86169</v>
      </c>
      <c r="M240" s="66">
        <f t="shared" si="32"/>
        <v>86169</v>
      </c>
    </row>
    <row r="241" spans="1:13" s="57" customFormat="1" ht="15.2" customHeight="1">
      <c r="A241" s="67">
        <f t="shared" si="45"/>
        <v>226</v>
      </c>
      <c r="B241" s="63" t="s">
        <v>2815</v>
      </c>
      <c r="C241" s="64" t="s">
        <v>2816</v>
      </c>
      <c r="D241" s="65">
        <v>1</v>
      </c>
      <c r="E241" s="62" t="s">
        <v>2808</v>
      </c>
      <c r="F241" s="66">
        <f>일위대가!H1342</f>
        <v>4461</v>
      </c>
      <c r="G241" s="66">
        <f t="shared" si="30"/>
        <v>4461</v>
      </c>
      <c r="H241" s="66">
        <f>일위대가!J1342</f>
        <v>24483</v>
      </c>
      <c r="I241" s="66">
        <f t="shared" si="33"/>
        <v>24483</v>
      </c>
      <c r="J241" s="66">
        <f>일위대가!L1342</f>
        <v>5567</v>
      </c>
      <c r="K241" s="66">
        <f t="shared" si="34"/>
        <v>5567</v>
      </c>
      <c r="L241" s="66">
        <f t="shared" si="31"/>
        <v>34511</v>
      </c>
      <c r="M241" s="66">
        <f t="shared" si="32"/>
        <v>34511</v>
      </c>
    </row>
    <row r="242" spans="1:13" s="57" customFormat="1" ht="15.2" customHeight="1">
      <c r="A242" s="67">
        <f t="shared" si="45"/>
        <v>227</v>
      </c>
      <c r="B242" s="63" t="s">
        <v>2815</v>
      </c>
      <c r="C242" s="64" t="s">
        <v>2817</v>
      </c>
      <c r="D242" s="65">
        <v>1</v>
      </c>
      <c r="E242" s="62" t="s">
        <v>2808</v>
      </c>
      <c r="F242" s="66">
        <f>일위대가!H1345</f>
        <v>7692</v>
      </c>
      <c r="G242" s="66">
        <f t="shared" ref="G242:G307" si="46">TRUNC(D242*F242)</f>
        <v>7692</v>
      </c>
      <c r="H242" s="66">
        <f>일위대가!J1345</f>
        <v>24483</v>
      </c>
      <c r="I242" s="66">
        <f t="shared" si="33"/>
        <v>24483</v>
      </c>
      <c r="J242" s="66">
        <f>일위대가!L1345</f>
        <v>6499</v>
      </c>
      <c r="K242" s="66">
        <f t="shared" si="34"/>
        <v>6499</v>
      </c>
      <c r="L242" s="66">
        <f t="shared" ref="L242:L305" si="47">F242+H242+J242</f>
        <v>38674</v>
      </c>
      <c r="M242" s="66">
        <f t="shared" ref="M242:M305" si="48">G242+I242+K242</f>
        <v>38674</v>
      </c>
    </row>
    <row r="243" spans="1:13" s="57" customFormat="1" ht="15.2" customHeight="1">
      <c r="A243" s="67">
        <f t="shared" si="45"/>
        <v>228</v>
      </c>
      <c r="B243" s="63" t="s">
        <v>2815</v>
      </c>
      <c r="C243" s="64" t="s">
        <v>2818</v>
      </c>
      <c r="D243" s="65">
        <v>1</v>
      </c>
      <c r="E243" s="62" t="s">
        <v>2808</v>
      </c>
      <c r="F243" s="66">
        <f>일위대가!H1348</f>
        <v>14308</v>
      </c>
      <c r="G243" s="66">
        <f t="shared" si="46"/>
        <v>14308</v>
      </c>
      <c r="H243" s="66">
        <f>일위대가!J1348</f>
        <v>24483</v>
      </c>
      <c r="I243" s="66">
        <f t="shared" ref="I243:I307" si="49">TRUNC(D243*H243)</f>
        <v>24483</v>
      </c>
      <c r="J243" s="66">
        <f>일위대가!L1348</f>
        <v>8990</v>
      </c>
      <c r="K243" s="66">
        <f t="shared" si="34"/>
        <v>8990</v>
      </c>
      <c r="L243" s="66">
        <f t="shared" si="47"/>
        <v>47781</v>
      </c>
      <c r="M243" s="66">
        <f t="shared" si="48"/>
        <v>47781</v>
      </c>
    </row>
    <row r="244" spans="1:13" s="57" customFormat="1" ht="15.2" customHeight="1">
      <c r="A244" s="67">
        <f t="shared" si="45"/>
        <v>229</v>
      </c>
      <c r="B244" s="63" t="s">
        <v>2815</v>
      </c>
      <c r="C244" s="64" t="s">
        <v>2819</v>
      </c>
      <c r="D244" s="65">
        <v>1</v>
      </c>
      <c r="E244" s="62" t="s">
        <v>2808</v>
      </c>
      <c r="F244" s="66">
        <f>일위대가!H1351</f>
        <v>24463</v>
      </c>
      <c r="G244" s="66">
        <f t="shared" si="46"/>
        <v>24463</v>
      </c>
      <c r="H244" s="66">
        <f>일위대가!J1351</f>
        <v>27168</v>
      </c>
      <c r="I244" s="66">
        <f t="shared" si="49"/>
        <v>27168</v>
      </c>
      <c r="J244" s="66">
        <f>일위대가!L1351</f>
        <v>17612</v>
      </c>
      <c r="K244" s="66">
        <f t="shared" ref="K244:K302" si="50">TRUNC(D244*J244)</f>
        <v>17612</v>
      </c>
      <c r="L244" s="66">
        <f t="shared" si="47"/>
        <v>69243</v>
      </c>
      <c r="M244" s="66">
        <f t="shared" si="48"/>
        <v>69243</v>
      </c>
    </row>
    <row r="245" spans="1:13" s="57" customFormat="1" ht="15.2" customHeight="1">
      <c r="A245" s="67">
        <f t="shared" si="45"/>
        <v>230</v>
      </c>
      <c r="B245" s="63" t="s">
        <v>2815</v>
      </c>
      <c r="C245" s="64" t="s">
        <v>2820</v>
      </c>
      <c r="D245" s="65">
        <v>1</v>
      </c>
      <c r="E245" s="62" t="s">
        <v>2808</v>
      </c>
      <c r="F245" s="66">
        <f>중기사용료!M549</f>
        <v>30771</v>
      </c>
      <c r="G245" s="66">
        <f t="shared" si="46"/>
        <v>30771</v>
      </c>
      <c r="H245" s="66">
        <f>중기사용료!M543</f>
        <v>27168</v>
      </c>
      <c r="I245" s="66">
        <f t="shared" si="49"/>
        <v>27168</v>
      </c>
      <c r="J245" s="66">
        <f>중기사용료!M537</f>
        <v>24402</v>
      </c>
      <c r="K245" s="66">
        <f t="shared" si="50"/>
        <v>24402</v>
      </c>
      <c r="L245" s="66">
        <f t="shared" si="47"/>
        <v>82341</v>
      </c>
      <c r="M245" s="66">
        <f t="shared" si="48"/>
        <v>82341</v>
      </c>
    </row>
    <row r="246" spans="1:13" s="57" customFormat="1" ht="15.2" customHeight="1">
      <c r="A246" s="67">
        <f t="shared" si="45"/>
        <v>231</v>
      </c>
      <c r="B246" s="63" t="s">
        <v>2815</v>
      </c>
      <c r="C246" s="64" t="s">
        <v>2821</v>
      </c>
      <c r="D246" s="65">
        <v>1</v>
      </c>
      <c r="E246" s="62" t="s">
        <v>2792</v>
      </c>
      <c r="F246" s="66">
        <f>중기사용료!M568</f>
        <v>35386</v>
      </c>
      <c r="G246" s="66">
        <f t="shared" si="46"/>
        <v>35386</v>
      </c>
      <c r="H246" s="66">
        <f>중기사용료!M562</f>
        <v>27168</v>
      </c>
      <c r="I246" s="66">
        <f t="shared" si="49"/>
        <v>27168</v>
      </c>
      <c r="J246" s="66">
        <f>중기사용료!M556</f>
        <v>28703</v>
      </c>
      <c r="K246" s="66">
        <f t="shared" si="50"/>
        <v>28703</v>
      </c>
      <c r="L246" s="66">
        <f t="shared" si="47"/>
        <v>91257</v>
      </c>
      <c r="M246" s="66">
        <f t="shared" si="48"/>
        <v>91257</v>
      </c>
    </row>
    <row r="247" spans="1:13" s="57" customFormat="1" ht="15.2" customHeight="1">
      <c r="A247" s="67">
        <f t="shared" si="45"/>
        <v>232</v>
      </c>
      <c r="B247" s="63" t="s">
        <v>2822</v>
      </c>
      <c r="C247" s="64" t="s">
        <v>2823</v>
      </c>
      <c r="D247" s="65">
        <v>1</v>
      </c>
      <c r="E247" s="62" t="s">
        <v>2792</v>
      </c>
      <c r="F247" s="66">
        <f>일위대가!H1360</f>
        <v>9998</v>
      </c>
      <c r="G247" s="66">
        <f t="shared" si="46"/>
        <v>9998</v>
      </c>
      <c r="H247" s="66">
        <f>일위대가!J1360</f>
        <v>27168</v>
      </c>
      <c r="I247" s="66">
        <f t="shared" si="49"/>
        <v>27168</v>
      </c>
      <c r="J247" s="66">
        <f>일위대가!L1360</f>
        <v>8783</v>
      </c>
      <c r="K247" s="66">
        <f t="shared" si="50"/>
        <v>8783</v>
      </c>
      <c r="L247" s="66">
        <f t="shared" si="47"/>
        <v>45949</v>
      </c>
      <c r="M247" s="66">
        <f t="shared" si="48"/>
        <v>45949</v>
      </c>
    </row>
    <row r="248" spans="1:13" s="57" customFormat="1" ht="15.2" customHeight="1">
      <c r="A248" s="67">
        <f t="shared" si="45"/>
        <v>233</v>
      </c>
      <c r="B248" s="63" t="s">
        <v>2822</v>
      </c>
      <c r="C248" s="64" t="s">
        <v>2824</v>
      </c>
      <c r="D248" s="65">
        <v>1</v>
      </c>
      <c r="E248" s="62" t="s">
        <v>2792</v>
      </c>
      <c r="F248" s="66">
        <f>일위대가!H1363</f>
        <v>12234</v>
      </c>
      <c r="G248" s="66">
        <f t="shared" si="46"/>
        <v>12234</v>
      </c>
      <c r="H248" s="66">
        <f>일위대가!J1363</f>
        <v>27168</v>
      </c>
      <c r="I248" s="66">
        <f t="shared" si="49"/>
        <v>27168</v>
      </c>
      <c r="J248" s="66">
        <f>일위대가!L1363</f>
        <v>10966</v>
      </c>
      <c r="K248" s="66">
        <f t="shared" si="50"/>
        <v>10966</v>
      </c>
      <c r="L248" s="66">
        <f t="shared" si="47"/>
        <v>50368</v>
      </c>
      <c r="M248" s="66">
        <f t="shared" si="48"/>
        <v>50368</v>
      </c>
    </row>
    <row r="249" spans="1:13" s="57" customFormat="1" ht="15.2" customHeight="1">
      <c r="A249" s="67">
        <f t="shared" si="45"/>
        <v>234</v>
      </c>
      <c r="B249" s="63" t="s">
        <v>2825</v>
      </c>
      <c r="C249" s="64" t="s">
        <v>2826</v>
      </c>
      <c r="D249" s="65">
        <v>1</v>
      </c>
      <c r="E249" s="62" t="s">
        <v>2792</v>
      </c>
      <c r="F249" s="66">
        <f>일위대가!H1366</f>
        <v>3010</v>
      </c>
      <c r="G249" s="66">
        <f t="shared" si="46"/>
        <v>3010</v>
      </c>
      <c r="H249" s="66">
        <f>일위대가!J1366</f>
        <v>27168</v>
      </c>
      <c r="I249" s="66">
        <f t="shared" si="49"/>
        <v>27168</v>
      </c>
      <c r="J249" s="66">
        <f>일위대가!L1366</f>
        <v>2051</v>
      </c>
      <c r="K249" s="66">
        <f t="shared" si="50"/>
        <v>2051</v>
      </c>
      <c r="L249" s="66">
        <f t="shared" si="47"/>
        <v>32229</v>
      </c>
      <c r="M249" s="66">
        <f t="shared" si="48"/>
        <v>32229</v>
      </c>
    </row>
    <row r="250" spans="1:13" s="57" customFormat="1" ht="15.2" customHeight="1">
      <c r="A250" s="67">
        <f t="shared" si="45"/>
        <v>235</v>
      </c>
      <c r="B250" s="63" t="s">
        <v>2825</v>
      </c>
      <c r="C250" s="64" t="s">
        <v>2827</v>
      </c>
      <c r="D250" s="65">
        <v>1</v>
      </c>
      <c r="E250" s="62" t="s">
        <v>2792</v>
      </c>
      <c r="F250" s="66">
        <f>일위대가!H1369</f>
        <v>6577</v>
      </c>
      <c r="G250" s="66">
        <f t="shared" si="46"/>
        <v>6577</v>
      </c>
      <c r="H250" s="66">
        <f>일위대가!J1369</f>
        <v>27168</v>
      </c>
      <c r="I250" s="66">
        <f t="shared" si="49"/>
        <v>27168</v>
      </c>
      <c r="J250" s="66">
        <f>일위대가!L1369</f>
        <v>7405</v>
      </c>
      <c r="K250" s="66">
        <f t="shared" si="50"/>
        <v>7405</v>
      </c>
      <c r="L250" s="66">
        <f t="shared" si="47"/>
        <v>41150</v>
      </c>
      <c r="M250" s="66">
        <f t="shared" si="48"/>
        <v>41150</v>
      </c>
    </row>
    <row r="251" spans="1:13" s="57" customFormat="1" ht="15.2" customHeight="1">
      <c r="A251" s="67">
        <f t="shared" si="45"/>
        <v>236</v>
      </c>
      <c r="B251" s="63" t="s">
        <v>2825</v>
      </c>
      <c r="C251" s="64" t="s">
        <v>2823</v>
      </c>
      <c r="D251" s="65">
        <v>1</v>
      </c>
      <c r="E251" s="62" t="s">
        <v>2792</v>
      </c>
      <c r="F251" s="66">
        <f>일위대가!H1372</f>
        <v>8945</v>
      </c>
      <c r="G251" s="66">
        <f t="shared" si="46"/>
        <v>8945</v>
      </c>
      <c r="H251" s="66">
        <f>일위대가!J1372</f>
        <v>27168</v>
      </c>
      <c r="I251" s="66">
        <f t="shared" si="49"/>
        <v>27168</v>
      </c>
      <c r="J251" s="66">
        <f>일위대가!L1372</f>
        <v>8934</v>
      </c>
      <c r="K251" s="66">
        <f t="shared" si="50"/>
        <v>8934</v>
      </c>
      <c r="L251" s="66">
        <f t="shared" si="47"/>
        <v>45047</v>
      </c>
      <c r="M251" s="66">
        <f t="shared" si="48"/>
        <v>45047</v>
      </c>
    </row>
    <row r="252" spans="1:13" s="57" customFormat="1" ht="15.2" customHeight="1">
      <c r="A252" s="67">
        <f t="shared" si="45"/>
        <v>237</v>
      </c>
      <c r="B252" s="63" t="s">
        <v>2825</v>
      </c>
      <c r="C252" s="64" t="s">
        <v>2828</v>
      </c>
      <c r="D252" s="65">
        <v>1</v>
      </c>
      <c r="E252" s="62" t="s">
        <v>2792</v>
      </c>
      <c r="F252" s="66">
        <f>일위대가!H1375</f>
        <v>11050</v>
      </c>
      <c r="G252" s="66">
        <f t="shared" si="46"/>
        <v>11050</v>
      </c>
      <c r="H252" s="66">
        <f>일위대가!J1375</f>
        <v>27168</v>
      </c>
      <c r="I252" s="66">
        <f t="shared" si="49"/>
        <v>27168</v>
      </c>
      <c r="J252" s="66">
        <f>일위대가!L1375</f>
        <v>10303</v>
      </c>
      <c r="K252" s="66">
        <f t="shared" si="50"/>
        <v>10303</v>
      </c>
      <c r="L252" s="66">
        <f t="shared" si="47"/>
        <v>48521</v>
      </c>
      <c r="M252" s="66">
        <f t="shared" si="48"/>
        <v>48521</v>
      </c>
    </row>
    <row r="253" spans="1:13" s="57" customFormat="1" ht="15.2" customHeight="1">
      <c r="A253" s="67">
        <f t="shared" si="45"/>
        <v>238</v>
      </c>
      <c r="B253" s="63" t="s">
        <v>2829</v>
      </c>
      <c r="C253" s="64" t="s">
        <v>2830</v>
      </c>
      <c r="D253" s="65">
        <v>1</v>
      </c>
      <c r="E253" s="62" t="s">
        <v>2792</v>
      </c>
      <c r="F253" s="66">
        <f>일위대가!H1378</f>
        <v>2897</v>
      </c>
      <c r="G253" s="66">
        <f>TRUNC(D253*F253)</f>
        <v>2897</v>
      </c>
      <c r="H253" s="66">
        <f>일위대가!J1378</f>
        <v>27168</v>
      </c>
      <c r="I253" s="66">
        <f>TRUNC(D253*H253)</f>
        <v>27168</v>
      </c>
      <c r="J253" s="66">
        <f>일위대가!L1378</f>
        <v>4062</v>
      </c>
      <c r="K253" s="66">
        <f>TRUNC(D253*J253)</f>
        <v>4062</v>
      </c>
      <c r="L253" s="66">
        <f>F253+H253+J253</f>
        <v>34127</v>
      </c>
      <c r="M253" s="66">
        <f>G253+I253+K253</f>
        <v>34127</v>
      </c>
    </row>
    <row r="254" spans="1:13" s="57" customFormat="1" ht="15.2" customHeight="1">
      <c r="A254" s="67">
        <f t="shared" si="45"/>
        <v>239</v>
      </c>
      <c r="B254" s="63" t="s">
        <v>2829</v>
      </c>
      <c r="C254" s="64" t="s">
        <v>2831</v>
      </c>
      <c r="D254" s="65">
        <v>1</v>
      </c>
      <c r="E254" s="62" t="s">
        <v>2792</v>
      </c>
      <c r="F254" s="66">
        <f>일위대가!H1381</f>
        <v>4031</v>
      </c>
      <c r="G254" s="66">
        <f t="shared" si="46"/>
        <v>4031</v>
      </c>
      <c r="H254" s="66">
        <f>일위대가!J1381</f>
        <v>27168</v>
      </c>
      <c r="I254" s="66">
        <f t="shared" si="49"/>
        <v>27168</v>
      </c>
      <c r="J254" s="66">
        <f>일위대가!L1381</f>
        <v>4753</v>
      </c>
      <c r="K254" s="66">
        <f t="shared" si="50"/>
        <v>4753</v>
      </c>
      <c r="L254" s="66">
        <f t="shared" si="47"/>
        <v>35952</v>
      </c>
      <c r="M254" s="66">
        <f t="shared" si="48"/>
        <v>35952</v>
      </c>
    </row>
    <row r="255" spans="1:13" s="57" customFormat="1" ht="15.2" customHeight="1">
      <c r="A255" s="67">
        <f t="shared" si="45"/>
        <v>240</v>
      </c>
      <c r="B255" s="63" t="s">
        <v>2829</v>
      </c>
      <c r="C255" s="64" t="s">
        <v>2832</v>
      </c>
      <c r="D255" s="65">
        <v>1</v>
      </c>
      <c r="E255" s="62" t="s">
        <v>2792</v>
      </c>
      <c r="F255" s="66">
        <f>일위대가!H1384</f>
        <v>20870</v>
      </c>
      <c r="G255" s="66">
        <f t="shared" si="46"/>
        <v>20870</v>
      </c>
      <c r="H255" s="66">
        <f>일위대가!J1384</f>
        <v>27168</v>
      </c>
      <c r="I255" s="66">
        <f t="shared" si="49"/>
        <v>27168</v>
      </c>
      <c r="J255" s="66">
        <f>일위대가!L1384</f>
        <v>22837</v>
      </c>
      <c r="K255" s="66">
        <f t="shared" si="50"/>
        <v>22837</v>
      </c>
      <c r="L255" s="66">
        <f t="shared" si="47"/>
        <v>70875</v>
      </c>
      <c r="M255" s="66">
        <f t="shared" si="48"/>
        <v>70875</v>
      </c>
    </row>
    <row r="256" spans="1:13" s="57" customFormat="1" ht="15.2" customHeight="1">
      <c r="A256" s="67">
        <f t="shared" si="45"/>
        <v>241</v>
      </c>
      <c r="B256" s="63" t="s">
        <v>2833</v>
      </c>
      <c r="C256" s="64" t="s">
        <v>2834</v>
      </c>
      <c r="D256" s="65">
        <v>1</v>
      </c>
      <c r="E256" s="62" t="s">
        <v>2792</v>
      </c>
      <c r="F256" s="66">
        <f>일위대가!H1387</f>
        <v>2771</v>
      </c>
      <c r="G256" s="66">
        <f t="shared" si="46"/>
        <v>2771</v>
      </c>
      <c r="H256" s="66">
        <f>일위대가!J1387</f>
        <v>27168</v>
      </c>
      <c r="I256" s="66">
        <f t="shared" si="49"/>
        <v>27168</v>
      </c>
      <c r="J256" s="66">
        <f>일위대가!L1387</f>
        <v>1563</v>
      </c>
      <c r="K256" s="66">
        <f t="shared" si="50"/>
        <v>1563</v>
      </c>
      <c r="L256" s="66">
        <f t="shared" si="47"/>
        <v>31502</v>
      </c>
      <c r="M256" s="66">
        <f t="shared" si="48"/>
        <v>31502</v>
      </c>
    </row>
    <row r="257" spans="1:13" s="57" customFormat="1" ht="15.2" customHeight="1">
      <c r="A257" s="67">
        <f t="shared" si="45"/>
        <v>242</v>
      </c>
      <c r="B257" s="63" t="s">
        <v>2835</v>
      </c>
      <c r="C257" s="64" t="s">
        <v>2836</v>
      </c>
      <c r="D257" s="65">
        <v>1</v>
      </c>
      <c r="E257" s="62" t="s">
        <v>2792</v>
      </c>
      <c r="F257" s="66">
        <f>일위대가!H1390</f>
        <v>10970</v>
      </c>
      <c r="G257" s="66">
        <f t="shared" si="46"/>
        <v>10970</v>
      </c>
      <c r="H257" s="66">
        <f>일위대가!J1390</f>
        <v>27168</v>
      </c>
      <c r="I257" s="66">
        <f t="shared" si="49"/>
        <v>27168</v>
      </c>
      <c r="J257" s="66">
        <f>일위대가!L1390</f>
        <v>15334</v>
      </c>
      <c r="K257" s="66">
        <f t="shared" si="50"/>
        <v>15334</v>
      </c>
      <c r="L257" s="66">
        <f t="shared" si="47"/>
        <v>53472</v>
      </c>
      <c r="M257" s="66">
        <f t="shared" si="48"/>
        <v>53472</v>
      </c>
    </row>
    <row r="258" spans="1:13" s="57" customFormat="1" ht="15.2" customHeight="1">
      <c r="A258" s="67">
        <f t="shared" si="45"/>
        <v>243</v>
      </c>
      <c r="B258" s="63" t="s">
        <v>2837</v>
      </c>
      <c r="C258" s="64" t="s">
        <v>2838</v>
      </c>
      <c r="D258" s="65">
        <v>1</v>
      </c>
      <c r="E258" s="62" t="s">
        <v>2792</v>
      </c>
      <c r="F258" s="66">
        <f>일위대가!H1393</f>
        <v>1019</v>
      </c>
      <c r="G258" s="66">
        <f t="shared" si="46"/>
        <v>1019</v>
      </c>
      <c r="H258" s="66">
        <f>일위대가!J1393</f>
        <v>18939</v>
      </c>
      <c r="I258" s="66">
        <f t="shared" si="49"/>
        <v>18939</v>
      </c>
      <c r="J258" s="66">
        <f>일위대가!L1393</f>
        <v>412</v>
      </c>
      <c r="K258" s="66">
        <f t="shared" si="50"/>
        <v>412</v>
      </c>
      <c r="L258" s="66">
        <f t="shared" si="47"/>
        <v>20370</v>
      </c>
      <c r="M258" s="66">
        <f t="shared" si="48"/>
        <v>20370</v>
      </c>
    </row>
    <row r="259" spans="1:13" s="57" customFormat="1" ht="15.2" customHeight="1">
      <c r="A259" s="67">
        <f t="shared" si="45"/>
        <v>244</v>
      </c>
      <c r="B259" s="63" t="s">
        <v>2839</v>
      </c>
      <c r="C259" s="64" t="s">
        <v>2840</v>
      </c>
      <c r="D259" s="65">
        <v>1</v>
      </c>
      <c r="E259" s="62" t="s">
        <v>2792</v>
      </c>
      <c r="F259" s="66">
        <f>일위대가!H1396</f>
        <v>7759</v>
      </c>
      <c r="G259" s="66">
        <f t="shared" si="46"/>
        <v>7759</v>
      </c>
      <c r="H259" s="66">
        <f>일위대가!J1396</f>
        <v>27168</v>
      </c>
      <c r="I259" s="66">
        <f t="shared" si="49"/>
        <v>27168</v>
      </c>
      <c r="J259" s="66">
        <f>일위대가!L1396</f>
        <v>13666</v>
      </c>
      <c r="K259" s="66">
        <f t="shared" si="50"/>
        <v>13666</v>
      </c>
      <c r="L259" s="66">
        <f t="shared" si="47"/>
        <v>48593</v>
      </c>
      <c r="M259" s="66">
        <f t="shared" si="48"/>
        <v>48593</v>
      </c>
    </row>
    <row r="260" spans="1:13" s="57" customFormat="1" ht="15.2" customHeight="1">
      <c r="A260" s="67">
        <f t="shared" si="45"/>
        <v>245</v>
      </c>
      <c r="B260" s="63" t="s">
        <v>2839</v>
      </c>
      <c r="C260" s="64" t="s">
        <v>2841</v>
      </c>
      <c r="D260" s="65">
        <v>1</v>
      </c>
      <c r="E260" s="62" t="s">
        <v>2792</v>
      </c>
      <c r="F260" s="66">
        <f>일위대가!H1399</f>
        <v>11505</v>
      </c>
      <c r="G260" s="66">
        <f t="shared" si="46"/>
        <v>11505</v>
      </c>
      <c r="H260" s="66">
        <f>일위대가!J1399</f>
        <v>27168</v>
      </c>
      <c r="I260" s="66">
        <f t="shared" si="49"/>
        <v>27168</v>
      </c>
      <c r="J260" s="66">
        <f>일위대가!L1399</f>
        <v>25849</v>
      </c>
      <c r="K260" s="66">
        <f t="shared" si="50"/>
        <v>25849</v>
      </c>
      <c r="L260" s="66">
        <f t="shared" si="47"/>
        <v>64522</v>
      </c>
      <c r="M260" s="66">
        <f t="shared" si="48"/>
        <v>64522</v>
      </c>
    </row>
    <row r="261" spans="1:13" s="57" customFormat="1" ht="15.2" customHeight="1">
      <c r="A261" s="67">
        <f t="shared" si="45"/>
        <v>246</v>
      </c>
      <c r="B261" s="63" t="s">
        <v>2839</v>
      </c>
      <c r="C261" s="64" t="s">
        <v>2842</v>
      </c>
      <c r="D261" s="65">
        <v>1</v>
      </c>
      <c r="E261" s="62" t="s">
        <v>2792</v>
      </c>
      <c r="F261" s="66">
        <f>일위대가!H1402</f>
        <v>14047</v>
      </c>
      <c r="G261" s="66">
        <f t="shared" si="46"/>
        <v>14047</v>
      </c>
      <c r="H261" s="66">
        <f>일위대가!J1402</f>
        <v>27168</v>
      </c>
      <c r="I261" s="66">
        <f t="shared" si="49"/>
        <v>27168</v>
      </c>
      <c r="J261" s="66">
        <f>일위대가!L1402</f>
        <v>38773</v>
      </c>
      <c r="K261" s="66">
        <f t="shared" si="50"/>
        <v>38773</v>
      </c>
      <c r="L261" s="66">
        <f t="shared" si="47"/>
        <v>79988</v>
      </c>
      <c r="M261" s="66">
        <f t="shared" si="48"/>
        <v>79988</v>
      </c>
    </row>
    <row r="262" spans="1:13" s="57" customFormat="1" ht="15.2" customHeight="1">
      <c r="A262" s="67">
        <f t="shared" si="45"/>
        <v>247</v>
      </c>
      <c r="B262" s="63" t="s">
        <v>2839</v>
      </c>
      <c r="C262" s="64" t="s">
        <v>2843</v>
      </c>
      <c r="D262" s="65">
        <v>1</v>
      </c>
      <c r="E262" s="62" t="s">
        <v>2792</v>
      </c>
      <c r="F262" s="66">
        <f>일위대가!H1405</f>
        <v>16054</v>
      </c>
      <c r="G262" s="66">
        <f t="shared" si="46"/>
        <v>16054</v>
      </c>
      <c r="H262" s="66">
        <f>일위대가!J1405</f>
        <v>27168</v>
      </c>
      <c r="I262" s="66">
        <f t="shared" si="49"/>
        <v>27168</v>
      </c>
      <c r="J262" s="66">
        <f>일위대가!L1405</f>
        <v>64516</v>
      </c>
      <c r="K262" s="66">
        <f t="shared" si="50"/>
        <v>64516</v>
      </c>
      <c r="L262" s="66">
        <f t="shared" si="47"/>
        <v>107738</v>
      </c>
      <c r="M262" s="66">
        <f t="shared" si="48"/>
        <v>107738</v>
      </c>
    </row>
    <row r="263" spans="1:13" s="57" customFormat="1" ht="15.2" customHeight="1">
      <c r="A263" s="67">
        <f t="shared" si="45"/>
        <v>248</v>
      </c>
      <c r="B263" s="63" t="s">
        <v>2839</v>
      </c>
      <c r="C263" s="64" t="s">
        <v>2844</v>
      </c>
      <c r="D263" s="65">
        <v>1</v>
      </c>
      <c r="E263" s="62" t="s">
        <v>2792</v>
      </c>
      <c r="F263" s="66">
        <f>일위대가!H1408</f>
        <v>23011</v>
      </c>
      <c r="G263" s="66">
        <f t="shared" si="46"/>
        <v>23011</v>
      </c>
      <c r="H263" s="66">
        <f>일위대가!J1408</f>
        <v>27168</v>
      </c>
      <c r="I263" s="66">
        <f t="shared" si="49"/>
        <v>27168</v>
      </c>
      <c r="J263" s="66">
        <f>일위대가!L1408</f>
        <v>68865</v>
      </c>
      <c r="K263" s="66">
        <f t="shared" si="50"/>
        <v>68865</v>
      </c>
      <c r="L263" s="66">
        <f t="shared" si="47"/>
        <v>119044</v>
      </c>
      <c r="M263" s="66">
        <f t="shared" si="48"/>
        <v>119044</v>
      </c>
    </row>
    <row r="264" spans="1:13" s="57" customFormat="1" ht="15.2" customHeight="1">
      <c r="A264" s="67">
        <f t="shared" si="45"/>
        <v>249</v>
      </c>
      <c r="B264" s="63" t="s">
        <v>2839</v>
      </c>
      <c r="C264" s="64" t="s">
        <v>2845</v>
      </c>
      <c r="D264" s="65">
        <v>1</v>
      </c>
      <c r="E264" s="62" t="s">
        <v>2792</v>
      </c>
      <c r="F264" s="66">
        <f>일위대가!H1411</f>
        <v>25553</v>
      </c>
      <c r="G264" s="66">
        <f t="shared" si="46"/>
        <v>25553</v>
      </c>
      <c r="H264" s="66">
        <f>일위대가!J1411</f>
        <v>27168</v>
      </c>
      <c r="I264" s="66">
        <f t="shared" si="49"/>
        <v>27168</v>
      </c>
      <c r="J264" s="66">
        <f>일위대가!L1411</f>
        <v>92916</v>
      </c>
      <c r="K264" s="66">
        <f t="shared" si="50"/>
        <v>92916</v>
      </c>
      <c r="L264" s="66">
        <f t="shared" si="47"/>
        <v>145637</v>
      </c>
      <c r="M264" s="66">
        <f t="shared" si="48"/>
        <v>145637</v>
      </c>
    </row>
    <row r="265" spans="1:13" s="57" customFormat="1" ht="15.2" customHeight="1">
      <c r="A265" s="67">
        <f t="shared" si="45"/>
        <v>250</v>
      </c>
      <c r="B265" s="63" t="s">
        <v>2839</v>
      </c>
      <c r="C265" s="64" t="s">
        <v>3246</v>
      </c>
      <c r="D265" s="65">
        <v>1</v>
      </c>
      <c r="E265" s="62" t="s">
        <v>2792</v>
      </c>
      <c r="F265" s="66">
        <f>일위대가!H1414</f>
        <v>5888</v>
      </c>
      <c r="G265" s="66">
        <f t="shared" si="46"/>
        <v>5888</v>
      </c>
      <c r="H265" s="66">
        <f>일위대가!J1414</f>
        <v>27168</v>
      </c>
      <c r="I265" s="66">
        <f t="shared" si="49"/>
        <v>27168</v>
      </c>
      <c r="J265" s="66">
        <f>일위대가!L1414</f>
        <v>25355</v>
      </c>
      <c r="K265" s="66">
        <f t="shared" si="50"/>
        <v>25355</v>
      </c>
      <c r="L265" s="66">
        <f t="shared" si="47"/>
        <v>58411</v>
      </c>
      <c r="M265" s="66">
        <f t="shared" si="48"/>
        <v>58411</v>
      </c>
    </row>
    <row r="266" spans="1:13" s="57" customFormat="1" ht="15.2" customHeight="1">
      <c r="A266" s="67">
        <f t="shared" si="45"/>
        <v>251</v>
      </c>
      <c r="B266" s="63" t="s">
        <v>2839</v>
      </c>
      <c r="C266" s="64" t="s">
        <v>3247</v>
      </c>
      <c r="D266" s="65">
        <v>1</v>
      </c>
      <c r="E266" s="62" t="s">
        <v>2792</v>
      </c>
      <c r="F266" s="66">
        <f>일위대가!H1417</f>
        <v>8368</v>
      </c>
      <c r="G266" s="66">
        <f t="shared" si="46"/>
        <v>8368</v>
      </c>
      <c r="H266" s="66">
        <f>일위대가!J1417</f>
        <v>27168</v>
      </c>
      <c r="I266" s="66">
        <f t="shared" si="49"/>
        <v>27168</v>
      </c>
      <c r="J266" s="66">
        <f>일위대가!L1417</f>
        <v>47994</v>
      </c>
      <c r="K266" s="66">
        <f t="shared" si="50"/>
        <v>47994</v>
      </c>
      <c r="L266" s="66">
        <f t="shared" si="47"/>
        <v>83530</v>
      </c>
      <c r="M266" s="66">
        <f t="shared" si="48"/>
        <v>83530</v>
      </c>
    </row>
    <row r="267" spans="1:13" s="57" customFormat="1" ht="15.2" customHeight="1">
      <c r="A267" s="67">
        <f t="shared" si="45"/>
        <v>252</v>
      </c>
      <c r="B267" s="63" t="s">
        <v>2839</v>
      </c>
      <c r="C267" s="64" t="s">
        <v>3248</v>
      </c>
      <c r="D267" s="65">
        <v>1</v>
      </c>
      <c r="E267" s="62" t="s">
        <v>2792</v>
      </c>
      <c r="F267" s="66">
        <f>일위대가!H1420</f>
        <v>11932</v>
      </c>
      <c r="G267" s="66">
        <f t="shared" si="46"/>
        <v>11932</v>
      </c>
      <c r="H267" s="66">
        <f>일위대가!J1420</f>
        <v>27168</v>
      </c>
      <c r="I267" s="66">
        <f t="shared" si="49"/>
        <v>27168</v>
      </c>
      <c r="J267" s="66">
        <f>일위대가!L1420</f>
        <v>49716</v>
      </c>
      <c r="K267" s="66">
        <f t="shared" si="50"/>
        <v>49716</v>
      </c>
      <c r="L267" s="66">
        <f t="shared" si="47"/>
        <v>88816</v>
      </c>
      <c r="M267" s="66">
        <f t="shared" si="48"/>
        <v>88816</v>
      </c>
    </row>
    <row r="268" spans="1:13" s="57" customFormat="1" ht="15.2" customHeight="1">
      <c r="A268" s="67">
        <f t="shared" si="45"/>
        <v>253</v>
      </c>
      <c r="B268" s="63" t="s">
        <v>2839</v>
      </c>
      <c r="C268" s="64" t="s">
        <v>3249</v>
      </c>
      <c r="D268" s="65">
        <v>1</v>
      </c>
      <c r="E268" s="62" t="s">
        <v>2792</v>
      </c>
      <c r="F268" s="66">
        <f>일위대가!H1423</f>
        <v>17503</v>
      </c>
      <c r="G268" s="66">
        <f t="shared" si="46"/>
        <v>17503</v>
      </c>
      <c r="H268" s="66">
        <f>일위대가!J1423</f>
        <v>27168</v>
      </c>
      <c r="I268" s="66">
        <f t="shared" si="49"/>
        <v>27168</v>
      </c>
      <c r="J268" s="66">
        <f>일위대가!L1423</f>
        <v>79894</v>
      </c>
      <c r="K268" s="66">
        <f t="shared" si="50"/>
        <v>79894</v>
      </c>
      <c r="L268" s="66">
        <f t="shared" si="47"/>
        <v>124565</v>
      </c>
      <c r="M268" s="66">
        <f t="shared" si="48"/>
        <v>124565</v>
      </c>
    </row>
    <row r="269" spans="1:13" s="57" customFormat="1" ht="15.2" customHeight="1">
      <c r="A269" s="67">
        <f t="shared" si="45"/>
        <v>254</v>
      </c>
      <c r="B269" s="63" t="s">
        <v>2839</v>
      </c>
      <c r="C269" s="64" t="s">
        <v>3250</v>
      </c>
      <c r="D269" s="65">
        <v>1</v>
      </c>
      <c r="E269" s="62" t="s">
        <v>2792</v>
      </c>
      <c r="F269" s="66">
        <f>일위대가!H1426</f>
        <v>18554</v>
      </c>
      <c r="G269" s="66">
        <f t="shared" si="46"/>
        <v>18554</v>
      </c>
      <c r="H269" s="66">
        <f>일위대가!J1426</f>
        <v>27168</v>
      </c>
      <c r="I269" s="66">
        <f t="shared" si="49"/>
        <v>27168</v>
      </c>
      <c r="J269" s="66">
        <f>일위대가!L1426</f>
        <v>82226</v>
      </c>
      <c r="K269" s="66">
        <f t="shared" si="50"/>
        <v>82226</v>
      </c>
      <c r="L269" s="66">
        <f t="shared" si="47"/>
        <v>127948</v>
      </c>
      <c r="M269" s="66">
        <f t="shared" si="48"/>
        <v>127948</v>
      </c>
    </row>
    <row r="270" spans="1:13" s="57" customFormat="1" ht="15.2" customHeight="1">
      <c r="A270" s="67">
        <f t="shared" si="45"/>
        <v>255</v>
      </c>
      <c r="B270" s="63" t="s">
        <v>2839</v>
      </c>
      <c r="C270" s="64" t="s">
        <v>3251</v>
      </c>
      <c r="D270" s="65">
        <v>1</v>
      </c>
      <c r="E270" s="62" t="s">
        <v>2792</v>
      </c>
      <c r="F270" s="66">
        <f>일위대가!H1429</f>
        <v>21529</v>
      </c>
      <c r="G270" s="66">
        <f>TRUNC(D270*F270)</f>
        <v>21529</v>
      </c>
      <c r="H270" s="66">
        <f>일위대가!J1429</f>
        <v>27168</v>
      </c>
      <c r="I270" s="66">
        <f>TRUNC(D270*H270)</f>
        <v>27168</v>
      </c>
      <c r="J270" s="66">
        <f>일위대가!L1429</f>
        <v>118068</v>
      </c>
      <c r="K270" s="66">
        <f>TRUNC(D270*J270)</f>
        <v>118068</v>
      </c>
      <c r="L270" s="66">
        <f>F270+H270+J270</f>
        <v>166765</v>
      </c>
      <c r="M270" s="66">
        <f>G270+I270+K270</f>
        <v>166765</v>
      </c>
    </row>
    <row r="271" spans="1:13" s="57" customFormat="1" ht="15.2" customHeight="1">
      <c r="A271" s="67">
        <f t="shared" si="45"/>
        <v>256</v>
      </c>
      <c r="B271" s="63" t="s">
        <v>2846</v>
      </c>
      <c r="C271" s="64" t="s">
        <v>3252</v>
      </c>
      <c r="D271" s="65">
        <v>1</v>
      </c>
      <c r="E271" s="62" t="s">
        <v>2808</v>
      </c>
      <c r="F271" s="66">
        <f>일위대가!H1432</f>
        <v>6823</v>
      </c>
      <c r="G271" s="66">
        <f t="shared" si="46"/>
        <v>6823</v>
      </c>
      <c r="H271" s="66">
        <f>일위대가!J1432</f>
        <v>24483</v>
      </c>
      <c r="I271" s="66">
        <f t="shared" si="49"/>
        <v>24483</v>
      </c>
      <c r="J271" s="66">
        <f>일위대가!L1432</f>
        <v>8500</v>
      </c>
      <c r="K271" s="66">
        <f t="shared" si="50"/>
        <v>8500</v>
      </c>
      <c r="L271" s="66">
        <f t="shared" si="47"/>
        <v>39806</v>
      </c>
      <c r="M271" s="66">
        <f t="shared" si="48"/>
        <v>39806</v>
      </c>
    </row>
    <row r="272" spans="1:13" s="57" customFormat="1" ht="15.2" customHeight="1">
      <c r="A272" s="67">
        <f t="shared" si="45"/>
        <v>257</v>
      </c>
      <c r="B272" s="63" t="s">
        <v>2847</v>
      </c>
      <c r="C272" s="64" t="s">
        <v>2848</v>
      </c>
      <c r="D272" s="65">
        <v>1</v>
      </c>
      <c r="E272" s="62" t="s">
        <v>2808</v>
      </c>
      <c r="F272" s="66">
        <f>일위대가!H1435</f>
        <v>1739</v>
      </c>
      <c r="G272" s="66">
        <f t="shared" si="46"/>
        <v>1739</v>
      </c>
      <c r="H272" s="66">
        <f>일위대가!J1435</f>
        <v>18939</v>
      </c>
      <c r="I272" s="66">
        <f t="shared" si="49"/>
        <v>18939</v>
      </c>
      <c r="J272" s="66">
        <f>일위대가!L1435</f>
        <v>559</v>
      </c>
      <c r="K272" s="66">
        <f t="shared" si="50"/>
        <v>559</v>
      </c>
      <c r="L272" s="66">
        <f t="shared" si="47"/>
        <v>21237</v>
      </c>
      <c r="M272" s="66">
        <f t="shared" si="48"/>
        <v>21237</v>
      </c>
    </row>
    <row r="273" spans="1:13" s="57" customFormat="1" ht="15.2" customHeight="1">
      <c r="A273" s="67">
        <f t="shared" si="45"/>
        <v>258</v>
      </c>
      <c r="B273" s="63" t="s">
        <v>2849</v>
      </c>
      <c r="C273" s="64" t="s">
        <v>2850</v>
      </c>
      <c r="D273" s="65">
        <v>1</v>
      </c>
      <c r="E273" s="62" t="s">
        <v>2808</v>
      </c>
      <c r="F273" s="66">
        <f>일위대가!H1438</f>
        <v>13231</v>
      </c>
      <c r="G273" s="66">
        <f t="shared" si="46"/>
        <v>13231</v>
      </c>
      <c r="H273" s="66">
        <f>일위대가!J1438</f>
        <v>24483</v>
      </c>
      <c r="I273" s="66">
        <f t="shared" si="49"/>
        <v>24483</v>
      </c>
      <c r="J273" s="66">
        <f>일위대가!L1438</f>
        <v>3374</v>
      </c>
      <c r="K273" s="66">
        <f t="shared" si="50"/>
        <v>3374</v>
      </c>
      <c r="L273" s="66">
        <f t="shared" si="47"/>
        <v>41088</v>
      </c>
      <c r="M273" s="66">
        <f t="shared" si="48"/>
        <v>41088</v>
      </c>
    </row>
    <row r="274" spans="1:13" s="57" customFormat="1" ht="15.2" customHeight="1">
      <c r="A274" s="67">
        <f t="shared" si="45"/>
        <v>259</v>
      </c>
      <c r="B274" s="63" t="s">
        <v>2851</v>
      </c>
      <c r="C274" s="64" t="s">
        <v>2820</v>
      </c>
      <c r="D274" s="65">
        <v>1</v>
      </c>
      <c r="E274" s="62" t="s">
        <v>2808</v>
      </c>
      <c r="F274" s="66">
        <f>일위대가!H1441</f>
        <v>25570</v>
      </c>
      <c r="G274" s="66">
        <f t="shared" si="46"/>
        <v>25570</v>
      </c>
      <c r="H274" s="66">
        <f>일위대가!J1441</f>
        <v>24483</v>
      </c>
      <c r="I274" s="66">
        <f t="shared" si="49"/>
        <v>24483</v>
      </c>
      <c r="J274" s="66">
        <f>일위대가!L1441</f>
        <v>14520</v>
      </c>
      <c r="K274" s="66">
        <f t="shared" si="50"/>
        <v>14520</v>
      </c>
      <c r="L274" s="66">
        <f t="shared" si="47"/>
        <v>64573</v>
      </c>
      <c r="M274" s="66">
        <f t="shared" si="48"/>
        <v>64573</v>
      </c>
    </row>
    <row r="275" spans="1:13" s="57" customFormat="1" ht="15.2" customHeight="1">
      <c r="A275" s="67">
        <f t="shared" si="45"/>
        <v>260</v>
      </c>
      <c r="B275" s="63" t="s">
        <v>2851</v>
      </c>
      <c r="C275" s="64" t="s">
        <v>2852</v>
      </c>
      <c r="D275" s="65">
        <v>1</v>
      </c>
      <c r="E275" s="62" t="s">
        <v>2808</v>
      </c>
      <c r="F275" s="66">
        <f>일위대가!H1444</f>
        <v>26655</v>
      </c>
      <c r="G275" s="66">
        <f t="shared" si="46"/>
        <v>26655</v>
      </c>
      <c r="H275" s="66">
        <f>일위대가!J1444</f>
        <v>24483</v>
      </c>
      <c r="I275" s="66">
        <f t="shared" si="49"/>
        <v>24483</v>
      </c>
      <c r="J275" s="66">
        <f>일위대가!L1444</f>
        <v>19565</v>
      </c>
      <c r="K275" s="66">
        <f t="shared" si="50"/>
        <v>19565</v>
      </c>
      <c r="L275" s="66">
        <f t="shared" si="47"/>
        <v>70703</v>
      </c>
      <c r="M275" s="66">
        <f t="shared" si="48"/>
        <v>70703</v>
      </c>
    </row>
    <row r="276" spans="1:13" s="57" customFormat="1" ht="15.2" customHeight="1">
      <c r="A276" s="67">
        <f t="shared" si="45"/>
        <v>261</v>
      </c>
      <c r="B276" s="63" t="s">
        <v>2851</v>
      </c>
      <c r="C276" s="64" t="s">
        <v>2853</v>
      </c>
      <c r="D276" s="65">
        <v>1</v>
      </c>
      <c r="E276" s="62" t="s">
        <v>2808</v>
      </c>
      <c r="F276" s="66">
        <f>일위대가!H1447</f>
        <v>31769</v>
      </c>
      <c r="G276" s="66">
        <f t="shared" si="46"/>
        <v>31769</v>
      </c>
      <c r="H276" s="66">
        <f>일위대가!J1447</f>
        <v>24483</v>
      </c>
      <c r="I276" s="66">
        <f t="shared" si="49"/>
        <v>24483</v>
      </c>
      <c r="J276" s="66">
        <f>일위대가!L1447</f>
        <v>25812</v>
      </c>
      <c r="K276" s="66">
        <f t="shared" si="50"/>
        <v>25812</v>
      </c>
      <c r="L276" s="66">
        <f t="shared" si="47"/>
        <v>82064</v>
      </c>
      <c r="M276" s="66">
        <f t="shared" si="48"/>
        <v>82064</v>
      </c>
    </row>
    <row r="277" spans="1:13" s="57" customFormat="1" ht="15.2" customHeight="1">
      <c r="A277" s="67">
        <f t="shared" si="45"/>
        <v>262</v>
      </c>
      <c r="B277" s="63" t="s">
        <v>2851</v>
      </c>
      <c r="C277" s="64" t="s">
        <v>2854</v>
      </c>
      <c r="D277" s="65">
        <v>1</v>
      </c>
      <c r="E277" s="62" t="s">
        <v>2808</v>
      </c>
      <c r="F277" s="66">
        <f>일위대가!H1450</f>
        <v>40757</v>
      </c>
      <c r="G277" s="66">
        <f t="shared" si="46"/>
        <v>40757</v>
      </c>
      <c r="H277" s="66">
        <f>일위대가!J1450</f>
        <v>24483</v>
      </c>
      <c r="I277" s="66">
        <f t="shared" si="49"/>
        <v>24483</v>
      </c>
      <c r="J277" s="66">
        <f>일위대가!L1450</f>
        <v>36137</v>
      </c>
      <c r="K277" s="66">
        <f t="shared" si="50"/>
        <v>36137</v>
      </c>
      <c r="L277" s="66">
        <f t="shared" si="47"/>
        <v>101377</v>
      </c>
      <c r="M277" s="66">
        <f t="shared" si="48"/>
        <v>101377</v>
      </c>
    </row>
    <row r="278" spans="1:13" s="57" customFormat="1" ht="15.2" customHeight="1">
      <c r="A278" s="67">
        <f t="shared" si="45"/>
        <v>263</v>
      </c>
      <c r="B278" s="63" t="s">
        <v>2855</v>
      </c>
      <c r="C278" s="64" t="s">
        <v>2856</v>
      </c>
      <c r="D278" s="65">
        <v>1</v>
      </c>
      <c r="E278" s="62" t="s">
        <v>2808</v>
      </c>
      <c r="F278" s="66">
        <f>일위대가!H1453</f>
        <v>15508</v>
      </c>
      <c r="G278" s="66">
        <f t="shared" si="46"/>
        <v>15508</v>
      </c>
      <c r="H278" s="66">
        <f>일위대가!J1453</f>
        <v>27168</v>
      </c>
      <c r="I278" s="66">
        <f t="shared" si="49"/>
        <v>27168</v>
      </c>
      <c r="J278" s="66">
        <f>일위대가!L1453</f>
        <v>40728</v>
      </c>
      <c r="K278" s="66">
        <f t="shared" si="50"/>
        <v>40728</v>
      </c>
      <c r="L278" s="66">
        <f t="shared" si="47"/>
        <v>83404</v>
      </c>
      <c r="M278" s="66">
        <f t="shared" si="48"/>
        <v>83404</v>
      </c>
    </row>
    <row r="279" spans="1:13" s="57" customFormat="1" ht="15.2" customHeight="1">
      <c r="A279" s="67">
        <f t="shared" si="45"/>
        <v>264</v>
      </c>
      <c r="B279" s="63" t="s">
        <v>2857</v>
      </c>
      <c r="C279" s="64" t="s">
        <v>2858</v>
      </c>
      <c r="D279" s="65">
        <v>1</v>
      </c>
      <c r="E279" s="62" t="s">
        <v>2808</v>
      </c>
      <c r="F279" s="66">
        <f>일위대가!H1456</f>
        <v>15190</v>
      </c>
      <c r="G279" s="66">
        <f t="shared" si="46"/>
        <v>15190</v>
      </c>
      <c r="H279" s="66">
        <f>일위대가!J1456</f>
        <v>27168</v>
      </c>
      <c r="I279" s="66">
        <f t="shared" si="49"/>
        <v>27168</v>
      </c>
      <c r="J279" s="66">
        <f>일위대가!L1456</f>
        <v>13784</v>
      </c>
      <c r="K279" s="66">
        <f t="shared" si="50"/>
        <v>13784</v>
      </c>
      <c r="L279" s="66">
        <f t="shared" si="47"/>
        <v>56142</v>
      </c>
      <c r="M279" s="66">
        <f t="shared" si="48"/>
        <v>56142</v>
      </c>
    </row>
    <row r="280" spans="1:13" s="57" customFormat="1" ht="15.2" customHeight="1">
      <c r="A280" s="67">
        <f t="shared" si="45"/>
        <v>265</v>
      </c>
      <c r="B280" s="63" t="s">
        <v>2859</v>
      </c>
      <c r="C280" s="64" t="s">
        <v>2860</v>
      </c>
      <c r="D280" s="65">
        <v>1</v>
      </c>
      <c r="E280" s="62" t="s">
        <v>2808</v>
      </c>
      <c r="F280" s="66">
        <f>일위대가!H1459</f>
        <v>5267</v>
      </c>
      <c r="G280" s="66">
        <f t="shared" si="46"/>
        <v>5267</v>
      </c>
      <c r="H280" s="66">
        <f>일위대가!J1459</f>
        <v>18939</v>
      </c>
      <c r="I280" s="66">
        <f t="shared" si="49"/>
        <v>18939</v>
      </c>
      <c r="J280" s="66">
        <f>일위대가!L1459</f>
        <v>4811</v>
      </c>
      <c r="K280" s="66">
        <f t="shared" si="50"/>
        <v>4811</v>
      </c>
      <c r="L280" s="66">
        <f t="shared" si="47"/>
        <v>29017</v>
      </c>
      <c r="M280" s="66">
        <f t="shared" si="48"/>
        <v>29017</v>
      </c>
    </row>
    <row r="281" spans="1:13" s="57" customFormat="1" ht="15.2" customHeight="1">
      <c r="A281" s="67">
        <f t="shared" si="45"/>
        <v>266</v>
      </c>
      <c r="B281" s="63" t="s">
        <v>2861</v>
      </c>
      <c r="C281" s="64" t="s">
        <v>2862</v>
      </c>
      <c r="D281" s="65">
        <v>1</v>
      </c>
      <c r="E281" s="62" t="s">
        <v>2808</v>
      </c>
      <c r="F281" s="66">
        <f>일위대가!H1462</f>
        <v>8899</v>
      </c>
      <c r="G281" s="66">
        <f t="shared" si="46"/>
        <v>8899</v>
      </c>
      <c r="H281" s="66">
        <f>일위대가!J1462</f>
        <v>18939</v>
      </c>
      <c r="I281" s="66">
        <f t="shared" si="49"/>
        <v>18939</v>
      </c>
      <c r="J281" s="66">
        <f>일위대가!L1462</f>
        <v>1460</v>
      </c>
      <c r="K281" s="66">
        <f t="shared" si="50"/>
        <v>1460</v>
      </c>
      <c r="L281" s="66">
        <f t="shared" si="47"/>
        <v>29298</v>
      </c>
      <c r="M281" s="66">
        <f t="shared" si="48"/>
        <v>29298</v>
      </c>
    </row>
    <row r="282" spans="1:13" s="57" customFormat="1" ht="15.2" customHeight="1">
      <c r="A282" s="67">
        <f t="shared" si="45"/>
        <v>267</v>
      </c>
      <c r="B282" s="63" t="s">
        <v>2863</v>
      </c>
      <c r="C282" s="64" t="s">
        <v>2864</v>
      </c>
      <c r="D282" s="65">
        <v>1</v>
      </c>
      <c r="E282" s="62" t="s">
        <v>2808</v>
      </c>
      <c r="F282" s="66">
        <f>일위대가!H1465</f>
        <v>26038</v>
      </c>
      <c r="G282" s="66">
        <f t="shared" si="46"/>
        <v>26038</v>
      </c>
      <c r="H282" s="66">
        <f>일위대가!J1465</f>
        <v>27168</v>
      </c>
      <c r="I282" s="66">
        <f t="shared" si="49"/>
        <v>27168</v>
      </c>
      <c r="J282" s="66">
        <f>일위대가!L1465</f>
        <v>55150</v>
      </c>
      <c r="K282" s="66">
        <f t="shared" si="50"/>
        <v>55150</v>
      </c>
      <c r="L282" s="66">
        <f t="shared" si="47"/>
        <v>108356</v>
      </c>
      <c r="M282" s="66">
        <f t="shared" si="48"/>
        <v>108356</v>
      </c>
    </row>
    <row r="283" spans="1:13" s="57" customFormat="1" ht="15.2" customHeight="1">
      <c r="A283" s="67">
        <f t="shared" si="45"/>
        <v>268</v>
      </c>
      <c r="B283" s="63" t="s">
        <v>2865</v>
      </c>
      <c r="C283" s="64" t="s">
        <v>2866</v>
      </c>
      <c r="D283" s="65">
        <v>1</v>
      </c>
      <c r="E283" s="62" t="s">
        <v>2808</v>
      </c>
      <c r="F283" s="66">
        <f>일위대가!H1470</f>
        <v>1456</v>
      </c>
      <c r="G283" s="66">
        <f t="shared" si="46"/>
        <v>1456</v>
      </c>
      <c r="H283" s="66">
        <f>일위대가!J1470</f>
        <v>0</v>
      </c>
      <c r="I283" s="66">
        <f t="shared" si="49"/>
        <v>0</v>
      </c>
      <c r="J283" s="66">
        <f>일위대가!L1470</f>
        <v>251</v>
      </c>
      <c r="K283" s="66">
        <f t="shared" si="50"/>
        <v>251</v>
      </c>
      <c r="L283" s="66">
        <f t="shared" si="47"/>
        <v>1707</v>
      </c>
      <c r="M283" s="66">
        <f t="shared" si="48"/>
        <v>1707</v>
      </c>
    </row>
    <row r="284" spans="1:13" s="57" customFormat="1" ht="15.2" customHeight="1">
      <c r="A284" s="67">
        <f t="shared" si="45"/>
        <v>269</v>
      </c>
      <c r="B284" s="63" t="s">
        <v>2865</v>
      </c>
      <c r="C284" s="64" t="s">
        <v>2867</v>
      </c>
      <c r="D284" s="65">
        <v>1</v>
      </c>
      <c r="E284" s="62"/>
      <c r="F284" s="66">
        <f>일위대가!H1473</f>
        <v>0</v>
      </c>
      <c r="G284" s="66">
        <f t="shared" si="46"/>
        <v>0</v>
      </c>
      <c r="H284" s="66">
        <f>일위대가!J1473</f>
        <v>0</v>
      </c>
      <c r="I284" s="66">
        <f t="shared" si="49"/>
        <v>0</v>
      </c>
      <c r="J284" s="66">
        <f>일위대가!L1473</f>
        <v>79</v>
      </c>
      <c r="K284" s="66">
        <f t="shared" si="50"/>
        <v>79</v>
      </c>
      <c r="L284" s="66">
        <f t="shared" si="47"/>
        <v>79</v>
      </c>
      <c r="M284" s="66">
        <f t="shared" si="48"/>
        <v>79</v>
      </c>
    </row>
    <row r="285" spans="1:13" s="57" customFormat="1" ht="15.2" customHeight="1">
      <c r="A285" s="67">
        <f t="shared" si="45"/>
        <v>270</v>
      </c>
      <c r="B285" s="63" t="s">
        <v>2868</v>
      </c>
      <c r="C285" s="64" t="s">
        <v>2869</v>
      </c>
      <c r="D285" s="65">
        <v>1</v>
      </c>
      <c r="E285" s="62" t="s">
        <v>2808</v>
      </c>
      <c r="F285" s="66">
        <f>일위대가!H1476</f>
        <v>8018</v>
      </c>
      <c r="G285" s="66">
        <f t="shared" si="46"/>
        <v>8018</v>
      </c>
      <c r="H285" s="66">
        <f>일위대가!J1476</f>
        <v>27168</v>
      </c>
      <c r="I285" s="66">
        <f t="shared" si="49"/>
        <v>27168</v>
      </c>
      <c r="J285" s="66">
        <f>일위대가!L1476</f>
        <v>2066</v>
      </c>
      <c r="K285" s="66">
        <f t="shared" si="50"/>
        <v>2066</v>
      </c>
      <c r="L285" s="66">
        <f t="shared" si="47"/>
        <v>37252</v>
      </c>
      <c r="M285" s="66">
        <f t="shared" si="48"/>
        <v>37252</v>
      </c>
    </row>
    <row r="286" spans="1:13" s="57" customFormat="1" ht="15.2" customHeight="1">
      <c r="A286" s="67">
        <f t="shared" si="45"/>
        <v>271</v>
      </c>
      <c r="B286" s="63" t="s">
        <v>2868</v>
      </c>
      <c r="C286" s="64" t="s">
        <v>2870</v>
      </c>
      <c r="D286" s="65">
        <v>1</v>
      </c>
      <c r="E286" s="62" t="s">
        <v>2808</v>
      </c>
      <c r="F286" s="66">
        <f>일위대가!H1479</f>
        <v>18364</v>
      </c>
      <c r="G286" s="66">
        <f t="shared" si="46"/>
        <v>18364</v>
      </c>
      <c r="H286" s="66">
        <f>일위대가!J1479</f>
        <v>27168</v>
      </c>
      <c r="I286" s="66">
        <f t="shared" si="49"/>
        <v>27168</v>
      </c>
      <c r="J286" s="66">
        <f>일위대가!L1479</f>
        <v>4611</v>
      </c>
      <c r="K286" s="66">
        <f t="shared" si="50"/>
        <v>4611</v>
      </c>
      <c r="L286" s="66">
        <f t="shared" si="47"/>
        <v>50143</v>
      </c>
      <c r="M286" s="66">
        <f t="shared" si="48"/>
        <v>50143</v>
      </c>
    </row>
    <row r="287" spans="1:13" s="57" customFormat="1" ht="15.2" customHeight="1">
      <c r="A287" s="67">
        <f t="shared" si="45"/>
        <v>272</v>
      </c>
      <c r="B287" s="63" t="s">
        <v>2868</v>
      </c>
      <c r="C287" s="64" t="s">
        <v>2871</v>
      </c>
      <c r="D287" s="65">
        <v>1</v>
      </c>
      <c r="E287" s="62" t="s">
        <v>2808</v>
      </c>
      <c r="F287" s="66">
        <f>일위대가!H1482</f>
        <v>30392</v>
      </c>
      <c r="G287" s="66">
        <f t="shared" si="46"/>
        <v>30392</v>
      </c>
      <c r="H287" s="66">
        <f>일위대가!J1482</f>
        <v>27168</v>
      </c>
      <c r="I287" s="66">
        <f t="shared" si="49"/>
        <v>27168</v>
      </c>
      <c r="J287" s="66">
        <f>일위대가!L1482</f>
        <v>4918</v>
      </c>
      <c r="K287" s="66">
        <f t="shared" si="50"/>
        <v>4918</v>
      </c>
      <c r="L287" s="66">
        <f t="shared" si="47"/>
        <v>62478</v>
      </c>
      <c r="M287" s="66">
        <f t="shared" si="48"/>
        <v>62478</v>
      </c>
    </row>
    <row r="288" spans="1:13" s="57" customFormat="1" ht="15.2" customHeight="1">
      <c r="A288" s="67">
        <f t="shared" si="45"/>
        <v>273</v>
      </c>
      <c r="B288" s="63" t="s">
        <v>2872</v>
      </c>
      <c r="C288" s="64" t="s">
        <v>2873</v>
      </c>
      <c r="D288" s="65">
        <v>1</v>
      </c>
      <c r="E288" s="62" t="s">
        <v>2808</v>
      </c>
      <c r="F288" s="66">
        <f>일위대가!H1485</f>
        <v>0</v>
      </c>
      <c r="G288" s="66">
        <f t="shared" si="46"/>
        <v>0</v>
      </c>
      <c r="H288" s="66">
        <f>일위대가!J1485</f>
        <v>0</v>
      </c>
      <c r="I288" s="66">
        <f t="shared" si="49"/>
        <v>0</v>
      </c>
      <c r="J288" s="66">
        <f>일위대가!L1485</f>
        <v>412</v>
      </c>
      <c r="K288" s="66">
        <f t="shared" si="50"/>
        <v>412</v>
      </c>
      <c r="L288" s="66">
        <f t="shared" si="47"/>
        <v>412</v>
      </c>
      <c r="M288" s="66">
        <f t="shared" si="48"/>
        <v>412</v>
      </c>
    </row>
    <row r="289" spans="1:14" s="57" customFormat="1" ht="15.2" customHeight="1">
      <c r="A289" s="67">
        <f t="shared" si="45"/>
        <v>274</v>
      </c>
      <c r="B289" s="63" t="s">
        <v>2874</v>
      </c>
      <c r="C289" s="64" t="s">
        <v>2871</v>
      </c>
      <c r="D289" s="65">
        <v>1</v>
      </c>
      <c r="E289" s="62" t="s">
        <v>2808</v>
      </c>
      <c r="F289" s="66">
        <f>일위대가!H1488</f>
        <v>0</v>
      </c>
      <c r="G289" s="66">
        <f t="shared" si="46"/>
        <v>0</v>
      </c>
      <c r="H289" s="66">
        <f>일위대가!J1488</f>
        <v>27168</v>
      </c>
      <c r="I289" s="66">
        <f t="shared" si="49"/>
        <v>27168</v>
      </c>
      <c r="J289" s="66">
        <f>일위대가!L1488</f>
        <v>10113</v>
      </c>
      <c r="K289" s="66">
        <f t="shared" si="50"/>
        <v>10113</v>
      </c>
      <c r="L289" s="66">
        <f t="shared" si="47"/>
        <v>37281</v>
      </c>
      <c r="M289" s="66">
        <f t="shared" si="48"/>
        <v>37281</v>
      </c>
    </row>
    <row r="290" spans="1:14" s="57" customFormat="1" ht="15.2" customHeight="1">
      <c r="A290" s="67">
        <f t="shared" si="45"/>
        <v>275</v>
      </c>
      <c r="B290" s="63" t="s">
        <v>2875</v>
      </c>
      <c r="C290" s="64" t="s">
        <v>2876</v>
      </c>
      <c r="D290" s="65">
        <v>1</v>
      </c>
      <c r="E290" s="62" t="s">
        <v>2808</v>
      </c>
      <c r="F290" s="66">
        <f>일위대가!H1491</f>
        <v>0</v>
      </c>
      <c r="G290" s="66">
        <f t="shared" si="46"/>
        <v>0</v>
      </c>
      <c r="H290" s="66">
        <f>일위대가!J1491</f>
        <v>0</v>
      </c>
      <c r="I290" s="66">
        <f t="shared" si="49"/>
        <v>0</v>
      </c>
      <c r="J290" s="66">
        <f>일위대가!L1491</f>
        <v>703</v>
      </c>
      <c r="K290" s="66">
        <f t="shared" si="50"/>
        <v>703</v>
      </c>
      <c r="L290" s="66">
        <f t="shared" si="47"/>
        <v>703</v>
      </c>
      <c r="M290" s="66">
        <f t="shared" si="48"/>
        <v>703</v>
      </c>
    </row>
    <row r="291" spans="1:14" s="57" customFormat="1" ht="15.2" customHeight="1">
      <c r="A291" s="67">
        <f t="shared" si="45"/>
        <v>276</v>
      </c>
      <c r="B291" s="63" t="s">
        <v>2877</v>
      </c>
      <c r="C291" s="64" t="s">
        <v>2878</v>
      </c>
      <c r="D291" s="65">
        <v>1</v>
      </c>
      <c r="E291" s="62" t="s">
        <v>2808</v>
      </c>
      <c r="F291" s="66">
        <f>일위대가!H1494</f>
        <v>0</v>
      </c>
      <c r="G291" s="66">
        <f t="shared" si="46"/>
        <v>0</v>
      </c>
      <c r="H291" s="66">
        <f>일위대가!J1494</f>
        <v>0</v>
      </c>
      <c r="I291" s="66">
        <f t="shared" si="49"/>
        <v>0</v>
      </c>
      <c r="J291" s="66">
        <f>일위대가!L1494</f>
        <v>54</v>
      </c>
      <c r="K291" s="66">
        <f t="shared" si="50"/>
        <v>54</v>
      </c>
      <c r="L291" s="66">
        <f t="shared" si="47"/>
        <v>54</v>
      </c>
      <c r="M291" s="66">
        <f t="shared" si="48"/>
        <v>54</v>
      </c>
    </row>
    <row r="292" spans="1:14" s="57" customFormat="1" ht="15.2" customHeight="1">
      <c r="A292" s="67">
        <f t="shared" si="45"/>
        <v>277</v>
      </c>
      <c r="B292" s="63" t="s">
        <v>2879</v>
      </c>
      <c r="C292" s="64" t="s">
        <v>2880</v>
      </c>
      <c r="D292" s="65">
        <v>1</v>
      </c>
      <c r="E292" s="62" t="s">
        <v>2808</v>
      </c>
      <c r="F292" s="66">
        <f>일위대가!H1497</f>
        <v>68156</v>
      </c>
      <c r="G292" s="66">
        <f t="shared" si="46"/>
        <v>68156</v>
      </c>
      <c r="H292" s="66">
        <f>일위대가!J1497</f>
        <v>27168</v>
      </c>
      <c r="I292" s="66">
        <f t="shared" si="49"/>
        <v>27168</v>
      </c>
      <c r="J292" s="66">
        <f>일위대가!L1497</f>
        <v>164374</v>
      </c>
      <c r="K292" s="66">
        <f t="shared" si="50"/>
        <v>164374</v>
      </c>
      <c r="L292" s="66">
        <f t="shared" si="47"/>
        <v>259698</v>
      </c>
      <c r="M292" s="66">
        <f t="shared" si="48"/>
        <v>259698</v>
      </c>
    </row>
    <row r="293" spans="1:14" s="57" customFormat="1" ht="15.2" customHeight="1">
      <c r="A293" s="67">
        <f t="shared" si="45"/>
        <v>278</v>
      </c>
      <c r="B293" s="63" t="s">
        <v>2881</v>
      </c>
      <c r="C293" s="64" t="s">
        <v>2882</v>
      </c>
      <c r="D293" s="65">
        <v>1</v>
      </c>
      <c r="E293" s="62" t="s">
        <v>2808</v>
      </c>
      <c r="F293" s="66">
        <f>일위대가!H1500</f>
        <v>11068</v>
      </c>
      <c r="G293" s="66">
        <f t="shared" si="46"/>
        <v>11068</v>
      </c>
      <c r="H293" s="66">
        <f>일위대가!J1500</f>
        <v>27168</v>
      </c>
      <c r="I293" s="66">
        <f t="shared" si="49"/>
        <v>27168</v>
      </c>
      <c r="J293" s="66">
        <f>일위대가!L1500</f>
        <v>6974</v>
      </c>
      <c r="K293" s="66">
        <f t="shared" si="50"/>
        <v>6974</v>
      </c>
      <c r="L293" s="66">
        <f t="shared" si="47"/>
        <v>45210</v>
      </c>
      <c r="M293" s="66">
        <f t="shared" si="48"/>
        <v>45210</v>
      </c>
    </row>
    <row r="294" spans="1:14" s="57" customFormat="1" ht="15.2" customHeight="1">
      <c r="A294" s="67">
        <f t="shared" si="45"/>
        <v>279</v>
      </c>
      <c r="B294" s="63" t="s">
        <v>2881</v>
      </c>
      <c r="C294" s="64" t="s">
        <v>2883</v>
      </c>
      <c r="D294" s="65">
        <v>1</v>
      </c>
      <c r="E294" s="62" t="s">
        <v>2808</v>
      </c>
      <c r="F294" s="66">
        <f>일위대가!H1503</f>
        <v>17891</v>
      </c>
      <c r="G294" s="66">
        <f t="shared" si="46"/>
        <v>17891</v>
      </c>
      <c r="H294" s="66">
        <f>일위대가!J1503</f>
        <v>27168</v>
      </c>
      <c r="I294" s="66">
        <f t="shared" si="49"/>
        <v>27168</v>
      </c>
      <c r="J294" s="66">
        <f>일위대가!L1503</f>
        <v>10528</v>
      </c>
      <c r="K294" s="66">
        <f t="shared" si="50"/>
        <v>10528</v>
      </c>
      <c r="L294" s="66">
        <f t="shared" si="47"/>
        <v>55587</v>
      </c>
      <c r="M294" s="66">
        <f t="shared" si="48"/>
        <v>55587</v>
      </c>
    </row>
    <row r="295" spans="1:14" s="57" customFormat="1" ht="15.2" customHeight="1">
      <c r="A295" s="67">
        <f t="shared" si="45"/>
        <v>280</v>
      </c>
      <c r="B295" s="63" t="s">
        <v>2884</v>
      </c>
      <c r="C295" s="64" t="s">
        <v>2885</v>
      </c>
      <c r="D295" s="65">
        <v>1</v>
      </c>
      <c r="E295" s="62" t="s">
        <v>2808</v>
      </c>
      <c r="F295" s="66">
        <f>일위대가!H1506</f>
        <v>0</v>
      </c>
      <c r="G295" s="66">
        <f t="shared" si="46"/>
        <v>0</v>
      </c>
      <c r="H295" s="66">
        <f>일위대가!J1506</f>
        <v>0</v>
      </c>
      <c r="I295" s="66">
        <f t="shared" si="49"/>
        <v>0</v>
      </c>
      <c r="J295" s="66">
        <f>일위대가!L1506</f>
        <v>17539</v>
      </c>
      <c r="K295" s="66">
        <f t="shared" si="50"/>
        <v>17539</v>
      </c>
      <c r="L295" s="66">
        <f t="shared" si="47"/>
        <v>17539</v>
      </c>
      <c r="M295" s="66">
        <f t="shared" si="48"/>
        <v>17539</v>
      </c>
    </row>
    <row r="296" spans="1:14" s="57" customFormat="1" ht="15.2" customHeight="1">
      <c r="A296" s="67">
        <f t="shared" si="45"/>
        <v>281</v>
      </c>
      <c r="B296" s="63" t="s">
        <v>2884</v>
      </c>
      <c r="C296" s="64" t="s">
        <v>2886</v>
      </c>
      <c r="D296" s="65">
        <v>1</v>
      </c>
      <c r="E296" s="62" t="s">
        <v>2808</v>
      </c>
      <c r="F296" s="66">
        <f>일위대가!H1509</f>
        <v>0</v>
      </c>
      <c r="G296" s="66">
        <f t="shared" si="46"/>
        <v>0</v>
      </c>
      <c r="H296" s="66">
        <f>일위대가!J1509</f>
        <v>0</v>
      </c>
      <c r="I296" s="66">
        <f t="shared" si="49"/>
        <v>0</v>
      </c>
      <c r="J296" s="66">
        <f>일위대가!L1509</f>
        <v>31324</v>
      </c>
      <c r="K296" s="66">
        <f t="shared" si="50"/>
        <v>31324</v>
      </c>
      <c r="L296" s="66">
        <f t="shared" si="47"/>
        <v>31324</v>
      </c>
      <c r="M296" s="66">
        <f t="shared" si="48"/>
        <v>31324</v>
      </c>
    </row>
    <row r="297" spans="1:14" s="57" customFormat="1" ht="15.2" customHeight="1">
      <c r="A297" s="67">
        <f t="shared" si="45"/>
        <v>282</v>
      </c>
      <c r="B297" s="63" t="s">
        <v>2887</v>
      </c>
      <c r="C297" s="64" t="s">
        <v>2888</v>
      </c>
      <c r="D297" s="65">
        <v>1</v>
      </c>
      <c r="E297" s="62" t="s">
        <v>2797</v>
      </c>
      <c r="F297" s="66">
        <f>일위대가!H1512</f>
        <v>13479</v>
      </c>
      <c r="G297" s="66">
        <f t="shared" si="46"/>
        <v>13479</v>
      </c>
      <c r="H297" s="66">
        <f>일위대가!J1512</f>
        <v>24483</v>
      </c>
      <c r="I297" s="66">
        <f t="shared" si="49"/>
        <v>24483</v>
      </c>
      <c r="J297" s="66">
        <f>일위대가!L1512</f>
        <v>7823</v>
      </c>
      <c r="K297" s="66">
        <f t="shared" si="50"/>
        <v>7823</v>
      </c>
      <c r="L297" s="66">
        <f t="shared" si="47"/>
        <v>45785</v>
      </c>
      <c r="M297" s="66">
        <f t="shared" si="48"/>
        <v>45785</v>
      </c>
    </row>
    <row r="298" spans="1:14" s="57" customFormat="1" ht="15.2" customHeight="1">
      <c r="A298" s="67">
        <f t="shared" si="45"/>
        <v>283</v>
      </c>
      <c r="B298" s="63" t="s">
        <v>2889</v>
      </c>
      <c r="C298" s="64" t="s">
        <v>2890</v>
      </c>
      <c r="D298" s="65">
        <v>1</v>
      </c>
      <c r="E298" s="62" t="s">
        <v>2792</v>
      </c>
      <c r="F298" s="66">
        <f>일위대가!H1515</f>
        <v>18696</v>
      </c>
      <c r="G298" s="66">
        <f t="shared" si="46"/>
        <v>18696</v>
      </c>
      <c r="H298" s="66">
        <f>일위대가!J1515</f>
        <v>24483</v>
      </c>
      <c r="I298" s="66">
        <f t="shared" si="49"/>
        <v>24483</v>
      </c>
      <c r="J298" s="66">
        <f>일위대가!L1515</f>
        <v>15005</v>
      </c>
      <c r="K298" s="66">
        <f t="shared" si="50"/>
        <v>15005</v>
      </c>
      <c r="L298" s="66">
        <f t="shared" si="47"/>
        <v>58184</v>
      </c>
      <c r="M298" s="66">
        <f t="shared" si="48"/>
        <v>58184</v>
      </c>
    </row>
    <row r="299" spans="1:14" s="57" customFormat="1" ht="15.2" customHeight="1">
      <c r="A299" s="67">
        <f t="shared" si="45"/>
        <v>284</v>
      </c>
      <c r="B299" s="63" t="s">
        <v>2891</v>
      </c>
      <c r="C299" s="64" t="s">
        <v>2892</v>
      </c>
      <c r="D299" s="65">
        <v>1</v>
      </c>
      <c r="E299" s="62" t="s">
        <v>2792</v>
      </c>
      <c r="F299" s="66">
        <f>일위대가!H1518</f>
        <v>24001</v>
      </c>
      <c r="G299" s="66">
        <f t="shared" si="46"/>
        <v>24001</v>
      </c>
      <c r="H299" s="66">
        <f>일위대가!J1518</f>
        <v>18939</v>
      </c>
      <c r="I299" s="66">
        <f t="shared" si="49"/>
        <v>18939</v>
      </c>
      <c r="J299" s="66">
        <f>일위대가!L1518</f>
        <v>12521</v>
      </c>
      <c r="K299" s="66">
        <f t="shared" si="50"/>
        <v>12521</v>
      </c>
      <c r="L299" s="66">
        <f t="shared" si="47"/>
        <v>55461</v>
      </c>
      <c r="M299" s="66">
        <f t="shared" si="48"/>
        <v>55461</v>
      </c>
    </row>
    <row r="300" spans="1:14" s="57" customFormat="1" ht="15.2" customHeight="1">
      <c r="A300" s="67">
        <f t="shared" si="45"/>
        <v>285</v>
      </c>
      <c r="B300" s="63" t="s">
        <v>2893</v>
      </c>
      <c r="C300" s="64" t="s">
        <v>2894</v>
      </c>
      <c r="D300" s="65">
        <v>1</v>
      </c>
      <c r="E300" s="62" t="s">
        <v>2792</v>
      </c>
      <c r="F300" s="66">
        <f>일위대가!H1522</f>
        <v>2224</v>
      </c>
      <c r="G300" s="66">
        <f t="shared" si="46"/>
        <v>2224</v>
      </c>
      <c r="H300" s="66">
        <f>일위대가!J1522</f>
        <v>0</v>
      </c>
      <c r="I300" s="66">
        <f t="shared" si="49"/>
        <v>0</v>
      </c>
      <c r="J300" s="66">
        <f>일위대가!L1522</f>
        <v>188</v>
      </c>
      <c r="K300" s="66">
        <f t="shared" si="50"/>
        <v>188</v>
      </c>
      <c r="L300" s="66">
        <f t="shared" si="47"/>
        <v>2412</v>
      </c>
      <c r="M300" s="66">
        <f t="shared" si="48"/>
        <v>2412</v>
      </c>
    </row>
    <row r="301" spans="1:14" s="57" customFormat="1" ht="15.2" customHeight="1">
      <c r="A301" s="67">
        <f>A300+1</f>
        <v>286</v>
      </c>
      <c r="B301" s="63" t="s">
        <v>2895</v>
      </c>
      <c r="C301" s="64" t="s">
        <v>2896</v>
      </c>
      <c r="D301" s="65">
        <v>1</v>
      </c>
      <c r="E301" s="62" t="s">
        <v>2792</v>
      </c>
      <c r="F301" s="66">
        <f>일위대가!H1525</f>
        <v>1684</v>
      </c>
      <c r="G301" s="66">
        <f t="shared" si="46"/>
        <v>1684</v>
      </c>
      <c r="H301" s="66">
        <f>일위대가!J1525</f>
        <v>27168</v>
      </c>
      <c r="I301" s="66">
        <f t="shared" si="49"/>
        <v>27168</v>
      </c>
      <c r="J301" s="66">
        <f>일위대가!L1525</f>
        <v>689</v>
      </c>
      <c r="K301" s="66">
        <f t="shared" si="50"/>
        <v>689</v>
      </c>
      <c r="L301" s="66">
        <f t="shared" si="47"/>
        <v>29541</v>
      </c>
      <c r="M301" s="66">
        <f t="shared" si="48"/>
        <v>29541</v>
      </c>
    </row>
    <row r="302" spans="1:14" s="57" customFormat="1" ht="15.2" customHeight="1">
      <c r="A302" s="67">
        <f>A301+1</f>
        <v>287</v>
      </c>
      <c r="B302" s="63" t="s">
        <v>2897</v>
      </c>
      <c r="C302" s="64" t="s">
        <v>2898</v>
      </c>
      <c r="D302" s="65">
        <v>1</v>
      </c>
      <c r="E302" s="62" t="s">
        <v>2792</v>
      </c>
      <c r="F302" s="66">
        <f>일위대가!H1528</f>
        <v>1589</v>
      </c>
      <c r="G302" s="66">
        <f t="shared" si="46"/>
        <v>1589</v>
      </c>
      <c r="H302" s="66">
        <f>일위대가!J1528</f>
        <v>18939</v>
      </c>
      <c r="I302" s="66">
        <f t="shared" si="49"/>
        <v>18939</v>
      </c>
      <c r="J302" s="66">
        <f>일위대가!L1528</f>
        <v>555</v>
      </c>
      <c r="K302" s="66">
        <f t="shared" si="50"/>
        <v>555</v>
      </c>
      <c r="L302" s="66">
        <f t="shared" si="47"/>
        <v>21083</v>
      </c>
      <c r="M302" s="66">
        <f t="shared" si="48"/>
        <v>21083</v>
      </c>
    </row>
    <row r="303" spans="1:14" s="57" customFormat="1" ht="15.2" customHeight="1">
      <c r="A303" s="67"/>
      <c r="B303" s="63" t="s">
        <v>2689</v>
      </c>
      <c r="C303" s="64"/>
      <c r="D303" s="65"/>
      <c r="E303" s="62"/>
      <c r="F303" s="66"/>
      <c r="G303" s="66">
        <f>SUM(G218:G302)</f>
        <v>1170955</v>
      </c>
      <c r="H303" s="66"/>
      <c r="I303" s="66">
        <f>SUM(I218:I302)</f>
        <v>1877187</v>
      </c>
      <c r="J303" s="66"/>
      <c r="K303" s="66">
        <f>SUM(K218:K302)</f>
        <v>1806277</v>
      </c>
      <c r="L303" s="66"/>
      <c r="M303" s="66">
        <f>SUM(M218:M302)</f>
        <v>4854419</v>
      </c>
      <c r="N303" s="61">
        <f>G303+I303+K303</f>
        <v>4854419</v>
      </c>
    </row>
    <row r="304" spans="1:14" s="57" customFormat="1" ht="15.2" customHeight="1">
      <c r="A304" s="756" t="s">
        <v>2899</v>
      </c>
      <c r="B304" s="757"/>
      <c r="C304" s="757"/>
      <c r="D304" s="757"/>
      <c r="E304" s="757"/>
      <c r="F304" s="449"/>
      <c r="G304" s="449"/>
      <c r="H304" s="449"/>
      <c r="I304" s="449"/>
      <c r="J304" s="449"/>
      <c r="K304" s="449"/>
      <c r="L304" s="449"/>
      <c r="M304" s="450"/>
    </row>
    <row r="305" spans="1:13" s="57" customFormat="1" ht="15.2" customHeight="1">
      <c r="A305" s="67">
        <f>A302+1</f>
        <v>288</v>
      </c>
      <c r="B305" s="63" t="s">
        <v>2900</v>
      </c>
      <c r="C305" s="64" t="s">
        <v>2901</v>
      </c>
      <c r="D305" s="65">
        <v>1</v>
      </c>
      <c r="E305" s="62" t="s">
        <v>2581</v>
      </c>
      <c r="F305" s="66">
        <f>일위대가!H1539</f>
        <v>42923</v>
      </c>
      <c r="G305" s="66">
        <f t="shared" si="46"/>
        <v>42923</v>
      </c>
      <c r="H305" s="66">
        <f>일위대가!J1539</f>
        <v>104919</v>
      </c>
      <c r="I305" s="66">
        <f t="shared" si="49"/>
        <v>104919</v>
      </c>
      <c r="J305" s="66">
        <f>일위대가!L1539</f>
        <v>0</v>
      </c>
      <c r="K305" s="66">
        <f t="shared" ref="K305:K312" si="51">TRUNC(D305*J305)</f>
        <v>0</v>
      </c>
      <c r="L305" s="66">
        <f t="shared" si="47"/>
        <v>147842</v>
      </c>
      <c r="M305" s="66">
        <f t="shared" si="48"/>
        <v>147842</v>
      </c>
    </row>
    <row r="306" spans="1:13" s="57" customFormat="1" ht="15.2" customHeight="1">
      <c r="A306" s="67">
        <f t="shared" ref="A306:A375" si="52">A305+1</f>
        <v>289</v>
      </c>
      <c r="B306" s="63" t="s">
        <v>2900</v>
      </c>
      <c r="C306" s="64" t="s">
        <v>2902</v>
      </c>
      <c r="D306" s="65">
        <v>1</v>
      </c>
      <c r="E306" s="62" t="s">
        <v>2581</v>
      </c>
      <c r="F306" s="66">
        <f>일위대가!H1544</f>
        <v>18027</v>
      </c>
      <c r="G306" s="66">
        <f t="shared" si="46"/>
        <v>18027</v>
      </c>
      <c r="H306" s="66">
        <f>일위대가!J1544</f>
        <v>54033</v>
      </c>
      <c r="I306" s="66">
        <f t="shared" si="49"/>
        <v>54033</v>
      </c>
      <c r="J306" s="66">
        <f>일위대가!L1544</f>
        <v>0</v>
      </c>
      <c r="K306" s="66">
        <f t="shared" si="51"/>
        <v>0</v>
      </c>
      <c r="L306" s="66">
        <f t="shared" ref="L306:L323" si="53">F306+H306+J306</f>
        <v>72060</v>
      </c>
      <c r="M306" s="66">
        <f t="shared" ref="M306:M323" si="54">G306+I306+K306</f>
        <v>72060</v>
      </c>
    </row>
    <row r="307" spans="1:13" s="57" customFormat="1" ht="15.2" customHeight="1">
      <c r="A307" s="67">
        <f t="shared" si="52"/>
        <v>290</v>
      </c>
      <c r="B307" s="63" t="s">
        <v>2903</v>
      </c>
      <c r="C307" s="64" t="s">
        <v>3782</v>
      </c>
      <c r="D307" s="65">
        <v>1</v>
      </c>
      <c r="E307" s="62" t="s">
        <v>2703</v>
      </c>
      <c r="F307" s="66">
        <f>일위대가!H1550</f>
        <v>157</v>
      </c>
      <c r="G307" s="66">
        <f t="shared" si="46"/>
        <v>157</v>
      </c>
      <c r="H307" s="66">
        <f>일위대가!J1550</f>
        <v>47016</v>
      </c>
      <c r="I307" s="66">
        <f t="shared" si="49"/>
        <v>47016</v>
      </c>
      <c r="J307" s="66">
        <f>일위대가!L1550</f>
        <v>856</v>
      </c>
      <c r="K307" s="66">
        <f t="shared" si="51"/>
        <v>856</v>
      </c>
      <c r="L307" s="66">
        <f t="shared" si="53"/>
        <v>48029</v>
      </c>
      <c r="M307" s="66">
        <f t="shared" si="54"/>
        <v>48029</v>
      </c>
    </row>
    <row r="308" spans="1:13" s="57" customFormat="1" ht="15.2" customHeight="1">
      <c r="A308" s="67">
        <f t="shared" si="52"/>
        <v>291</v>
      </c>
      <c r="B308" s="63" t="s">
        <v>2903</v>
      </c>
      <c r="C308" s="64" t="s">
        <v>3772</v>
      </c>
      <c r="D308" s="65">
        <v>1</v>
      </c>
      <c r="E308" s="62" t="s">
        <v>2703</v>
      </c>
      <c r="F308" s="66">
        <f>일위대가!H1556</f>
        <v>157</v>
      </c>
      <c r="G308" s="66">
        <f t="shared" ref="G308:G313" si="55">TRUNC(D308*F308)</f>
        <v>157</v>
      </c>
      <c r="H308" s="66">
        <f>일위대가!J1556</f>
        <v>39783</v>
      </c>
      <c r="I308" s="66">
        <f t="shared" ref="I308:I313" si="56">TRUNC(D308*H308)</f>
        <v>39783</v>
      </c>
      <c r="J308" s="66">
        <f>일위대가!L1556</f>
        <v>856</v>
      </c>
      <c r="K308" s="66">
        <f t="shared" si="51"/>
        <v>856</v>
      </c>
      <c r="L308" s="66">
        <f t="shared" si="53"/>
        <v>40796</v>
      </c>
      <c r="M308" s="66">
        <f t="shared" si="54"/>
        <v>40796</v>
      </c>
    </row>
    <row r="309" spans="1:13" s="57" customFormat="1" ht="15.2" customHeight="1">
      <c r="A309" s="67">
        <f t="shared" si="52"/>
        <v>292</v>
      </c>
      <c r="B309" s="63" t="s">
        <v>2903</v>
      </c>
      <c r="C309" s="643" t="s">
        <v>3993</v>
      </c>
      <c r="D309" s="65">
        <v>1</v>
      </c>
      <c r="E309" s="62" t="s">
        <v>1190</v>
      </c>
      <c r="F309" s="66">
        <f>일위대가!H1562</f>
        <v>565</v>
      </c>
      <c r="G309" s="66">
        <f t="shared" si="55"/>
        <v>565</v>
      </c>
      <c r="H309" s="66">
        <f>일위대가!J1562</f>
        <v>13953</v>
      </c>
      <c r="I309" s="66">
        <f t="shared" si="56"/>
        <v>13953</v>
      </c>
      <c r="J309" s="66">
        <f>일위대가!L1562</f>
        <v>3262</v>
      </c>
      <c r="K309" s="66">
        <f>TRUNC(D309*J309)</f>
        <v>3262</v>
      </c>
      <c r="L309" s="66">
        <f>F309+H309+J309</f>
        <v>17780</v>
      </c>
      <c r="M309" s="66">
        <f>G309+I309+K309</f>
        <v>17780</v>
      </c>
    </row>
    <row r="310" spans="1:13" s="57" customFormat="1" ht="15.2" customHeight="1">
      <c r="A310" s="67">
        <f t="shared" si="52"/>
        <v>293</v>
      </c>
      <c r="B310" s="63" t="s">
        <v>2903</v>
      </c>
      <c r="C310" s="64" t="s">
        <v>3773</v>
      </c>
      <c r="D310" s="65">
        <v>1</v>
      </c>
      <c r="E310" s="62" t="s">
        <v>2703</v>
      </c>
      <c r="F310" s="66">
        <f>일위대가!H1568</f>
        <v>228</v>
      </c>
      <c r="G310" s="66">
        <f t="shared" si="55"/>
        <v>228</v>
      </c>
      <c r="H310" s="66">
        <f>일위대가!J1568</f>
        <v>55856</v>
      </c>
      <c r="I310" s="66">
        <f t="shared" si="56"/>
        <v>55856</v>
      </c>
      <c r="J310" s="66">
        <f>일위대가!L1568</f>
        <v>960</v>
      </c>
      <c r="K310" s="66">
        <f t="shared" si="51"/>
        <v>960</v>
      </c>
      <c r="L310" s="66">
        <f t="shared" si="53"/>
        <v>57044</v>
      </c>
      <c r="M310" s="66">
        <f t="shared" si="54"/>
        <v>57044</v>
      </c>
    </row>
    <row r="311" spans="1:13" s="57" customFormat="1" ht="15.2" customHeight="1">
      <c r="A311" s="67">
        <f t="shared" si="52"/>
        <v>294</v>
      </c>
      <c r="B311" s="63" t="s">
        <v>2903</v>
      </c>
      <c r="C311" s="64" t="s">
        <v>3774</v>
      </c>
      <c r="D311" s="65">
        <v>1</v>
      </c>
      <c r="E311" s="62" t="s">
        <v>2703</v>
      </c>
      <c r="F311" s="66">
        <f>일위대가!H1574</f>
        <v>228</v>
      </c>
      <c r="G311" s="66">
        <f t="shared" si="55"/>
        <v>228</v>
      </c>
      <c r="H311" s="66">
        <f>일위대가!J1574</f>
        <v>43967</v>
      </c>
      <c r="I311" s="66">
        <f t="shared" si="56"/>
        <v>43967</v>
      </c>
      <c r="J311" s="66">
        <f>일위대가!L1574</f>
        <v>960</v>
      </c>
      <c r="K311" s="66">
        <f t="shared" si="51"/>
        <v>960</v>
      </c>
      <c r="L311" s="66">
        <f t="shared" si="53"/>
        <v>45155</v>
      </c>
      <c r="M311" s="66">
        <f t="shared" si="54"/>
        <v>45155</v>
      </c>
    </row>
    <row r="312" spans="1:13" s="57" customFormat="1" ht="15.2" customHeight="1">
      <c r="A312" s="67">
        <f t="shared" si="52"/>
        <v>295</v>
      </c>
      <c r="B312" s="63" t="s">
        <v>2903</v>
      </c>
      <c r="C312" s="643" t="s">
        <v>3995</v>
      </c>
      <c r="D312" s="65">
        <v>1</v>
      </c>
      <c r="E312" s="62" t="s">
        <v>2703</v>
      </c>
      <c r="F312" s="66">
        <f>일위대가!H1580</f>
        <v>635</v>
      </c>
      <c r="G312" s="66">
        <f t="shared" si="55"/>
        <v>635</v>
      </c>
      <c r="H312" s="66">
        <f>일위대가!J1580</f>
        <v>15898</v>
      </c>
      <c r="I312" s="66">
        <f t="shared" si="56"/>
        <v>15898</v>
      </c>
      <c r="J312" s="66">
        <f>일위대가!L1580</f>
        <v>3657</v>
      </c>
      <c r="K312" s="66">
        <f t="shared" si="51"/>
        <v>3657</v>
      </c>
      <c r="L312" s="66">
        <f t="shared" si="53"/>
        <v>20190</v>
      </c>
      <c r="M312" s="66">
        <f t="shared" si="54"/>
        <v>20190</v>
      </c>
    </row>
    <row r="313" spans="1:13" s="57" customFormat="1" ht="15.2" customHeight="1">
      <c r="A313" s="67">
        <f>A312+1</f>
        <v>296</v>
      </c>
      <c r="B313" s="63" t="s">
        <v>2903</v>
      </c>
      <c r="C313" s="643" t="s">
        <v>3996</v>
      </c>
      <c r="D313" s="65">
        <v>1</v>
      </c>
      <c r="E313" s="62" t="s">
        <v>1190</v>
      </c>
      <c r="F313" s="66">
        <f>일위대가!H1586</f>
        <v>894</v>
      </c>
      <c r="G313" s="66">
        <f t="shared" si="55"/>
        <v>894</v>
      </c>
      <c r="H313" s="66">
        <f>일위대가!J1586</f>
        <v>23025</v>
      </c>
      <c r="I313" s="66">
        <f t="shared" si="56"/>
        <v>23025</v>
      </c>
      <c r="J313" s="66">
        <f>일위대가!L1586</f>
        <v>5509</v>
      </c>
      <c r="K313" s="66">
        <f>TRUNC(D313*J313)</f>
        <v>5509</v>
      </c>
      <c r="L313" s="66">
        <f>F313+H313+J313</f>
        <v>29428</v>
      </c>
      <c r="M313" s="66">
        <f>G313+I313+K313</f>
        <v>29428</v>
      </c>
    </row>
    <row r="314" spans="1:13" s="57" customFormat="1" ht="15.2" customHeight="1">
      <c r="A314" s="67">
        <f t="shared" si="52"/>
        <v>297</v>
      </c>
      <c r="B314" s="63" t="s">
        <v>2903</v>
      </c>
      <c r="C314" s="64" t="s">
        <v>3775</v>
      </c>
      <c r="D314" s="65">
        <v>1</v>
      </c>
      <c r="E314" s="62" t="s">
        <v>2703</v>
      </c>
      <c r="F314" s="66">
        <f>일위대가!H1592</f>
        <v>1130</v>
      </c>
      <c r="G314" s="66">
        <f t="shared" ref="G314:G376" si="57">TRUNC(D314*F314)</f>
        <v>1130</v>
      </c>
      <c r="H314" s="66">
        <f>일위대가!J1592</f>
        <v>33095</v>
      </c>
      <c r="I314" s="66">
        <f t="shared" ref="I314:I378" si="58">TRUNC(D314*H314)</f>
        <v>33095</v>
      </c>
      <c r="J314" s="66">
        <f>일위대가!L1592</f>
        <v>7629</v>
      </c>
      <c r="K314" s="66">
        <f t="shared" ref="K314:K379" si="59">TRUNC(D314*J314)</f>
        <v>7629</v>
      </c>
      <c r="L314" s="66">
        <f t="shared" si="53"/>
        <v>41854</v>
      </c>
      <c r="M314" s="66">
        <f t="shared" si="54"/>
        <v>41854</v>
      </c>
    </row>
    <row r="315" spans="1:13" s="57" customFormat="1" ht="15.2" customHeight="1">
      <c r="A315" s="67">
        <f t="shared" si="52"/>
        <v>298</v>
      </c>
      <c r="B315" s="63" t="s">
        <v>2903</v>
      </c>
      <c r="C315" s="64" t="s">
        <v>3776</v>
      </c>
      <c r="D315" s="65">
        <v>1</v>
      </c>
      <c r="E315" s="62" t="s">
        <v>2703</v>
      </c>
      <c r="F315" s="66">
        <f>일위대가!H1598</f>
        <v>1295</v>
      </c>
      <c r="G315" s="66">
        <f t="shared" si="57"/>
        <v>1295</v>
      </c>
      <c r="H315" s="66">
        <f>일위대가!J1598</f>
        <v>42839</v>
      </c>
      <c r="I315" s="66">
        <f t="shared" si="58"/>
        <v>42839</v>
      </c>
      <c r="J315" s="66">
        <f>일위대가!L1598</f>
        <v>9260</v>
      </c>
      <c r="K315" s="66">
        <f t="shared" si="59"/>
        <v>9260</v>
      </c>
      <c r="L315" s="66">
        <f t="shared" si="53"/>
        <v>53394</v>
      </c>
      <c r="M315" s="66">
        <f t="shared" si="54"/>
        <v>53394</v>
      </c>
    </row>
    <row r="316" spans="1:13" s="57" customFormat="1" ht="15.2" customHeight="1">
      <c r="A316" s="67">
        <f t="shared" si="52"/>
        <v>299</v>
      </c>
      <c r="B316" s="63" t="s">
        <v>2903</v>
      </c>
      <c r="C316" s="64" t="s">
        <v>3777</v>
      </c>
      <c r="D316" s="65">
        <v>1</v>
      </c>
      <c r="E316" s="62" t="s">
        <v>2703</v>
      </c>
      <c r="F316" s="66">
        <f>일위대가!H1604</f>
        <v>1460</v>
      </c>
      <c r="G316" s="66">
        <f t="shared" si="57"/>
        <v>1460</v>
      </c>
      <c r="H316" s="66">
        <f>일위대가!J1604</f>
        <v>55278</v>
      </c>
      <c r="I316" s="66">
        <f t="shared" si="58"/>
        <v>55278</v>
      </c>
      <c r="J316" s="66">
        <f>일위대가!L1604</f>
        <v>11811</v>
      </c>
      <c r="K316" s="66">
        <f t="shared" si="59"/>
        <v>11811</v>
      </c>
      <c r="L316" s="66">
        <f t="shared" si="53"/>
        <v>68549</v>
      </c>
      <c r="M316" s="66">
        <f t="shared" si="54"/>
        <v>68549</v>
      </c>
    </row>
    <row r="317" spans="1:13" s="57" customFormat="1" ht="15.2" customHeight="1">
      <c r="A317" s="67">
        <f t="shared" si="52"/>
        <v>300</v>
      </c>
      <c r="B317" s="63" t="s">
        <v>2903</v>
      </c>
      <c r="C317" s="64" t="s">
        <v>3778</v>
      </c>
      <c r="D317" s="65">
        <v>1</v>
      </c>
      <c r="E317" s="62" t="s">
        <v>2703</v>
      </c>
      <c r="F317" s="66">
        <f>일위대가!H1610</f>
        <v>2010</v>
      </c>
      <c r="G317" s="66">
        <f t="shared" si="57"/>
        <v>2010</v>
      </c>
      <c r="H317" s="66">
        <f>일위대가!J1610</f>
        <v>70941</v>
      </c>
      <c r="I317" s="66">
        <f t="shared" si="58"/>
        <v>70941</v>
      </c>
      <c r="J317" s="66">
        <f>일위대가!L1610</f>
        <v>16959</v>
      </c>
      <c r="K317" s="66">
        <f t="shared" si="59"/>
        <v>16959</v>
      </c>
      <c r="L317" s="66">
        <f t="shared" si="53"/>
        <v>89910</v>
      </c>
      <c r="M317" s="66">
        <f t="shared" si="54"/>
        <v>89910</v>
      </c>
    </row>
    <row r="318" spans="1:13" s="57" customFormat="1" ht="15.2" customHeight="1">
      <c r="A318" s="67">
        <f t="shared" si="52"/>
        <v>301</v>
      </c>
      <c r="B318" s="63" t="s">
        <v>2903</v>
      </c>
      <c r="C318" s="64" t="s">
        <v>3779</v>
      </c>
      <c r="D318" s="65">
        <v>1</v>
      </c>
      <c r="E318" s="62" t="s">
        <v>2703</v>
      </c>
      <c r="F318" s="66">
        <f>일위대가!H1616</f>
        <v>2214</v>
      </c>
      <c r="G318" s="66">
        <f t="shared" si="57"/>
        <v>2214</v>
      </c>
      <c r="H318" s="66">
        <f>일위대가!J1616</f>
        <v>91075</v>
      </c>
      <c r="I318" s="66">
        <f t="shared" si="58"/>
        <v>91075</v>
      </c>
      <c r="J318" s="66">
        <f>일위대가!L1616</f>
        <v>19664</v>
      </c>
      <c r="K318" s="66">
        <f t="shared" si="59"/>
        <v>19664</v>
      </c>
      <c r="L318" s="66">
        <f t="shared" si="53"/>
        <v>112953</v>
      </c>
      <c r="M318" s="66">
        <f t="shared" si="54"/>
        <v>112953</v>
      </c>
    </row>
    <row r="319" spans="1:13" s="57" customFormat="1" ht="15.2" customHeight="1">
      <c r="A319" s="67">
        <f t="shared" si="52"/>
        <v>302</v>
      </c>
      <c r="B319" s="63" t="s">
        <v>2903</v>
      </c>
      <c r="C319" s="64" t="s">
        <v>3780</v>
      </c>
      <c r="D319" s="65">
        <v>1</v>
      </c>
      <c r="E319" s="62" t="s">
        <v>2703</v>
      </c>
      <c r="F319" s="66">
        <f>일위대가!H1622</f>
        <v>2621</v>
      </c>
      <c r="G319" s="66">
        <f t="shared" si="57"/>
        <v>2621</v>
      </c>
      <c r="H319" s="66">
        <f>일위대가!J1622</f>
        <v>119004</v>
      </c>
      <c r="I319" s="66">
        <f t="shared" si="58"/>
        <v>119004</v>
      </c>
      <c r="J319" s="66">
        <f>일위대가!L1622</f>
        <v>30046</v>
      </c>
      <c r="K319" s="66">
        <f t="shared" si="59"/>
        <v>30046</v>
      </c>
      <c r="L319" s="66">
        <f t="shared" si="53"/>
        <v>151671</v>
      </c>
      <c r="M319" s="66">
        <f t="shared" si="54"/>
        <v>151671</v>
      </c>
    </row>
    <row r="320" spans="1:13" s="57" customFormat="1" ht="15.2" customHeight="1">
      <c r="A320" s="67">
        <f t="shared" si="52"/>
        <v>303</v>
      </c>
      <c r="B320" s="63" t="s">
        <v>2903</v>
      </c>
      <c r="C320" s="64" t="s">
        <v>3781</v>
      </c>
      <c r="D320" s="65">
        <v>1</v>
      </c>
      <c r="E320" s="62" t="s">
        <v>2703</v>
      </c>
      <c r="F320" s="66">
        <f>일위대가!H1628</f>
        <v>3233</v>
      </c>
      <c r="G320" s="66">
        <f t="shared" si="57"/>
        <v>3233</v>
      </c>
      <c r="H320" s="66">
        <f>일위대가!J1628</f>
        <v>158667</v>
      </c>
      <c r="I320" s="66">
        <f t="shared" si="58"/>
        <v>158667</v>
      </c>
      <c r="J320" s="66">
        <f>일위대가!L1628</f>
        <v>33190</v>
      </c>
      <c r="K320" s="66">
        <f t="shared" si="59"/>
        <v>33190</v>
      </c>
      <c r="L320" s="66">
        <f t="shared" si="53"/>
        <v>195090</v>
      </c>
      <c r="M320" s="66">
        <f t="shared" si="54"/>
        <v>195090</v>
      </c>
    </row>
    <row r="321" spans="1:13" s="57" customFormat="1" ht="15.2" customHeight="1">
      <c r="A321" s="67">
        <f t="shared" si="52"/>
        <v>304</v>
      </c>
      <c r="B321" s="63" t="s">
        <v>2904</v>
      </c>
      <c r="C321" s="64" t="s">
        <v>2905</v>
      </c>
      <c r="D321" s="65">
        <v>1</v>
      </c>
      <c r="E321" s="62" t="s">
        <v>2703</v>
      </c>
      <c r="F321" s="66">
        <f>일위대가!H1634</f>
        <v>336</v>
      </c>
      <c r="G321" s="66">
        <f t="shared" si="57"/>
        <v>336</v>
      </c>
      <c r="H321" s="66">
        <f>일위대가!J1634</f>
        <v>16843</v>
      </c>
      <c r="I321" s="66">
        <f t="shared" si="58"/>
        <v>16843</v>
      </c>
      <c r="J321" s="66">
        <f>일위대가!L1634</f>
        <v>0</v>
      </c>
      <c r="K321" s="66">
        <f t="shared" si="59"/>
        <v>0</v>
      </c>
      <c r="L321" s="66">
        <f t="shared" si="53"/>
        <v>17179</v>
      </c>
      <c r="M321" s="66">
        <f t="shared" si="54"/>
        <v>17179</v>
      </c>
    </row>
    <row r="322" spans="1:13" s="57" customFormat="1" ht="15.2" customHeight="1">
      <c r="A322" s="67">
        <f t="shared" si="52"/>
        <v>305</v>
      </c>
      <c r="B322" s="63" t="s">
        <v>2904</v>
      </c>
      <c r="C322" s="64" t="s">
        <v>2906</v>
      </c>
      <c r="D322" s="65">
        <v>1</v>
      </c>
      <c r="E322" s="62" t="s">
        <v>2703</v>
      </c>
      <c r="F322" s="66">
        <f>일위대가!H1641</f>
        <v>1796</v>
      </c>
      <c r="G322" s="66">
        <f t="shared" si="57"/>
        <v>1796</v>
      </c>
      <c r="H322" s="66">
        <f>일위대가!J1641</f>
        <v>30991</v>
      </c>
      <c r="I322" s="66">
        <f t="shared" si="58"/>
        <v>30991</v>
      </c>
      <c r="J322" s="66">
        <f>일위대가!L1641</f>
        <v>5071</v>
      </c>
      <c r="K322" s="66">
        <f t="shared" si="59"/>
        <v>5071</v>
      </c>
      <c r="L322" s="66">
        <f t="shared" si="53"/>
        <v>37858</v>
      </c>
      <c r="M322" s="66">
        <f t="shared" si="54"/>
        <v>37858</v>
      </c>
    </row>
    <row r="323" spans="1:13" s="57" customFormat="1" ht="15.2" customHeight="1">
      <c r="A323" s="67">
        <f t="shared" si="52"/>
        <v>306</v>
      </c>
      <c r="B323" s="63" t="s">
        <v>2907</v>
      </c>
      <c r="C323" s="64" t="s">
        <v>3783</v>
      </c>
      <c r="D323" s="65">
        <v>1</v>
      </c>
      <c r="E323" s="62" t="s">
        <v>2703</v>
      </c>
      <c r="F323" s="66">
        <f>일위대가!H1646</f>
        <v>4025</v>
      </c>
      <c r="G323" s="66">
        <f t="shared" si="57"/>
        <v>4025</v>
      </c>
      <c r="H323" s="66">
        <f>일위대가!J1646</f>
        <v>6352</v>
      </c>
      <c r="I323" s="66">
        <f t="shared" si="58"/>
        <v>6352</v>
      </c>
      <c r="J323" s="66">
        <f>일위대가!L1646</f>
        <v>0</v>
      </c>
      <c r="K323" s="66">
        <f t="shared" si="59"/>
        <v>0</v>
      </c>
      <c r="L323" s="66">
        <f t="shared" si="53"/>
        <v>10377</v>
      </c>
      <c r="M323" s="66">
        <f t="shared" si="54"/>
        <v>10377</v>
      </c>
    </row>
    <row r="324" spans="1:13" s="57" customFormat="1" ht="15.2" customHeight="1">
      <c r="A324" s="67">
        <f t="shared" si="52"/>
        <v>307</v>
      </c>
      <c r="B324" s="63" t="s">
        <v>2907</v>
      </c>
      <c r="C324" s="64" t="s">
        <v>2908</v>
      </c>
      <c r="D324" s="65">
        <v>1</v>
      </c>
      <c r="E324" s="62" t="s">
        <v>1190</v>
      </c>
      <c r="F324" s="66">
        <f>일위대가!H1652</f>
        <v>4102</v>
      </c>
      <c r="G324" s="66">
        <f>TRUNC(D324*F324)</f>
        <v>4102</v>
      </c>
      <c r="H324" s="66">
        <f>일위대가!J1652</f>
        <v>643</v>
      </c>
      <c r="I324" s="66">
        <f>TRUNC(D324*H324)</f>
        <v>643</v>
      </c>
      <c r="J324" s="66">
        <f>일위대가!L1652</f>
        <v>100</v>
      </c>
      <c r="K324" s="66">
        <f>TRUNC(D324*J324)</f>
        <v>100</v>
      </c>
      <c r="L324" s="66">
        <f>F324+H324+J324</f>
        <v>4845</v>
      </c>
      <c r="M324" s="66">
        <f>G324+I324+K324</f>
        <v>4845</v>
      </c>
    </row>
    <row r="325" spans="1:13" s="57" customFormat="1" ht="15.2" customHeight="1">
      <c r="A325" s="67">
        <f t="shared" si="52"/>
        <v>308</v>
      </c>
      <c r="B325" s="63" t="s">
        <v>2907</v>
      </c>
      <c r="C325" s="64" t="s">
        <v>2909</v>
      </c>
      <c r="D325" s="65">
        <v>1</v>
      </c>
      <c r="E325" s="62" t="s">
        <v>2703</v>
      </c>
      <c r="F325" s="66">
        <f>일위대가!H1658</f>
        <v>7176</v>
      </c>
      <c r="G325" s="66">
        <f>TRUNC(D325*F325)</f>
        <v>7176</v>
      </c>
      <c r="H325" s="66">
        <f>일위대가!J1658</f>
        <v>1139</v>
      </c>
      <c r="I325" s="66">
        <f>TRUNC(D325*H325)</f>
        <v>1139</v>
      </c>
      <c r="J325" s="66">
        <f>일위대가!L1658</f>
        <v>179</v>
      </c>
      <c r="K325" s="66">
        <f>TRUNC(D325*J325)</f>
        <v>179</v>
      </c>
      <c r="L325" s="66">
        <f>F325+H325+J325</f>
        <v>8494</v>
      </c>
      <c r="M325" s="66">
        <f>G325+I325+K325</f>
        <v>8494</v>
      </c>
    </row>
    <row r="326" spans="1:13" s="57" customFormat="1" ht="15.2" customHeight="1">
      <c r="A326" s="67">
        <f t="shared" si="52"/>
        <v>309</v>
      </c>
      <c r="B326" s="63" t="s">
        <v>2907</v>
      </c>
      <c r="C326" s="64" t="s">
        <v>2910</v>
      </c>
      <c r="D326" s="65">
        <v>1</v>
      </c>
      <c r="E326" s="62" t="s">
        <v>2703</v>
      </c>
      <c r="F326" s="66">
        <f>일위대가!H1664</f>
        <v>8038</v>
      </c>
      <c r="G326" s="66">
        <f t="shared" ref="G326:G331" si="60">TRUNC(D326*F326)</f>
        <v>8038</v>
      </c>
      <c r="H326" s="66">
        <f>일위대가!J1664</f>
        <v>1227</v>
      </c>
      <c r="I326" s="66">
        <f t="shared" ref="I326:I331" si="61">TRUNC(D326*H326)</f>
        <v>1227</v>
      </c>
      <c r="J326" s="66">
        <f>일위대가!L1664</f>
        <v>193</v>
      </c>
      <c r="K326" s="66">
        <f t="shared" ref="K326:K331" si="62">TRUNC(D326*J326)</f>
        <v>193</v>
      </c>
      <c r="L326" s="66">
        <f t="shared" ref="L326:L331" si="63">F326+H326+J326</f>
        <v>9458</v>
      </c>
      <c r="M326" s="66">
        <f t="shared" ref="M326:M331" si="64">G326+I326+K326</f>
        <v>9458</v>
      </c>
    </row>
    <row r="327" spans="1:13" s="57" customFormat="1" ht="15.2" customHeight="1">
      <c r="A327" s="67">
        <f t="shared" si="52"/>
        <v>310</v>
      </c>
      <c r="B327" s="63" t="s">
        <v>2907</v>
      </c>
      <c r="C327" s="64" t="s">
        <v>2911</v>
      </c>
      <c r="D327" s="65">
        <v>1</v>
      </c>
      <c r="E327" s="62" t="s">
        <v>2703</v>
      </c>
      <c r="F327" s="66">
        <f>일위대가!H1670</f>
        <v>11551</v>
      </c>
      <c r="G327" s="66">
        <f t="shared" si="60"/>
        <v>11551</v>
      </c>
      <c r="H327" s="66">
        <f>일위대가!J1670</f>
        <v>1753</v>
      </c>
      <c r="I327" s="66">
        <f t="shared" si="61"/>
        <v>1753</v>
      </c>
      <c r="J327" s="66">
        <f>일위대가!L1670</f>
        <v>276</v>
      </c>
      <c r="K327" s="66">
        <f t="shared" si="62"/>
        <v>276</v>
      </c>
      <c r="L327" s="66">
        <f t="shared" si="63"/>
        <v>13580</v>
      </c>
      <c r="M327" s="66">
        <f t="shared" si="64"/>
        <v>13580</v>
      </c>
    </row>
    <row r="328" spans="1:13" s="57" customFormat="1" ht="15.2" customHeight="1">
      <c r="A328" s="67">
        <f t="shared" si="52"/>
        <v>311</v>
      </c>
      <c r="B328" s="63" t="s">
        <v>2907</v>
      </c>
      <c r="C328" s="64" t="s">
        <v>2912</v>
      </c>
      <c r="D328" s="65">
        <v>1</v>
      </c>
      <c r="E328" s="62" t="s">
        <v>2703</v>
      </c>
      <c r="F328" s="66">
        <f>일위대가!H1676</f>
        <v>12676</v>
      </c>
      <c r="G328" s="66">
        <f t="shared" si="60"/>
        <v>12676</v>
      </c>
      <c r="H328" s="66">
        <f>일위대가!J1676</f>
        <v>1930</v>
      </c>
      <c r="I328" s="66">
        <f t="shared" si="61"/>
        <v>1930</v>
      </c>
      <c r="J328" s="66">
        <f>일위대가!L1676</f>
        <v>303</v>
      </c>
      <c r="K328" s="66">
        <f t="shared" si="62"/>
        <v>303</v>
      </c>
      <c r="L328" s="66">
        <f t="shared" si="63"/>
        <v>14909</v>
      </c>
      <c r="M328" s="66">
        <f t="shared" si="64"/>
        <v>14909</v>
      </c>
    </row>
    <row r="329" spans="1:13" s="57" customFormat="1" ht="15.2" customHeight="1">
      <c r="A329" s="67">
        <f t="shared" si="52"/>
        <v>312</v>
      </c>
      <c r="B329" s="63" t="s">
        <v>2907</v>
      </c>
      <c r="C329" s="64" t="s">
        <v>2913</v>
      </c>
      <c r="D329" s="65">
        <v>1</v>
      </c>
      <c r="E329" s="62" t="s">
        <v>2703</v>
      </c>
      <c r="F329" s="66">
        <f>일위대가!H1682</f>
        <v>13788</v>
      </c>
      <c r="G329" s="66">
        <f t="shared" si="60"/>
        <v>13788</v>
      </c>
      <c r="H329" s="66">
        <f>일위대가!J1682</f>
        <v>1988</v>
      </c>
      <c r="I329" s="66">
        <f t="shared" si="61"/>
        <v>1988</v>
      </c>
      <c r="J329" s="66">
        <f>일위대가!L1682</f>
        <v>312</v>
      </c>
      <c r="K329" s="66">
        <f t="shared" si="62"/>
        <v>312</v>
      </c>
      <c r="L329" s="66">
        <f t="shared" si="63"/>
        <v>16088</v>
      </c>
      <c r="M329" s="66">
        <f t="shared" si="64"/>
        <v>16088</v>
      </c>
    </row>
    <row r="330" spans="1:13" s="57" customFormat="1" ht="15.2" customHeight="1">
      <c r="A330" s="67">
        <f t="shared" si="52"/>
        <v>313</v>
      </c>
      <c r="B330" s="63" t="s">
        <v>2907</v>
      </c>
      <c r="C330" s="64" t="s">
        <v>2914</v>
      </c>
      <c r="D330" s="65">
        <v>1</v>
      </c>
      <c r="E330" s="62" t="s">
        <v>2703</v>
      </c>
      <c r="F330" s="66">
        <f>일위대가!H1688</f>
        <v>20193</v>
      </c>
      <c r="G330" s="66">
        <f t="shared" si="60"/>
        <v>20193</v>
      </c>
      <c r="H330" s="66">
        <f>일위대가!J1688</f>
        <v>3216</v>
      </c>
      <c r="I330" s="66">
        <f t="shared" si="61"/>
        <v>3216</v>
      </c>
      <c r="J330" s="66">
        <f>일위대가!L1688</f>
        <v>506</v>
      </c>
      <c r="K330" s="66">
        <f t="shared" si="62"/>
        <v>506</v>
      </c>
      <c r="L330" s="66">
        <f t="shared" si="63"/>
        <v>23915</v>
      </c>
      <c r="M330" s="66">
        <f t="shared" si="64"/>
        <v>23915</v>
      </c>
    </row>
    <row r="331" spans="1:13" s="57" customFormat="1" ht="15.2" customHeight="1">
      <c r="A331" s="67">
        <f t="shared" si="52"/>
        <v>314</v>
      </c>
      <c r="B331" s="63" t="s">
        <v>2907</v>
      </c>
      <c r="C331" s="64" t="s">
        <v>2915</v>
      </c>
      <c r="D331" s="65">
        <v>1</v>
      </c>
      <c r="E331" s="62" t="s">
        <v>2703</v>
      </c>
      <c r="F331" s="66">
        <f>일위대가!H1694</f>
        <v>26788</v>
      </c>
      <c r="G331" s="66">
        <f t="shared" si="60"/>
        <v>26788</v>
      </c>
      <c r="H331" s="66">
        <f>일위대가!J1694</f>
        <v>4298</v>
      </c>
      <c r="I331" s="66">
        <f t="shared" si="61"/>
        <v>4298</v>
      </c>
      <c r="J331" s="66">
        <f>일위대가!L1694</f>
        <v>676</v>
      </c>
      <c r="K331" s="66">
        <f t="shared" si="62"/>
        <v>676</v>
      </c>
      <c r="L331" s="66">
        <f t="shared" si="63"/>
        <v>31762</v>
      </c>
      <c r="M331" s="66">
        <f t="shared" si="64"/>
        <v>31762</v>
      </c>
    </row>
    <row r="332" spans="1:13" s="57" customFormat="1" ht="15.2" customHeight="1">
      <c r="A332" s="67">
        <f t="shared" si="52"/>
        <v>315</v>
      </c>
      <c r="B332" s="63" t="s">
        <v>2916</v>
      </c>
      <c r="C332" s="64" t="s">
        <v>2917</v>
      </c>
      <c r="D332" s="65">
        <v>1</v>
      </c>
      <c r="E332" s="62" t="s">
        <v>2692</v>
      </c>
      <c r="F332" s="66">
        <f>일위대가!H1703</f>
        <v>1584</v>
      </c>
      <c r="G332" s="66">
        <f t="shared" si="57"/>
        <v>1584</v>
      </c>
      <c r="H332" s="66">
        <f>일위대가!J1703</f>
        <v>8773</v>
      </c>
      <c r="I332" s="66">
        <f t="shared" si="58"/>
        <v>8773</v>
      </c>
      <c r="J332" s="66">
        <f>일위대가!L1703</f>
        <v>140</v>
      </c>
      <c r="K332" s="66">
        <f t="shared" si="59"/>
        <v>140</v>
      </c>
      <c r="L332" s="66">
        <f t="shared" ref="L332:L368" si="65">F332+H332+J332</f>
        <v>10497</v>
      </c>
      <c r="M332" s="66">
        <f t="shared" ref="M332:M368" si="66">G332+I332+K332</f>
        <v>10497</v>
      </c>
    </row>
    <row r="333" spans="1:13" s="57" customFormat="1" ht="15.2" customHeight="1">
      <c r="A333" s="67">
        <f t="shared" si="52"/>
        <v>316</v>
      </c>
      <c r="B333" s="63" t="s">
        <v>2916</v>
      </c>
      <c r="C333" s="64" t="s">
        <v>2918</v>
      </c>
      <c r="D333" s="65">
        <v>1</v>
      </c>
      <c r="E333" s="62" t="s">
        <v>2692</v>
      </c>
      <c r="F333" s="66">
        <f>일위대가!H1713</f>
        <v>3201</v>
      </c>
      <c r="G333" s="66">
        <f t="shared" si="57"/>
        <v>3201</v>
      </c>
      <c r="H333" s="66">
        <f>일위대가!J1713</f>
        <v>16597</v>
      </c>
      <c r="I333" s="66">
        <f t="shared" si="58"/>
        <v>16597</v>
      </c>
      <c r="J333" s="66">
        <f>일위대가!L1713</f>
        <v>368</v>
      </c>
      <c r="K333" s="66">
        <f t="shared" si="59"/>
        <v>368</v>
      </c>
      <c r="L333" s="66">
        <f t="shared" si="65"/>
        <v>20166</v>
      </c>
      <c r="M333" s="66">
        <f t="shared" si="66"/>
        <v>20166</v>
      </c>
    </row>
    <row r="334" spans="1:13" s="57" customFormat="1" ht="15.2" customHeight="1">
      <c r="A334" s="67">
        <f t="shared" si="52"/>
        <v>317</v>
      </c>
      <c r="B334" s="63" t="s">
        <v>2916</v>
      </c>
      <c r="C334" s="64" t="s">
        <v>2919</v>
      </c>
      <c r="D334" s="65">
        <v>1</v>
      </c>
      <c r="E334" s="62" t="s">
        <v>2692</v>
      </c>
      <c r="F334" s="66">
        <f>일위대가!H1722</f>
        <v>1627</v>
      </c>
      <c r="G334" s="66">
        <f t="shared" si="57"/>
        <v>1627</v>
      </c>
      <c r="H334" s="66">
        <f>일위대가!J1722</f>
        <v>9628</v>
      </c>
      <c r="I334" s="66">
        <f t="shared" si="58"/>
        <v>9628</v>
      </c>
      <c r="J334" s="66">
        <f>일위대가!L1722</f>
        <v>150</v>
      </c>
      <c r="K334" s="66">
        <f t="shared" si="59"/>
        <v>150</v>
      </c>
      <c r="L334" s="66">
        <f t="shared" si="65"/>
        <v>11405</v>
      </c>
      <c r="M334" s="66">
        <f t="shared" si="66"/>
        <v>11405</v>
      </c>
    </row>
    <row r="335" spans="1:13" s="57" customFormat="1" ht="15.2" customHeight="1">
      <c r="A335" s="67">
        <f t="shared" si="52"/>
        <v>318</v>
      </c>
      <c r="B335" s="63" t="s">
        <v>2916</v>
      </c>
      <c r="C335" s="64" t="s">
        <v>2920</v>
      </c>
      <c r="D335" s="65">
        <v>1</v>
      </c>
      <c r="E335" s="62" t="s">
        <v>2692</v>
      </c>
      <c r="F335" s="66">
        <f>일위대가!H1732</f>
        <v>3982</v>
      </c>
      <c r="G335" s="66">
        <f t="shared" si="57"/>
        <v>3982</v>
      </c>
      <c r="H335" s="66">
        <f>일위대가!J1732</f>
        <v>23161</v>
      </c>
      <c r="I335" s="66">
        <f t="shared" si="58"/>
        <v>23161</v>
      </c>
      <c r="J335" s="66">
        <f>일위대가!L1732</f>
        <v>512</v>
      </c>
      <c r="K335" s="66">
        <f t="shared" si="59"/>
        <v>512</v>
      </c>
      <c r="L335" s="66">
        <f t="shared" si="65"/>
        <v>27655</v>
      </c>
      <c r="M335" s="66">
        <f t="shared" si="66"/>
        <v>27655</v>
      </c>
    </row>
    <row r="336" spans="1:13" s="57" customFormat="1" ht="15.2" customHeight="1">
      <c r="A336" s="67">
        <f t="shared" si="52"/>
        <v>319</v>
      </c>
      <c r="B336" s="63" t="s">
        <v>2916</v>
      </c>
      <c r="C336" s="64" t="s">
        <v>2921</v>
      </c>
      <c r="D336" s="65">
        <v>1</v>
      </c>
      <c r="E336" s="62" t="s">
        <v>2692</v>
      </c>
      <c r="F336" s="66">
        <f>일위대가!H1741</f>
        <v>1666</v>
      </c>
      <c r="G336" s="66">
        <f t="shared" si="57"/>
        <v>1666</v>
      </c>
      <c r="H336" s="66">
        <f>일위대가!J1741</f>
        <v>10412</v>
      </c>
      <c r="I336" s="66">
        <f t="shared" si="58"/>
        <v>10412</v>
      </c>
      <c r="J336" s="66">
        <f>일위대가!L1741</f>
        <v>157</v>
      </c>
      <c r="K336" s="66">
        <f t="shared" si="59"/>
        <v>157</v>
      </c>
      <c r="L336" s="66">
        <f t="shared" si="65"/>
        <v>12235</v>
      </c>
      <c r="M336" s="66">
        <f t="shared" si="66"/>
        <v>12235</v>
      </c>
    </row>
    <row r="337" spans="1:13" s="57" customFormat="1" ht="15.2" customHeight="1">
      <c r="A337" s="67">
        <f t="shared" si="52"/>
        <v>320</v>
      </c>
      <c r="B337" s="63" t="s">
        <v>2916</v>
      </c>
      <c r="C337" s="64" t="s">
        <v>2922</v>
      </c>
      <c r="D337" s="65">
        <v>1</v>
      </c>
      <c r="E337" s="62" t="s">
        <v>2692</v>
      </c>
      <c r="F337" s="66">
        <f>일위대가!H1751</f>
        <v>4006</v>
      </c>
      <c r="G337" s="66">
        <f t="shared" si="57"/>
        <v>4006</v>
      </c>
      <c r="H337" s="66">
        <f>일위대가!J1751</f>
        <v>23655</v>
      </c>
      <c r="I337" s="66">
        <f t="shared" si="58"/>
        <v>23655</v>
      </c>
      <c r="J337" s="66">
        <f>일위대가!L1751</f>
        <v>524</v>
      </c>
      <c r="K337" s="66">
        <f t="shared" si="59"/>
        <v>524</v>
      </c>
      <c r="L337" s="66">
        <f t="shared" si="65"/>
        <v>28185</v>
      </c>
      <c r="M337" s="66">
        <f t="shared" si="66"/>
        <v>28185</v>
      </c>
    </row>
    <row r="338" spans="1:13" s="57" customFormat="1" ht="15.2" customHeight="1">
      <c r="A338" s="67">
        <f t="shared" si="52"/>
        <v>321</v>
      </c>
      <c r="B338" s="63" t="s">
        <v>2916</v>
      </c>
      <c r="C338" s="64" t="s">
        <v>2923</v>
      </c>
      <c r="D338" s="65">
        <v>1</v>
      </c>
      <c r="E338" s="62" t="s">
        <v>2692</v>
      </c>
      <c r="F338" s="66">
        <f>일위대가!H1760</f>
        <v>1691</v>
      </c>
      <c r="G338" s="66">
        <f t="shared" si="57"/>
        <v>1691</v>
      </c>
      <c r="H338" s="66">
        <f>일위대가!J1760</f>
        <v>10906</v>
      </c>
      <c r="I338" s="66">
        <f t="shared" si="58"/>
        <v>10906</v>
      </c>
      <c r="J338" s="66">
        <f>일위대가!L1760</f>
        <v>164</v>
      </c>
      <c r="K338" s="66">
        <f t="shared" si="59"/>
        <v>164</v>
      </c>
      <c r="L338" s="66">
        <f t="shared" si="65"/>
        <v>12761</v>
      </c>
      <c r="M338" s="66">
        <f t="shared" si="66"/>
        <v>12761</v>
      </c>
    </row>
    <row r="339" spans="1:13" s="57" customFormat="1" ht="15.2" customHeight="1">
      <c r="A339" s="67">
        <f t="shared" si="52"/>
        <v>322</v>
      </c>
      <c r="B339" s="63" t="s">
        <v>2916</v>
      </c>
      <c r="C339" s="64" t="s">
        <v>2924</v>
      </c>
      <c r="D339" s="65">
        <v>1</v>
      </c>
      <c r="E339" s="62" t="s">
        <v>2692</v>
      </c>
      <c r="F339" s="66">
        <f>일위대가!H1770</f>
        <v>4050</v>
      </c>
      <c r="G339" s="66">
        <f t="shared" si="57"/>
        <v>4050</v>
      </c>
      <c r="H339" s="66">
        <f>일위대가!J1770</f>
        <v>24530</v>
      </c>
      <c r="I339" s="66">
        <f t="shared" si="58"/>
        <v>24530</v>
      </c>
      <c r="J339" s="66">
        <f>일위대가!L1770</f>
        <v>540</v>
      </c>
      <c r="K339" s="66">
        <f t="shared" si="59"/>
        <v>540</v>
      </c>
      <c r="L339" s="66">
        <f t="shared" si="65"/>
        <v>29120</v>
      </c>
      <c r="M339" s="66">
        <f t="shared" si="66"/>
        <v>29120</v>
      </c>
    </row>
    <row r="340" spans="1:13" s="57" customFormat="1" ht="15.2" customHeight="1">
      <c r="A340" s="67">
        <f t="shared" si="52"/>
        <v>323</v>
      </c>
      <c r="B340" s="63" t="s">
        <v>2916</v>
      </c>
      <c r="C340" s="64" t="s">
        <v>2925</v>
      </c>
      <c r="D340" s="65">
        <v>1</v>
      </c>
      <c r="E340" s="62" t="s">
        <v>2692</v>
      </c>
      <c r="F340" s="66">
        <f>일위대가!H1779</f>
        <v>1720</v>
      </c>
      <c r="G340" s="66">
        <f t="shared" si="57"/>
        <v>1720</v>
      </c>
      <c r="H340" s="66">
        <f>일위대가!J1779</f>
        <v>11489</v>
      </c>
      <c r="I340" s="66">
        <f t="shared" si="58"/>
        <v>11489</v>
      </c>
      <c r="J340" s="66">
        <f>일위대가!L1779</f>
        <v>172</v>
      </c>
      <c r="K340" s="66">
        <f t="shared" si="59"/>
        <v>172</v>
      </c>
      <c r="L340" s="66">
        <f t="shared" si="65"/>
        <v>13381</v>
      </c>
      <c r="M340" s="66">
        <f t="shared" si="66"/>
        <v>13381</v>
      </c>
    </row>
    <row r="341" spans="1:13" s="57" customFormat="1" ht="15.2" customHeight="1">
      <c r="A341" s="67">
        <f t="shared" si="52"/>
        <v>324</v>
      </c>
      <c r="B341" s="63" t="s">
        <v>2916</v>
      </c>
      <c r="C341" s="64" t="s">
        <v>2926</v>
      </c>
      <c r="D341" s="65">
        <v>1</v>
      </c>
      <c r="E341" s="62" t="s">
        <v>2692</v>
      </c>
      <c r="F341" s="66">
        <f>일위대가!H1789</f>
        <v>4088</v>
      </c>
      <c r="G341" s="66">
        <f t="shared" si="57"/>
        <v>4088</v>
      </c>
      <c r="H341" s="66">
        <f>일위대가!J1789</f>
        <v>25294</v>
      </c>
      <c r="I341" s="66">
        <f t="shared" si="58"/>
        <v>25294</v>
      </c>
      <c r="J341" s="66">
        <f>일위대가!L1789</f>
        <v>556</v>
      </c>
      <c r="K341" s="66">
        <f t="shared" si="59"/>
        <v>556</v>
      </c>
      <c r="L341" s="66">
        <f t="shared" si="65"/>
        <v>29938</v>
      </c>
      <c r="M341" s="66">
        <f t="shared" si="66"/>
        <v>29938</v>
      </c>
    </row>
    <row r="342" spans="1:13" s="57" customFormat="1" ht="15.2" customHeight="1">
      <c r="A342" s="67">
        <f t="shared" si="52"/>
        <v>325</v>
      </c>
      <c r="B342" s="63" t="s">
        <v>2916</v>
      </c>
      <c r="C342" s="64" t="s">
        <v>2927</v>
      </c>
      <c r="D342" s="65">
        <v>1</v>
      </c>
      <c r="E342" s="62" t="s">
        <v>2692</v>
      </c>
      <c r="F342" s="66">
        <f>일위대가!H1798</f>
        <v>1782</v>
      </c>
      <c r="G342" s="66">
        <f t="shared" si="57"/>
        <v>1782</v>
      </c>
      <c r="H342" s="66">
        <f>일위대가!J1798</f>
        <v>12724</v>
      </c>
      <c r="I342" s="66">
        <f t="shared" si="58"/>
        <v>12724</v>
      </c>
      <c r="J342" s="66">
        <f>일위대가!L1798</f>
        <v>178</v>
      </c>
      <c r="K342" s="66">
        <f t="shared" si="59"/>
        <v>178</v>
      </c>
      <c r="L342" s="66">
        <f t="shared" si="65"/>
        <v>14684</v>
      </c>
      <c r="M342" s="66">
        <f t="shared" si="66"/>
        <v>14684</v>
      </c>
    </row>
    <row r="343" spans="1:13" s="57" customFormat="1" ht="15.2" customHeight="1">
      <c r="A343" s="67">
        <f t="shared" si="52"/>
        <v>326</v>
      </c>
      <c r="B343" s="63" t="s">
        <v>2916</v>
      </c>
      <c r="C343" s="64" t="s">
        <v>2928</v>
      </c>
      <c r="D343" s="65">
        <v>1</v>
      </c>
      <c r="E343" s="62" t="s">
        <v>2692</v>
      </c>
      <c r="F343" s="66">
        <f>일위대가!H1808</f>
        <v>4176</v>
      </c>
      <c r="G343" s="66">
        <f t="shared" si="57"/>
        <v>4176</v>
      </c>
      <c r="H343" s="66">
        <f>일위대가!J1808</f>
        <v>27044</v>
      </c>
      <c r="I343" s="66">
        <f t="shared" si="58"/>
        <v>27044</v>
      </c>
      <c r="J343" s="66">
        <f>일위대가!L1808</f>
        <v>570</v>
      </c>
      <c r="K343" s="66">
        <f t="shared" si="59"/>
        <v>570</v>
      </c>
      <c r="L343" s="66">
        <f t="shared" si="65"/>
        <v>31790</v>
      </c>
      <c r="M343" s="66">
        <f t="shared" si="66"/>
        <v>31790</v>
      </c>
    </row>
    <row r="344" spans="1:13" s="57" customFormat="1" ht="15.2" customHeight="1">
      <c r="A344" s="67">
        <f t="shared" si="52"/>
        <v>327</v>
      </c>
      <c r="B344" s="63" t="s">
        <v>2916</v>
      </c>
      <c r="C344" s="64" t="s">
        <v>2929</v>
      </c>
      <c r="D344" s="65">
        <v>1</v>
      </c>
      <c r="E344" s="62" t="s">
        <v>2692</v>
      </c>
      <c r="F344" s="66">
        <f>일위대가!H1817</f>
        <v>1830</v>
      </c>
      <c r="G344" s="66">
        <f t="shared" si="57"/>
        <v>1830</v>
      </c>
      <c r="H344" s="66">
        <f>일위대가!J1817</f>
        <v>13690</v>
      </c>
      <c r="I344" s="66">
        <f t="shared" si="58"/>
        <v>13690</v>
      </c>
      <c r="J344" s="66">
        <f>일위대가!L1817</f>
        <v>191</v>
      </c>
      <c r="K344" s="66">
        <f t="shared" si="59"/>
        <v>191</v>
      </c>
      <c r="L344" s="66">
        <f t="shared" si="65"/>
        <v>15711</v>
      </c>
      <c r="M344" s="66">
        <f t="shared" si="66"/>
        <v>15711</v>
      </c>
    </row>
    <row r="345" spans="1:13" s="57" customFormat="1" ht="15.2" customHeight="1">
      <c r="A345" s="67">
        <f t="shared" si="52"/>
        <v>328</v>
      </c>
      <c r="B345" s="63" t="s">
        <v>2916</v>
      </c>
      <c r="C345" s="64" t="s">
        <v>2930</v>
      </c>
      <c r="D345" s="65">
        <v>1</v>
      </c>
      <c r="E345" s="62" t="s">
        <v>2692</v>
      </c>
      <c r="F345" s="66">
        <f>일위대가!H1827</f>
        <v>4252</v>
      </c>
      <c r="G345" s="66">
        <f t="shared" si="57"/>
        <v>4252</v>
      </c>
      <c r="H345" s="66">
        <f>일위대가!J1827</f>
        <v>28570</v>
      </c>
      <c r="I345" s="66">
        <f t="shared" si="58"/>
        <v>28570</v>
      </c>
      <c r="J345" s="66">
        <f>일위대가!L1827</f>
        <v>595</v>
      </c>
      <c r="K345" s="66">
        <f t="shared" si="59"/>
        <v>595</v>
      </c>
      <c r="L345" s="66">
        <f t="shared" si="65"/>
        <v>33417</v>
      </c>
      <c r="M345" s="66">
        <f t="shared" si="66"/>
        <v>33417</v>
      </c>
    </row>
    <row r="346" spans="1:13" s="57" customFormat="1" ht="15.2" customHeight="1">
      <c r="A346" s="67">
        <f t="shared" si="52"/>
        <v>329</v>
      </c>
      <c r="B346" s="63" t="s">
        <v>2931</v>
      </c>
      <c r="C346" s="64" t="s">
        <v>2917</v>
      </c>
      <c r="D346" s="65">
        <v>1</v>
      </c>
      <c r="E346" s="62" t="s">
        <v>2692</v>
      </c>
      <c r="F346" s="66">
        <f>일위대가!H1837</f>
        <v>47892</v>
      </c>
      <c r="G346" s="66">
        <f t="shared" si="57"/>
        <v>47892</v>
      </c>
      <c r="H346" s="66">
        <f>일위대가!J1837</f>
        <v>11960</v>
      </c>
      <c r="I346" s="66">
        <f t="shared" si="58"/>
        <v>11960</v>
      </c>
      <c r="J346" s="66">
        <f>일위대가!L1837</f>
        <v>34</v>
      </c>
      <c r="K346" s="66">
        <f t="shared" si="59"/>
        <v>34</v>
      </c>
      <c r="L346" s="66">
        <f t="shared" si="65"/>
        <v>59886</v>
      </c>
      <c r="M346" s="66">
        <f t="shared" si="66"/>
        <v>59886</v>
      </c>
    </row>
    <row r="347" spans="1:13" s="57" customFormat="1" ht="15.2" customHeight="1">
      <c r="A347" s="67">
        <f t="shared" si="52"/>
        <v>330</v>
      </c>
      <c r="B347" s="63" t="s">
        <v>2931</v>
      </c>
      <c r="C347" s="64" t="s">
        <v>2919</v>
      </c>
      <c r="D347" s="65">
        <v>1</v>
      </c>
      <c r="E347" s="62" t="s">
        <v>2692</v>
      </c>
      <c r="F347" s="66">
        <f>일위대가!H1847</f>
        <v>47935</v>
      </c>
      <c r="G347" s="66">
        <f t="shared" si="57"/>
        <v>47935</v>
      </c>
      <c r="H347" s="66">
        <f>일위대가!J1847</f>
        <v>12815</v>
      </c>
      <c r="I347" s="66">
        <f t="shared" si="58"/>
        <v>12815</v>
      </c>
      <c r="J347" s="66">
        <f>일위대가!L1847</f>
        <v>44</v>
      </c>
      <c r="K347" s="66">
        <f t="shared" si="59"/>
        <v>44</v>
      </c>
      <c r="L347" s="66">
        <f t="shared" si="65"/>
        <v>60794</v>
      </c>
      <c r="M347" s="66">
        <f t="shared" si="66"/>
        <v>60794</v>
      </c>
    </row>
    <row r="348" spans="1:13" s="57" customFormat="1" ht="15.2" customHeight="1">
      <c r="A348" s="67">
        <f t="shared" si="52"/>
        <v>331</v>
      </c>
      <c r="B348" s="63" t="s">
        <v>2931</v>
      </c>
      <c r="C348" s="64" t="s">
        <v>2921</v>
      </c>
      <c r="D348" s="65">
        <v>1</v>
      </c>
      <c r="E348" s="62" t="s">
        <v>2692</v>
      </c>
      <c r="F348" s="66">
        <f>일위대가!H1857</f>
        <v>47974</v>
      </c>
      <c r="G348" s="66">
        <f t="shared" si="57"/>
        <v>47974</v>
      </c>
      <c r="H348" s="66">
        <f>일위대가!J1857</f>
        <v>13599</v>
      </c>
      <c r="I348" s="66">
        <f t="shared" si="58"/>
        <v>13599</v>
      </c>
      <c r="J348" s="66">
        <f>일위대가!L1857</f>
        <v>51</v>
      </c>
      <c r="K348" s="66">
        <f t="shared" si="59"/>
        <v>51</v>
      </c>
      <c r="L348" s="66">
        <f t="shared" si="65"/>
        <v>61624</v>
      </c>
      <c r="M348" s="66">
        <f t="shared" si="66"/>
        <v>61624</v>
      </c>
    </row>
    <row r="349" spans="1:13" s="57" customFormat="1" ht="15.2" customHeight="1">
      <c r="A349" s="67">
        <f t="shared" si="52"/>
        <v>332</v>
      </c>
      <c r="B349" s="63" t="s">
        <v>2931</v>
      </c>
      <c r="C349" s="64" t="s">
        <v>2923</v>
      </c>
      <c r="D349" s="65">
        <v>1</v>
      </c>
      <c r="E349" s="62" t="s">
        <v>2692</v>
      </c>
      <c r="F349" s="66">
        <f>일위대가!H1867</f>
        <v>47999</v>
      </c>
      <c r="G349" s="66">
        <f t="shared" si="57"/>
        <v>47999</v>
      </c>
      <c r="H349" s="66">
        <f>일위대가!J1867</f>
        <v>14093</v>
      </c>
      <c r="I349" s="66">
        <f t="shared" si="58"/>
        <v>14093</v>
      </c>
      <c r="J349" s="66">
        <f>일위대가!L1867</f>
        <v>58</v>
      </c>
      <c r="K349" s="66">
        <f t="shared" si="59"/>
        <v>58</v>
      </c>
      <c r="L349" s="66">
        <f t="shared" si="65"/>
        <v>62150</v>
      </c>
      <c r="M349" s="66">
        <f t="shared" si="66"/>
        <v>62150</v>
      </c>
    </row>
    <row r="350" spans="1:13" s="57" customFormat="1" ht="15.2" customHeight="1">
      <c r="A350" s="67">
        <f t="shared" si="52"/>
        <v>333</v>
      </c>
      <c r="B350" s="63" t="s">
        <v>2931</v>
      </c>
      <c r="C350" s="64" t="s">
        <v>2925</v>
      </c>
      <c r="D350" s="65">
        <v>1</v>
      </c>
      <c r="E350" s="62" t="s">
        <v>2692</v>
      </c>
      <c r="F350" s="66">
        <f>일위대가!H1877</f>
        <v>48028</v>
      </c>
      <c r="G350" s="66">
        <f t="shared" si="57"/>
        <v>48028</v>
      </c>
      <c r="H350" s="66">
        <f>일위대가!J1877</f>
        <v>14676</v>
      </c>
      <c r="I350" s="66">
        <f t="shared" si="58"/>
        <v>14676</v>
      </c>
      <c r="J350" s="66">
        <f>일위대가!L1877</f>
        <v>66</v>
      </c>
      <c r="K350" s="66">
        <f t="shared" si="59"/>
        <v>66</v>
      </c>
      <c r="L350" s="66">
        <f t="shared" si="65"/>
        <v>62770</v>
      </c>
      <c r="M350" s="66">
        <f t="shared" si="66"/>
        <v>62770</v>
      </c>
    </row>
    <row r="351" spans="1:13" s="57" customFormat="1" ht="15.2" customHeight="1">
      <c r="A351" s="67">
        <f t="shared" si="52"/>
        <v>334</v>
      </c>
      <c r="B351" s="63" t="s">
        <v>2931</v>
      </c>
      <c r="C351" s="64" t="s">
        <v>2927</v>
      </c>
      <c r="D351" s="65">
        <v>1</v>
      </c>
      <c r="E351" s="62" t="s">
        <v>2692</v>
      </c>
      <c r="F351" s="66">
        <f>일위대가!H1887</f>
        <v>48090</v>
      </c>
      <c r="G351" s="66">
        <f t="shared" si="57"/>
        <v>48090</v>
      </c>
      <c r="H351" s="66">
        <f>일위대가!J1887</f>
        <v>15911</v>
      </c>
      <c r="I351" s="66">
        <f t="shared" si="58"/>
        <v>15911</v>
      </c>
      <c r="J351" s="66">
        <f>일위대가!L1887</f>
        <v>72</v>
      </c>
      <c r="K351" s="66">
        <f t="shared" si="59"/>
        <v>72</v>
      </c>
      <c r="L351" s="66">
        <f t="shared" si="65"/>
        <v>64073</v>
      </c>
      <c r="M351" s="66">
        <f t="shared" si="66"/>
        <v>64073</v>
      </c>
    </row>
    <row r="352" spans="1:13" s="57" customFormat="1" ht="15.2" customHeight="1">
      <c r="A352" s="67">
        <f t="shared" si="52"/>
        <v>335</v>
      </c>
      <c r="B352" s="63" t="s">
        <v>2931</v>
      </c>
      <c r="C352" s="64" t="s">
        <v>2929</v>
      </c>
      <c r="D352" s="65">
        <v>1</v>
      </c>
      <c r="E352" s="62" t="s">
        <v>2692</v>
      </c>
      <c r="F352" s="66">
        <f>일위대가!H1897</f>
        <v>48138</v>
      </c>
      <c r="G352" s="66">
        <f t="shared" si="57"/>
        <v>48138</v>
      </c>
      <c r="H352" s="66">
        <f>일위대가!J1897</f>
        <v>16877</v>
      </c>
      <c r="I352" s="66">
        <f t="shared" si="58"/>
        <v>16877</v>
      </c>
      <c r="J352" s="66">
        <f>일위대가!L1897</f>
        <v>85</v>
      </c>
      <c r="K352" s="66">
        <f t="shared" si="59"/>
        <v>85</v>
      </c>
      <c r="L352" s="66">
        <f t="shared" si="65"/>
        <v>65100</v>
      </c>
      <c r="M352" s="66">
        <f t="shared" si="66"/>
        <v>65100</v>
      </c>
    </row>
    <row r="353" spans="1:13" s="57" customFormat="1" ht="15.2" customHeight="1">
      <c r="A353" s="67">
        <f t="shared" si="52"/>
        <v>336</v>
      </c>
      <c r="B353" s="63" t="s">
        <v>2931</v>
      </c>
      <c r="C353" s="64" t="s">
        <v>3784</v>
      </c>
      <c r="D353" s="65">
        <v>1</v>
      </c>
      <c r="E353" s="62" t="s">
        <v>1357</v>
      </c>
      <c r="F353" s="66">
        <f>일위대가!H1907</f>
        <v>122896</v>
      </c>
      <c r="G353" s="66">
        <f t="shared" ref="G353:G359" si="67">TRUNC(D353*F353)</f>
        <v>122896</v>
      </c>
      <c r="H353" s="66">
        <f>일위대가!J1907</f>
        <v>22939</v>
      </c>
      <c r="I353" s="66">
        <f t="shared" ref="I353:I359" si="68">TRUNC(D353*H353)</f>
        <v>22939</v>
      </c>
      <c r="J353" s="66">
        <f>일위대가!L1907</f>
        <v>56</v>
      </c>
      <c r="K353" s="66">
        <f t="shared" ref="K353:K359" si="69">TRUNC(D353*J353)</f>
        <v>56</v>
      </c>
      <c r="L353" s="66">
        <f t="shared" ref="L353:L359" si="70">F353+H353+J353</f>
        <v>145891</v>
      </c>
      <c r="M353" s="66">
        <f t="shared" ref="M353:M359" si="71">G353+I353+K353</f>
        <v>145891</v>
      </c>
    </row>
    <row r="354" spans="1:13" s="57" customFormat="1" ht="15.2" customHeight="1">
      <c r="A354" s="67">
        <f t="shared" si="52"/>
        <v>337</v>
      </c>
      <c r="B354" s="63" t="s">
        <v>2931</v>
      </c>
      <c r="C354" s="64" t="s">
        <v>2920</v>
      </c>
      <c r="D354" s="65">
        <v>1</v>
      </c>
      <c r="E354" s="62" t="s">
        <v>1357</v>
      </c>
      <c r="F354" s="66">
        <f>일위대가!H1917</f>
        <v>123170</v>
      </c>
      <c r="G354" s="66">
        <f t="shared" si="67"/>
        <v>123170</v>
      </c>
      <c r="H354" s="66">
        <f>일위대가!J1917</f>
        <v>28417</v>
      </c>
      <c r="I354" s="66">
        <f t="shared" si="68"/>
        <v>28417</v>
      </c>
      <c r="J354" s="66">
        <f>일위대가!L1917</f>
        <v>90</v>
      </c>
      <c r="K354" s="66">
        <f t="shared" si="69"/>
        <v>90</v>
      </c>
      <c r="L354" s="66">
        <f t="shared" si="70"/>
        <v>151677</v>
      </c>
      <c r="M354" s="66">
        <f t="shared" si="71"/>
        <v>151677</v>
      </c>
    </row>
    <row r="355" spans="1:13" s="57" customFormat="1" ht="15.2" customHeight="1">
      <c r="A355" s="67">
        <f t="shared" si="52"/>
        <v>338</v>
      </c>
      <c r="B355" s="63" t="s">
        <v>2931</v>
      </c>
      <c r="C355" s="64" t="s">
        <v>2922</v>
      </c>
      <c r="D355" s="65">
        <v>1</v>
      </c>
      <c r="E355" s="62" t="s">
        <v>1357</v>
      </c>
      <c r="F355" s="66">
        <f>일위대가!H1927</f>
        <v>123194</v>
      </c>
      <c r="G355" s="66">
        <f t="shared" si="67"/>
        <v>123194</v>
      </c>
      <c r="H355" s="66">
        <f>일위대가!J1927</f>
        <v>28911</v>
      </c>
      <c r="I355" s="66">
        <f t="shared" si="68"/>
        <v>28911</v>
      </c>
      <c r="J355" s="66">
        <f>일위대가!L1927</f>
        <v>102</v>
      </c>
      <c r="K355" s="66">
        <f t="shared" si="69"/>
        <v>102</v>
      </c>
      <c r="L355" s="66">
        <f t="shared" si="70"/>
        <v>152207</v>
      </c>
      <c r="M355" s="66">
        <f t="shared" si="71"/>
        <v>152207</v>
      </c>
    </row>
    <row r="356" spans="1:13" s="57" customFormat="1" ht="15.2" customHeight="1">
      <c r="A356" s="67">
        <f t="shared" si="52"/>
        <v>339</v>
      </c>
      <c r="B356" s="63" t="s">
        <v>2931</v>
      </c>
      <c r="C356" s="64" t="s">
        <v>2924</v>
      </c>
      <c r="D356" s="65">
        <v>1</v>
      </c>
      <c r="E356" s="62" t="s">
        <v>1357</v>
      </c>
      <c r="F356" s="66">
        <f>일위대가!H1937</f>
        <v>123238</v>
      </c>
      <c r="G356" s="66">
        <f t="shared" si="67"/>
        <v>123238</v>
      </c>
      <c r="H356" s="66">
        <f>일위대가!J1937</f>
        <v>29786</v>
      </c>
      <c r="I356" s="66">
        <f t="shared" si="68"/>
        <v>29786</v>
      </c>
      <c r="J356" s="66">
        <f>일위대가!L1937</f>
        <v>118</v>
      </c>
      <c r="K356" s="66">
        <f t="shared" si="69"/>
        <v>118</v>
      </c>
      <c r="L356" s="66">
        <f t="shared" si="70"/>
        <v>153142</v>
      </c>
      <c r="M356" s="66">
        <f t="shared" si="71"/>
        <v>153142</v>
      </c>
    </row>
    <row r="357" spans="1:13" s="57" customFormat="1" ht="15.2" customHeight="1">
      <c r="A357" s="67">
        <f t="shared" si="52"/>
        <v>340</v>
      </c>
      <c r="B357" s="63" t="s">
        <v>2931</v>
      </c>
      <c r="C357" s="64" t="s">
        <v>2926</v>
      </c>
      <c r="D357" s="65">
        <v>1</v>
      </c>
      <c r="E357" s="62" t="s">
        <v>1357</v>
      </c>
      <c r="F357" s="66">
        <f>일위대가!H1947</f>
        <v>123276</v>
      </c>
      <c r="G357" s="66">
        <f t="shared" si="67"/>
        <v>123276</v>
      </c>
      <c r="H357" s="66">
        <f>일위대가!J1947</f>
        <v>30550</v>
      </c>
      <c r="I357" s="66">
        <f t="shared" si="68"/>
        <v>30550</v>
      </c>
      <c r="J357" s="66">
        <f>일위대가!L1947</f>
        <v>134</v>
      </c>
      <c r="K357" s="66">
        <f t="shared" si="69"/>
        <v>134</v>
      </c>
      <c r="L357" s="66">
        <f t="shared" si="70"/>
        <v>153960</v>
      </c>
      <c r="M357" s="66">
        <f t="shared" si="71"/>
        <v>153960</v>
      </c>
    </row>
    <row r="358" spans="1:13" s="57" customFormat="1" ht="15.2" customHeight="1">
      <c r="A358" s="67">
        <f t="shared" si="52"/>
        <v>341</v>
      </c>
      <c r="B358" s="63" t="s">
        <v>2931</v>
      </c>
      <c r="C358" s="64" t="s">
        <v>2928</v>
      </c>
      <c r="D358" s="65">
        <v>1</v>
      </c>
      <c r="E358" s="62" t="s">
        <v>1357</v>
      </c>
      <c r="F358" s="66">
        <f>일위대가!H1957</f>
        <v>123364</v>
      </c>
      <c r="G358" s="66">
        <f t="shared" si="67"/>
        <v>123364</v>
      </c>
      <c r="H358" s="66">
        <f>일위대가!J1957</f>
        <v>32300</v>
      </c>
      <c r="I358" s="66">
        <f t="shared" si="68"/>
        <v>32300</v>
      </c>
      <c r="J358" s="66">
        <f>일위대가!L1957</f>
        <v>148</v>
      </c>
      <c r="K358" s="66">
        <f t="shared" si="69"/>
        <v>148</v>
      </c>
      <c r="L358" s="66">
        <f t="shared" si="70"/>
        <v>155812</v>
      </c>
      <c r="M358" s="66">
        <f t="shared" si="71"/>
        <v>155812</v>
      </c>
    </row>
    <row r="359" spans="1:13" s="57" customFormat="1" ht="15.2" customHeight="1">
      <c r="A359" s="67">
        <f t="shared" si="52"/>
        <v>342</v>
      </c>
      <c r="B359" s="63" t="s">
        <v>2931</v>
      </c>
      <c r="C359" s="64" t="s">
        <v>2930</v>
      </c>
      <c r="D359" s="65">
        <v>1</v>
      </c>
      <c r="E359" s="62" t="s">
        <v>1357</v>
      </c>
      <c r="F359" s="66">
        <f>일위대가!H1967</f>
        <v>123440</v>
      </c>
      <c r="G359" s="66">
        <f t="shared" si="67"/>
        <v>123440</v>
      </c>
      <c r="H359" s="66">
        <f>일위대가!J1967</f>
        <v>33826</v>
      </c>
      <c r="I359" s="66">
        <f t="shared" si="68"/>
        <v>33826</v>
      </c>
      <c r="J359" s="66">
        <f>일위대가!L1967</f>
        <v>173</v>
      </c>
      <c r="K359" s="66">
        <f t="shared" si="69"/>
        <v>173</v>
      </c>
      <c r="L359" s="66">
        <f t="shared" si="70"/>
        <v>157439</v>
      </c>
      <c r="M359" s="66">
        <f t="shared" si="71"/>
        <v>157439</v>
      </c>
    </row>
    <row r="360" spans="1:13" s="57" customFormat="1" ht="15.2" customHeight="1">
      <c r="A360" s="67">
        <f t="shared" si="52"/>
        <v>343</v>
      </c>
      <c r="B360" s="63" t="s">
        <v>2932</v>
      </c>
      <c r="C360" s="64" t="s">
        <v>2933</v>
      </c>
      <c r="D360" s="65">
        <v>1</v>
      </c>
      <c r="E360" s="62" t="s">
        <v>2692</v>
      </c>
      <c r="F360" s="66">
        <f>일위대가!H1974</f>
        <v>11557</v>
      </c>
      <c r="G360" s="66">
        <f t="shared" si="57"/>
        <v>11557</v>
      </c>
      <c r="H360" s="66">
        <f>일위대가!J1974</f>
        <v>62490</v>
      </c>
      <c r="I360" s="66">
        <f t="shared" si="58"/>
        <v>62490</v>
      </c>
      <c r="J360" s="66">
        <f>일위대가!L1974</f>
        <v>764</v>
      </c>
      <c r="K360" s="66">
        <f t="shared" si="59"/>
        <v>764</v>
      </c>
      <c r="L360" s="66">
        <f t="shared" si="65"/>
        <v>74811</v>
      </c>
      <c r="M360" s="66">
        <f t="shared" si="66"/>
        <v>74811</v>
      </c>
    </row>
    <row r="361" spans="1:13" s="57" customFormat="1" ht="15.2" customHeight="1">
      <c r="A361" s="67">
        <f t="shared" si="52"/>
        <v>344</v>
      </c>
      <c r="B361" s="63" t="s">
        <v>2932</v>
      </c>
      <c r="C361" s="64" t="s">
        <v>2934</v>
      </c>
      <c r="D361" s="65">
        <v>1</v>
      </c>
      <c r="E361" s="62" t="s">
        <v>2692</v>
      </c>
      <c r="F361" s="66">
        <f>일위대가!H1981</f>
        <v>16294</v>
      </c>
      <c r="G361" s="66">
        <f t="shared" si="57"/>
        <v>16294</v>
      </c>
      <c r="H361" s="66">
        <f>일위대가!J1981</f>
        <v>80082</v>
      </c>
      <c r="I361" s="66">
        <f t="shared" si="58"/>
        <v>80082</v>
      </c>
      <c r="J361" s="66">
        <f>일위대가!L1981</f>
        <v>797</v>
      </c>
      <c r="K361" s="66">
        <f t="shared" si="59"/>
        <v>797</v>
      </c>
      <c r="L361" s="66">
        <f t="shared" si="65"/>
        <v>97173</v>
      </c>
      <c r="M361" s="66">
        <f t="shared" si="66"/>
        <v>97173</v>
      </c>
    </row>
    <row r="362" spans="1:13" s="57" customFormat="1" ht="15.2" customHeight="1">
      <c r="A362" s="67">
        <f t="shared" si="52"/>
        <v>345</v>
      </c>
      <c r="B362" s="63" t="s">
        <v>2935</v>
      </c>
      <c r="C362" s="64" t="s">
        <v>2936</v>
      </c>
      <c r="D362" s="65">
        <v>1</v>
      </c>
      <c r="E362" s="62" t="s">
        <v>2692</v>
      </c>
      <c r="F362" s="66">
        <f>일위대가!H1987</f>
        <v>16650</v>
      </c>
      <c r="G362" s="66">
        <f t="shared" si="57"/>
        <v>16650</v>
      </c>
      <c r="H362" s="66">
        <f>일위대가!J1987</f>
        <v>268698</v>
      </c>
      <c r="I362" s="66">
        <f t="shared" si="58"/>
        <v>268698</v>
      </c>
      <c r="J362" s="66">
        <f>일위대가!L1987</f>
        <v>11042</v>
      </c>
      <c r="K362" s="66">
        <f t="shared" si="59"/>
        <v>11042</v>
      </c>
      <c r="L362" s="66">
        <f t="shared" si="65"/>
        <v>296390</v>
      </c>
      <c r="M362" s="66">
        <f t="shared" si="66"/>
        <v>296390</v>
      </c>
    </row>
    <row r="363" spans="1:13" s="57" customFormat="1" ht="15.2" customHeight="1">
      <c r="A363" s="67">
        <f t="shared" si="52"/>
        <v>346</v>
      </c>
      <c r="B363" s="63" t="s">
        <v>2937</v>
      </c>
      <c r="C363" s="64" t="s">
        <v>2938</v>
      </c>
      <c r="D363" s="65">
        <v>1</v>
      </c>
      <c r="E363" s="62" t="s">
        <v>2703</v>
      </c>
      <c r="F363" s="66">
        <f>일위대가!H1993</f>
        <v>17116</v>
      </c>
      <c r="G363" s="66">
        <f t="shared" si="57"/>
        <v>17116</v>
      </c>
      <c r="H363" s="66">
        <f>일위대가!J1993</f>
        <v>18588</v>
      </c>
      <c r="I363" s="66">
        <f t="shared" si="58"/>
        <v>18588</v>
      </c>
      <c r="J363" s="66">
        <f>일위대가!L1993</f>
        <v>141</v>
      </c>
      <c r="K363" s="66">
        <f t="shared" si="59"/>
        <v>141</v>
      </c>
      <c r="L363" s="66">
        <f t="shared" si="65"/>
        <v>35845</v>
      </c>
      <c r="M363" s="66">
        <f t="shared" si="66"/>
        <v>35845</v>
      </c>
    </row>
    <row r="364" spans="1:13" s="57" customFormat="1" ht="15.2" customHeight="1">
      <c r="A364" s="67">
        <f t="shared" si="52"/>
        <v>347</v>
      </c>
      <c r="B364" s="63" t="s">
        <v>2939</v>
      </c>
      <c r="C364" s="64" t="s">
        <v>2940</v>
      </c>
      <c r="D364" s="65">
        <v>1</v>
      </c>
      <c r="E364" s="62" t="s">
        <v>2692</v>
      </c>
      <c r="F364" s="66">
        <f>일위대가!H2006</f>
        <v>179225</v>
      </c>
      <c r="G364" s="66">
        <f t="shared" si="57"/>
        <v>179225</v>
      </c>
      <c r="H364" s="66">
        <f>일위대가!J2006</f>
        <v>760593</v>
      </c>
      <c r="I364" s="66">
        <f t="shared" si="58"/>
        <v>760593</v>
      </c>
      <c r="J364" s="66">
        <f>일위대가!L2006</f>
        <v>13043</v>
      </c>
      <c r="K364" s="66">
        <f t="shared" si="59"/>
        <v>13043</v>
      </c>
      <c r="L364" s="66">
        <f t="shared" si="65"/>
        <v>952861</v>
      </c>
      <c r="M364" s="66">
        <f t="shared" si="66"/>
        <v>952861</v>
      </c>
    </row>
    <row r="365" spans="1:13" s="57" customFormat="1" ht="15.2" customHeight="1">
      <c r="A365" s="67">
        <f t="shared" si="52"/>
        <v>348</v>
      </c>
      <c r="B365" s="63" t="s">
        <v>2941</v>
      </c>
      <c r="C365" s="64" t="s">
        <v>2942</v>
      </c>
      <c r="D365" s="65">
        <v>1</v>
      </c>
      <c r="E365" s="62" t="s">
        <v>2692</v>
      </c>
      <c r="F365" s="66">
        <f>일위대가!H2019</f>
        <v>305260</v>
      </c>
      <c r="G365" s="66">
        <f t="shared" si="57"/>
        <v>305260</v>
      </c>
      <c r="H365" s="66">
        <f>일위대가!J2019</f>
        <v>1218026</v>
      </c>
      <c r="I365" s="66">
        <f t="shared" si="58"/>
        <v>1218026</v>
      </c>
      <c r="J365" s="66">
        <f>일위대가!L2019</f>
        <v>22721</v>
      </c>
      <c r="K365" s="66">
        <f t="shared" si="59"/>
        <v>22721</v>
      </c>
      <c r="L365" s="66">
        <f t="shared" si="65"/>
        <v>1546007</v>
      </c>
      <c r="M365" s="66">
        <f t="shared" si="66"/>
        <v>1546007</v>
      </c>
    </row>
    <row r="366" spans="1:13" s="57" customFormat="1" ht="15.2" customHeight="1">
      <c r="A366" s="67">
        <f t="shared" si="52"/>
        <v>349</v>
      </c>
      <c r="B366" s="63" t="s">
        <v>2943</v>
      </c>
      <c r="C366" s="64" t="s">
        <v>2944</v>
      </c>
      <c r="D366" s="65">
        <v>1</v>
      </c>
      <c r="E366" s="62" t="s">
        <v>2692</v>
      </c>
      <c r="F366" s="66">
        <f>일위대가!H2032</f>
        <v>420542</v>
      </c>
      <c r="G366" s="66">
        <f t="shared" si="57"/>
        <v>420542</v>
      </c>
      <c r="H366" s="66">
        <f>일위대가!J2032</f>
        <v>1629303</v>
      </c>
      <c r="I366" s="66">
        <f t="shared" si="58"/>
        <v>1629303</v>
      </c>
      <c r="J366" s="66">
        <f>일위대가!L2032</f>
        <v>31450</v>
      </c>
      <c r="K366" s="66">
        <f t="shared" si="59"/>
        <v>31450</v>
      </c>
      <c r="L366" s="66">
        <f t="shared" si="65"/>
        <v>2081295</v>
      </c>
      <c r="M366" s="66">
        <f t="shared" si="66"/>
        <v>2081295</v>
      </c>
    </row>
    <row r="367" spans="1:13" s="57" customFormat="1" ht="15.2" customHeight="1">
      <c r="A367" s="67">
        <f t="shared" si="52"/>
        <v>350</v>
      </c>
      <c r="B367" s="63" t="s">
        <v>2945</v>
      </c>
      <c r="C367" s="64" t="s">
        <v>2940</v>
      </c>
      <c r="D367" s="65">
        <v>1</v>
      </c>
      <c r="E367" s="62" t="s">
        <v>2692</v>
      </c>
      <c r="F367" s="66">
        <f>일위대가!H2046</f>
        <v>285512</v>
      </c>
      <c r="G367" s="66">
        <f t="shared" si="57"/>
        <v>285512</v>
      </c>
      <c r="H367" s="66">
        <f>일위대가!J2046</f>
        <v>1103501</v>
      </c>
      <c r="I367" s="66">
        <f t="shared" si="58"/>
        <v>1103501</v>
      </c>
      <c r="J367" s="66">
        <f>일위대가!L2046</f>
        <v>13043</v>
      </c>
      <c r="K367" s="66">
        <f t="shared" si="59"/>
        <v>13043</v>
      </c>
      <c r="L367" s="66">
        <f t="shared" si="65"/>
        <v>1402056</v>
      </c>
      <c r="M367" s="66">
        <f t="shared" si="66"/>
        <v>1402056</v>
      </c>
    </row>
    <row r="368" spans="1:13" s="57" customFormat="1" ht="15.2" customHeight="1">
      <c r="A368" s="67">
        <f t="shared" si="52"/>
        <v>351</v>
      </c>
      <c r="B368" s="63" t="s">
        <v>2946</v>
      </c>
      <c r="C368" s="64" t="s">
        <v>2942</v>
      </c>
      <c r="D368" s="65">
        <v>1</v>
      </c>
      <c r="E368" s="62" t="s">
        <v>2692</v>
      </c>
      <c r="F368" s="66">
        <f>일위대가!H2060</f>
        <v>447610</v>
      </c>
      <c r="G368" s="66">
        <f t="shared" si="57"/>
        <v>447610</v>
      </c>
      <c r="H368" s="66">
        <f>일위대가!J2060</f>
        <v>1687142</v>
      </c>
      <c r="I368" s="66">
        <f t="shared" si="58"/>
        <v>1687142</v>
      </c>
      <c r="J368" s="66">
        <f>일위대가!L2060</f>
        <v>22721</v>
      </c>
      <c r="K368" s="66">
        <f t="shared" si="59"/>
        <v>22721</v>
      </c>
      <c r="L368" s="66">
        <f t="shared" si="65"/>
        <v>2157473</v>
      </c>
      <c r="M368" s="66">
        <f t="shared" si="66"/>
        <v>2157473</v>
      </c>
    </row>
    <row r="369" spans="1:13" s="57" customFormat="1" ht="15.2" customHeight="1">
      <c r="A369" s="67">
        <f t="shared" si="52"/>
        <v>352</v>
      </c>
      <c r="B369" s="63" t="s">
        <v>2947</v>
      </c>
      <c r="C369" s="64" t="s">
        <v>2944</v>
      </c>
      <c r="D369" s="65">
        <v>1</v>
      </c>
      <c r="E369" s="62" t="s">
        <v>2692</v>
      </c>
      <c r="F369" s="66">
        <f>일위대가!H2074</f>
        <v>587927</v>
      </c>
      <c r="G369" s="66">
        <f t="shared" si="57"/>
        <v>587927</v>
      </c>
      <c r="H369" s="66">
        <f>일위대가!J2074</f>
        <v>2180786</v>
      </c>
      <c r="I369" s="66">
        <f t="shared" si="58"/>
        <v>2180786</v>
      </c>
      <c r="J369" s="66">
        <f>일위대가!L2074</f>
        <v>31450</v>
      </c>
      <c r="K369" s="66">
        <f t="shared" si="59"/>
        <v>31450</v>
      </c>
      <c r="L369" s="66">
        <f t="shared" ref="L369:L381" si="72">F369+H369+J369</f>
        <v>2800163</v>
      </c>
      <c r="M369" s="66">
        <f t="shared" ref="M369:M381" si="73">G369+I369+K369</f>
        <v>2800163</v>
      </c>
    </row>
    <row r="370" spans="1:13" s="57" customFormat="1" ht="15.2" customHeight="1">
      <c r="A370" s="67">
        <f t="shared" si="52"/>
        <v>353</v>
      </c>
      <c r="B370" s="63" t="s">
        <v>2948</v>
      </c>
      <c r="C370" s="64" t="s">
        <v>2949</v>
      </c>
      <c r="D370" s="65">
        <v>1</v>
      </c>
      <c r="E370" s="62" t="s">
        <v>2692</v>
      </c>
      <c r="F370" s="66">
        <f>일위대가!H2082</f>
        <v>56688</v>
      </c>
      <c r="G370" s="66">
        <f t="shared" si="57"/>
        <v>56688</v>
      </c>
      <c r="H370" s="66">
        <f>일위대가!J2082</f>
        <v>208215</v>
      </c>
      <c r="I370" s="66">
        <f t="shared" si="58"/>
        <v>208215</v>
      </c>
      <c r="J370" s="66">
        <f>일위대가!L2082</f>
        <v>3098</v>
      </c>
      <c r="K370" s="66">
        <f t="shared" si="59"/>
        <v>3098</v>
      </c>
      <c r="L370" s="66">
        <f t="shared" si="72"/>
        <v>268001</v>
      </c>
      <c r="M370" s="66">
        <f t="shared" si="73"/>
        <v>268001</v>
      </c>
    </row>
    <row r="371" spans="1:13" s="57" customFormat="1" ht="15.2" customHeight="1">
      <c r="A371" s="67">
        <f t="shared" si="52"/>
        <v>354</v>
      </c>
      <c r="B371" s="63" t="s">
        <v>2950</v>
      </c>
      <c r="C371" s="64" t="s">
        <v>2949</v>
      </c>
      <c r="D371" s="65">
        <v>1</v>
      </c>
      <c r="E371" s="62" t="s">
        <v>2692</v>
      </c>
      <c r="F371" s="66">
        <f>일위대가!H2090</f>
        <v>40940</v>
      </c>
      <c r="G371" s="66">
        <f t="shared" si="57"/>
        <v>40940</v>
      </c>
      <c r="H371" s="66">
        <f>일위대가!J2090</f>
        <v>164578</v>
      </c>
      <c r="I371" s="66">
        <f t="shared" si="58"/>
        <v>164578</v>
      </c>
      <c r="J371" s="66">
        <f>일위대가!L2090</f>
        <v>3165</v>
      </c>
      <c r="K371" s="66">
        <f t="shared" si="59"/>
        <v>3165</v>
      </c>
      <c r="L371" s="66">
        <f t="shared" si="72"/>
        <v>208683</v>
      </c>
      <c r="M371" s="66">
        <f t="shared" si="73"/>
        <v>208683</v>
      </c>
    </row>
    <row r="372" spans="1:13" s="57" customFormat="1" ht="15.2" customHeight="1">
      <c r="A372" s="67">
        <f t="shared" si="52"/>
        <v>355</v>
      </c>
      <c r="B372" s="63" t="s">
        <v>2948</v>
      </c>
      <c r="C372" s="64" t="s">
        <v>2951</v>
      </c>
      <c r="D372" s="65">
        <v>1</v>
      </c>
      <c r="E372" s="62" t="s">
        <v>2692</v>
      </c>
      <c r="F372" s="66">
        <f>일위대가!H2098</f>
        <v>85801</v>
      </c>
      <c r="G372" s="66">
        <f t="shared" si="57"/>
        <v>85801</v>
      </c>
      <c r="H372" s="66">
        <f>일위대가!J2098</f>
        <v>314055</v>
      </c>
      <c r="I372" s="66">
        <f t="shared" si="58"/>
        <v>314055</v>
      </c>
      <c r="J372" s="66">
        <f>일위대가!L2098</f>
        <v>4685</v>
      </c>
      <c r="K372" s="66">
        <f t="shared" si="59"/>
        <v>4685</v>
      </c>
      <c r="L372" s="66">
        <f t="shared" si="72"/>
        <v>404541</v>
      </c>
      <c r="M372" s="66">
        <f t="shared" si="73"/>
        <v>404541</v>
      </c>
    </row>
    <row r="373" spans="1:13" s="57" customFormat="1" ht="15.2" customHeight="1">
      <c r="A373" s="67">
        <f t="shared" si="52"/>
        <v>356</v>
      </c>
      <c r="B373" s="63" t="s">
        <v>2950</v>
      </c>
      <c r="C373" s="64" t="s">
        <v>2951</v>
      </c>
      <c r="D373" s="65">
        <v>1</v>
      </c>
      <c r="E373" s="62" t="s">
        <v>2692</v>
      </c>
      <c r="F373" s="66">
        <f>일위대가!H2106</f>
        <v>74980</v>
      </c>
      <c r="G373" s="66">
        <f t="shared" si="57"/>
        <v>74980</v>
      </c>
      <c r="H373" s="66">
        <f>일위대가!J2106</f>
        <v>283558</v>
      </c>
      <c r="I373" s="66">
        <f t="shared" si="58"/>
        <v>283558</v>
      </c>
      <c r="J373" s="66">
        <f>일위대가!L2106</f>
        <v>4685</v>
      </c>
      <c r="K373" s="66">
        <f t="shared" si="59"/>
        <v>4685</v>
      </c>
      <c r="L373" s="66">
        <f t="shared" si="72"/>
        <v>363223</v>
      </c>
      <c r="M373" s="66">
        <f t="shared" si="73"/>
        <v>363223</v>
      </c>
    </row>
    <row r="374" spans="1:13" s="57" customFormat="1" ht="15.2" customHeight="1">
      <c r="A374" s="67">
        <f t="shared" si="52"/>
        <v>357</v>
      </c>
      <c r="B374" s="63" t="s">
        <v>2952</v>
      </c>
      <c r="C374" s="64" t="s">
        <v>2953</v>
      </c>
      <c r="D374" s="65">
        <v>1</v>
      </c>
      <c r="E374" s="62" t="s">
        <v>2703</v>
      </c>
      <c r="F374" s="66">
        <f>일위대가!H2112</f>
        <v>31524</v>
      </c>
      <c r="G374" s="66">
        <f t="shared" si="57"/>
        <v>31524</v>
      </c>
      <c r="H374" s="66">
        <f>일위대가!J2112</f>
        <v>118968</v>
      </c>
      <c r="I374" s="66">
        <f t="shared" si="58"/>
        <v>118968</v>
      </c>
      <c r="J374" s="66">
        <f>일위대가!L2112</f>
        <v>1847</v>
      </c>
      <c r="K374" s="66">
        <f t="shared" si="59"/>
        <v>1847</v>
      </c>
      <c r="L374" s="66">
        <f t="shared" si="72"/>
        <v>152339</v>
      </c>
      <c r="M374" s="66">
        <f t="shared" si="73"/>
        <v>152339</v>
      </c>
    </row>
    <row r="375" spans="1:13" s="57" customFormat="1" ht="15.2" customHeight="1">
      <c r="A375" s="646">
        <f t="shared" si="52"/>
        <v>358</v>
      </c>
      <c r="B375" s="63" t="s">
        <v>2954</v>
      </c>
      <c r="C375" s="64" t="s">
        <v>3282</v>
      </c>
      <c r="D375" s="65">
        <v>1</v>
      </c>
      <c r="E375" s="62" t="s">
        <v>2955</v>
      </c>
      <c r="F375" s="66">
        <f>일위대가!H2116</f>
        <v>89</v>
      </c>
      <c r="G375" s="66">
        <f t="shared" si="57"/>
        <v>89</v>
      </c>
      <c r="H375" s="66">
        <f>일위대가!J2116</f>
        <v>3029</v>
      </c>
      <c r="I375" s="66">
        <f t="shared" si="58"/>
        <v>3029</v>
      </c>
      <c r="J375" s="66">
        <f>일위대가!L2116</f>
        <v>320</v>
      </c>
      <c r="K375" s="66">
        <f t="shared" si="59"/>
        <v>320</v>
      </c>
      <c r="L375" s="66">
        <f t="shared" si="72"/>
        <v>3438</v>
      </c>
      <c r="M375" s="66">
        <f t="shared" si="73"/>
        <v>3438</v>
      </c>
    </row>
    <row r="376" spans="1:13" s="57" customFormat="1" ht="15.2" customHeight="1">
      <c r="A376" s="646">
        <f t="shared" ref="A376:A378" si="74">A375+1</f>
        <v>359</v>
      </c>
      <c r="B376" s="63" t="s">
        <v>2954</v>
      </c>
      <c r="C376" s="64" t="s">
        <v>3283</v>
      </c>
      <c r="D376" s="65">
        <v>1</v>
      </c>
      <c r="E376" s="62" t="s">
        <v>1190</v>
      </c>
      <c r="F376" s="66">
        <f>일위대가!H2120</f>
        <v>136</v>
      </c>
      <c r="G376" s="66">
        <f t="shared" si="57"/>
        <v>136</v>
      </c>
      <c r="H376" s="66">
        <f>일위대가!J2120</f>
        <v>4610</v>
      </c>
      <c r="I376" s="66">
        <f t="shared" si="58"/>
        <v>4610</v>
      </c>
      <c r="J376" s="66">
        <f>일위대가!L2120</f>
        <v>487</v>
      </c>
      <c r="K376" s="66">
        <f>TRUNC(D376*J376)</f>
        <v>487</v>
      </c>
      <c r="L376" s="66">
        <f>F376+H376+J376</f>
        <v>5233</v>
      </c>
      <c r="M376" s="66">
        <f>G376+I376+K376</f>
        <v>5233</v>
      </c>
    </row>
    <row r="377" spans="1:13" s="57" customFormat="1" ht="15.2" customHeight="1">
      <c r="A377" s="646">
        <f t="shared" si="74"/>
        <v>360</v>
      </c>
      <c r="B377" s="63" t="s">
        <v>2956</v>
      </c>
      <c r="C377" s="64" t="s">
        <v>2957</v>
      </c>
      <c r="D377" s="65">
        <v>1</v>
      </c>
      <c r="E377" s="62" t="s">
        <v>2958</v>
      </c>
      <c r="F377" s="66">
        <f>일위대가!H2126</f>
        <v>12180</v>
      </c>
      <c r="G377" s="66">
        <f>TRUNC(D377*F377)</f>
        <v>12180</v>
      </c>
      <c r="H377" s="66">
        <f>일위대가!J2126</f>
        <v>100760</v>
      </c>
      <c r="I377" s="66">
        <f t="shared" si="58"/>
        <v>100760</v>
      </c>
      <c r="J377" s="66">
        <f>일위대가!L2126</f>
        <v>0</v>
      </c>
      <c r="K377" s="66">
        <f t="shared" si="59"/>
        <v>0</v>
      </c>
      <c r="L377" s="66">
        <f t="shared" si="72"/>
        <v>112940</v>
      </c>
      <c r="M377" s="66">
        <f t="shared" si="73"/>
        <v>112940</v>
      </c>
    </row>
    <row r="378" spans="1:13" s="57" customFormat="1" ht="15.2" customHeight="1">
      <c r="A378" s="646">
        <f t="shared" si="74"/>
        <v>361</v>
      </c>
      <c r="B378" s="63" t="s">
        <v>2959</v>
      </c>
      <c r="C378" s="64" t="s">
        <v>2960</v>
      </c>
      <c r="D378" s="65">
        <v>1</v>
      </c>
      <c r="E378" s="62" t="s">
        <v>2765</v>
      </c>
      <c r="F378" s="66">
        <f>일위대가!H2129</f>
        <v>5000</v>
      </c>
      <c r="G378" s="66">
        <f>TRUNC(D378*F378)</f>
        <v>5000</v>
      </c>
      <c r="H378" s="66">
        <f>일위대가!J2129</f>
        <v>0</v>
      </c>
      <c r="I378" s="66">
        <f t="shared" si="58"/>
        <v>0</v>
      </c>
      <c r="J378" s="66">
        <f>일위대가!L2129</f>
        <v>0</v>
      </c>
      <c r="K378" s="66">
        <f t="shared" si="59"/>
        <v>0</v>
      </c>
      <c r="L378" s="66">
        <f t="shared" si="72"/>
        <v>5000</v>
      </c>
      <c r="M378" s="66">
        <f t="shared" si="73"/>
        <v>5000</v>
      </c>
    </row>
    <row r="379" spans="1:13" s="57" customFormat="1" ht="15.2" customHeight="1">
      <c r="A379" s="67">
        <f t="shared" ref="A379:A398" si="75">A378+1</f>
        <v>362</v>
      </c>
      <c r="B379" s="63" t="s">
        <v>2961</v>
      </c>
      <c r="C379" s="64" t="s">
        <v>2962</v>
      </c>
      <c r="D379" s="65">
        <v>1</v>
      </c>
      <c r="E379" s="62" t="s">
        <v>2765</v>
      </c>
      <c r="F379" s="66">
        <f>일위대가!H2132</f>
        <v>4000</v>
      </c>
      <c r="G379" s="66">
        <f>TRUNC(D379*F379)</f>
        <v>4000</v>
      </c>
      <c r="H379" s="66">
        <f>일위대가!J2132</f>
        <v>0</v>
      </c>
      <c r="I379" s="66">
        <f>TRUNC(D379*H379)</f>
        <v>0</v>
      </c>
      <c r="J379" s="66">
        <f>일위대가!L2132</f>
        <v>0</v>
      </c>
      <c r="K379" s="66">
        <f t="shared" si="59"/>
        <v>0</v>
      </c>
      <c r="L379" s="66">
        <f t="shared" si="72"/>
        <v>4000</v>
      </c>
      <c r="M379" s="66">
        <f t="shared" si="73"/>
        <v>4000</v>
      </c>
    </row>
    <row r="380" spans="1:13" s="57" customFormat="1" ht="15.2" customHeight="1">
      <c r="A380" s="67">
        <f t="shared" si="75"/>
        <v>363</v>
      </c>
      <c r="B380" s="63" t="s">
        <v>2963</v>
      </c>
      <c r="C380" s="64" t="s">
        <v>2964</v>
      </c>
      <c r="D380" s="65">
        <v>1</v>
      </c>
      <c r="E380" s="62" t="s">
        <v>2692</v>
      </c>
      <c r="F380" s="66">
        <f>일위대가!H2138</f>
        <v>25800</v>
      </c>
      <c r="G380" s="66">
        <f>TRUNC(D380*F380)</f>
        <v>25800</v>
      </c>
      <c r="H380" s="66">
        <f>일위대가!J2138</f>
        <v>71922</v>
      </c>
      <c r="I380" s="66">
        <f>TRUNC(D380*H380)</f>
        <v>71922</v>
      </c>
      <c r="J380" s="66">
        <f>일위대가!L2138</f>
        <v>1080</v>
      </c>
      <c r="K380" s="66">
        <f>TRUNC(D380*J380)</f>
        <v>1080</v>
      </c>
      <c r="L380" s="66">
        <f t="shared" si="72"/>
        <v>98802</v>
      </c>
      <c r="M380" s="66">
        <f t="shared" si="73"/>
        <v>98802</v>
      </c>
    </row>
    <row r="381" spans="1:13" s="57" customFormat="1" ht="15.2" customHeight="1">
      <c r="A381" s="67">
        <f t="shared" si="75"/>
        <v>364</v>
      </c>
      <c r="B381" s="63" t="s">
        <v>2963</v>
      </c>
      <c r="C381" s="64" t="s">
        <v>2965</v>
      </c>
      <c r="D381" s="65">
        <v>1</v>
      </c>
      <c r="E381" s="62" t="s">
        <v>2692</v>
      </c>
      <c r="F381" s="66">
        <f>일위대가!H2144</f>
        <v>65880</v>
      </c>
      <c r="G381" s="66">
        <f>TRUNC(D381*F381)</f>
        <v>65880</v>
      </c>
      <c r="H381" s="66">
        <f>일위대가!J2144</f>
        <v>112270</v>
      </c>
      <c r="I381" s="66">
        <f>TRUNC(D381*H381)</f>
        <v>112270</v>
      </c>
      <c r="J381" s="66">
        <f>일위대가!L2144</f>
        <v>2292</v>
      </c>
      <c r="K381" s="66">
        <f>TRUNC(D381*J381)</f>
        <v>2292</v>
      </c>
      <c r="L381" s="66">
        <f t="shared" si="72"/>
        <v>180442</v>
      </c>
      <c r="M381" s="66">
        <f t="shared" si="73"/>
        <v>180442</v>
      </c>
    </row>
    <row r="382" spans="1:13" s="57" customFormat="1" ht="15.2" customHeight="1">
      <c r="A382" s="67">
        <f t="shared" si="75"/>
        <v>365</v>
      </c>
      <c r="B382" s="63" t="s">
        <v>3261</v>
      </c>
      <c r="C382" s="64" t="s">
        <v>3265</v>
      </c>
      <c r="D382" s="65">
        <v>1</v>
      </c>
      <c r="E382" s="62" t="s">
        <v>3263</v>
      </c>
      <c r="F382" s="66">
        <f>일위대가!H2150</f>
        <v>38000</v>
      </c>
      <c r="G382" s="66">
        <f t="shared" ref="G382:G398" si="76">TRUNC(D382*F382)</f>
        <v>38000</v>
      </c>
      <c r="H382" s="66">
        <f>일위대가!J2150</f>
        <v>71156</v>
      </c>
      <c r="I382" s="66">
        <f t="shared" ref="I382:I398" si="77">TRUNC(D382*H382)</f>
        <v>71156</v>
      </c>
      <c r="J382" s="66">
        <f>일위대가!L2150</f>
        <v>0</v>
      </c>
      <c r="K382" s="66">
        <f t="shared" ref="K382:K398" si="78">TRUNC(D382*J382)</f>
        <v>0</v>
      </c>
      <c r="L382" s="66">
        <f t="shared" ref="L382:L397" si="79">F382+H382+J382</f>
        <v>109156</v>
      </c>
      <c r="M382" s="66">
        <f t="shared" ref="M382:M397" si="80">G382+I382+K382</f>
        <v>109156</v>
      </c>
    </row>
    <row r="383" spans="1:13" s="57" customFormat="1" ht="15.2" customHeight="1">
      <c r="A383" s="67">
        <f t="shared" si="75"/>
        <v>366</v>
      </c>
      <c r="B383" s="63" t="s">
        <v>3261</v>
      </c>
      <c r="C383" s="64" t="s">
        <v>3262</v>
      </c>
      <c r="D383" s="65">
        <v>1</v>
      </c>
      <c r="E383" s="62" t="s">
        <v>3263</v>
      </c>
      <c r="F383" s="66">
        <f>일위대가!H2156</f>
        <v>48000</v>
      </c>
      <c r="G383" s="66">
        <f t="shared" si="76"/>
        <v>48000</v>
      </c>
      <c r="H383" s="66">
        <f>일위대가!J2156</f>
        <v>91075</v>
      </c>
      <c r="I383" s="66">
        <f t="shared" si="77"/>
        <v>91075</v>
      </c>
      <c r="J383" s="66">
        <f>일위대가!L2156</f>
        <v>0</v>
      </c>
      <c r="K383" s="66">
        <f t="shared" si="78"/>
        <v>0</v>
      </c>
      <c r="L383" s="66">
        <f t="shared" si="79"/>
        <v>139075</v>
      </c>
      <c r="M383" s="66">
        <f t="shared" si="80"/>
        <v>139075</v>
      </c>
    </row>
    <row r="384" spans="1:13" s="57" customFormat="1" ht="15.2" customHeight="1">
      <c r="A384" s="67">
        <f t="shared" si="75"/>
        <v>367</v>
      </c>
      <c r="B384" s="63" t="s">
        <v>3261</v>
      </c>
      <c r="C384" s="64" t="s">
        <v>3266</v>
      </c>
      <c r="D384" s="65">
        <v>1</v>
      </c>
      <c r="E384" s="62" t="s">
        <v>3263</v>
      </c>
      <c r="F384" s="66">
        <f>일위대가!H2162</f>
        <v>59000</v>
      </c>
      <c r="G384" s="66">
        <f t="shared" si="76"/>
        <v>59000</v>
      </c>
      <c r="H384" s="66">
        <f>일위대가!J2162</f>
        <v>113007</v>
      </c>
      <c r="I384" s="66">
        <f t="shared" si="77"/>
        <v>113007</v>
      </c>
      <c r="J384" s="66">
        <f>일위대가!L2162</f>
        <v>0</v>
      </c>
      <c r="K384" s="66">
        <f t="shared" si="78"/>
        <v>0</v>
      </c>
      <c r="L384" s="66">
        <f t="shared" si="79"/>
        <v>172007</v>
      </c>
      <c r="M384" s="66">
        <f t="shared" si="80"/>
        <v>172007</v>
      </c>
    </row>
    <row r="385" spans="1:15" s="57" customFormat="1" ht="15.2" customHeight="1">
      <c r="A385" s="67">
        <f t="shared" si="75"/>
        <v>368</v>
      </c>
      <c r="B385" s="63" t="s">
        <v>3264</v>
      </c>
      <c r="C385" s="64" t="s">
        <v>3265</v>
      </c>
      <c r="D385" s="65">
        <v>1</v>
      </c>
      <c r="E385" s="62" t="s">
        <v>3263</v>
      </c>
      <c r="F385" s="66">
        <f>일위대가!H2168</f>
        <v>8000</v>
      </c>
      <c r="G385" s="66">
        <f t="shared" si="76"/>
        <v>8000</v>
      </c>
      <c r="H385" s="66">
        <f>일위대가!J2168</f>
        <v>38038</v>
      </c>
      <c r="I385" s="66">
        <f t="shared" si="77"/>
        <v>38038</v>
      </c>
      <c r="J385" s="66">
        <f>일위대가!L2168</f>
        <v>0</v>
      </c>
      <c r="K385" s="66">
        <f t="shared" si="78"/>
        <v>0</v>
      </c>
      <c r="L385" s="66">
        <f t="shared" si="79"/>
        <v>46038</v>
      </c>
      <c r="M385" s="66">
        <f t="shared" si="80"/>
        <v>46038</v>
      </c>
    </row>
    <row r="386" spans="1:15" s="57" customFormat="1" ht="15.2" customHeight="1">
      <c r="A386" s="67">
        <f t="shared" si="75"/>
        <v>369</v>
      </c>
      <c r="B386" s="63" t="s">
        <v>3264</v>
      </c>
      <c r="C386" s="64" t="s">
        <v>3262</v>
      </c>
      <c r="D386" s="65">
        <v>1</v>
      </c>
      <c r="E386" s="62" t="s">
        <v>3263</v>
      </c>
      <c r="F386" s="66">
        <f>일위대가!H2174</f>
        <v>13000</v>
      </c>
      <c r="G386" s="66">
        <f t="shared" si="76"/>
        <v>13000</v>
      </c>
      <c r="H386" s="66">
        <f>일위대가!J2174</f>
        <v>43634</v>
      </c>
      <c r="I386" s="66">
        <f t="shared" si="77"/>
        <v>43634</v>
      </c>
      <c r="J386" s="66">
        <f>일위대가!L2174</f>
        <v>0</v>
      </c>
      <c r="K386" s="66">
        <f t="shared" si="78"/>
        <v>0</v>
      </c>
      <c r="L386" s="66">
        <f t="shared" si="79"/>
        <v>56634</v>
      </c>
      <c r="M386" s="66">
        <f t="shared" si="80"/>
        <v>56634</v>
      </c>
    </row>
    <row r="387" spans="1:15" s="57" customFormat="1" ht="15.2" customHeight="1">
      <c r="A387" s="67">
        <f t="shared" si="75"/>
        <v>370</v>
      </c>
      <c r="B387" s="63" t="s">
        <v>3264</v>
      </c>
      <c r="C387" s="64" t="s">
        <v>3266</v>
      </c>
      <c r="D387" s="65">
        <v>1</v>
      </c>
      <c r="E387" s="62" t="s">
        <v>3263</v>
      </c>
      <c r="F387" s="66">
        <f>일위대가!H2180</f>
        <v>16000</v>
      </c>
      <c r="G387" s="66">
        <f t="shared" si="76"/>
        <v>16000</v>
      </c>
      <c r="H387" s="66">
        <f>일위대가!J2180</f>
        <v>54827</v>
      </c>
      <c r="I387" s="66">
        <f t="shared" si="77"/>
        <v>54827</v>
      </c>
      <c r="J387" s="66">
        <f>일위대가!L2180</f>
        <v>0</v>
      </c>
      <c r="K387" s="66">
        <f t="shared" si="78"/>
        <v>0</v>
      </c>
      <c r="L387" s="66">
        <f t="shared" si="79"/>
        <v>70827</v>
      </c>
      <c r="M387" s="66">
        <f t="shared" si="80"/>
        <v>70827</v>
      </c>
    </row>
    <row r="388" spans="1:15" s="57" customFormat="1" ht="15.2" customHeight="1">
      <c r="A388" s="67">
        <f t="shared" si="75"/>
        <v>371</v>
      </c>
      <c r="B388" s="63" t="s">
        <v>3267</v>
      </c>
      <c r="C388" s="64" t="s">
        <v>3268</v>
      </c>
      <c r="D388" s="65">
        <v>1</v>
      </c>
      <c r="E388" s="65" t="s">
        <v>3269</v>
      </c>
      <c r="F388" s="66">
        <f>일위대가!H2185</f>
        <v>23000</v>
      </c>
      <c r="G388" s="66">
        <f t="shared" si="76"/>
        <v>23000</v>
      </c>
      <c r="H388" s="66">
        <f>일위대가!J2185</f>
        <v>57751</v>
      </c>
      <c r="I388" s="66">
        <f t="shared" si="77"/>
        <v>57751</v>
      </c>
      <c r="J388" s="66">
        <f>일위대가!L2185</f>
        <v>0</v>
      </c>
      <c r="K388" s="66">
        <f t="shared" si="78"/>
        <v>0</v>
      </c>
      <c r="L388" s="66">
        <f t="shared" si="79"/>
        <v>80751</v>
      </c>
      <c r="M388" s="66">
        <f t="shared" si="80"/>
        <v>80751</v>
      </c>
    </row>
    <row r="389" spans="1:15" s="57" customFormat="1" ht="15.2" customHeight="1">
      <c r="A389" s="67">
        <f t="shared" si="75"/>
        <v>372</v>
      </c>
      <c r="B389" s="63" t="s">
        <v>3270</v>
      </c>
      <c r="C389" s="64" t="s">
        <v>3271</v>
      </c>
      <c r="D389" s="65">
        <v>1</v>
      </c>
      <c r="E389" s="62" t="s">
        <v>3272</v>
      </c>
      <c r="F389" s="66">
        <f>일위대가!H2192</f>
        <v>12256</v>
      </c>
      <c r="G389" s="66">
        <f t="shared" si="76"/>
        <v>12256</v>
      </c>
      <c r="H389" s="66">
        <f>일위대가!J2192</f>
        <v>787158</v>
      </c>
      <c r="I389" s="66">
        <f t="shared" si="77"/>
        <v>787158</v>
      </c>
      <c r="J389" s="66">
        <f>일위대가!L2192</f>
        <v>139304</v>
      </c>
      <c r="K389" s="66">
        <f t="shared" si="78"/>
        <v>139304</v>
      </c>
      <c r="L389" s="66">
        <f t="shared" si="79"/>
        <v>938718</v>
      </c>
      <c r="M389" s="66">
        <f t="shared" si="80"/>
        <v>938718</v>
      </c>
    </row>
    <row r="390" spans="1:15" s="57" customFormat="1" ht="15.2" customHeight="1">
      <c r="A390" s="67">
        <f t="shared" si="75"/>
        <v>373</v>
      </c>
      <c r="B390" s="63" t="s">
        <v>3273</v>
      </c>
      <c r="C390" s="64" t="s">
        <v>3271</v>
      </c>
      <c r="D390" s="65">
        <v>1</v>
      </c>
      <c r="E390" s="62" t="s">
        <v>3272</v>
      </c>
      <c r="F390" s="66">
        <f>일위대가!H2199</f>
        <v>26944</v>
      </c>
      <c r="G390" s="66">
        <f t="shared" si="76"/>
        <v>26944</v>
      </c>
      <c r="H390" s="66">
        <f>일위대가!J2199</f>
        <v>530083</v>
      </c>
      <c r="I390" s="66">
        <f t="shared" si="77"/>
        <v>530083</v>
      </c>
      <c r="J390" s="66">
        <f>일위대가!L2199</f>
        <v>0</v>
      </c>
      <c r="K390" s="66">
        <f t="shared" si="78"/>
        <v>0</v>
      </c>
      <c r="L390" s="66">
        <f t="shared" si="79"/>
        <v>557027</v>
      </c>
      <c r="M390" s="66">
        <f t="shared" si="80"/>
        <v>557027</v>
      </c>
    </row>
    <row r="391" spans="1:15" s="57" customFormat="1" ht="15.2" customHeight="1">
      <c r="A391" s="67">
        <f>A390+1</f>
        <v>374</v>
      </c>
      <c r="B391" s="63" t="s">
        <v>3274</v>
      </c>
      <c r="C391" s="64" t="s">
        <v>3275</v>
      </c>
      <c r="D391" s="65">
        <v>1</v>
      </c>
      <c r="E391" s="62" t="s">
        <v>3276</v>
      </c>
      <c r="F391" s="66">
        <f>일위대가!H2202</f>
        <v>0</v>
      </c>
      <c r="G391" s="66">
        <f t="shared" si="76"/>
        <v>0</v>
      </c>
      <c r="H391" s="66">
        <f>일위대가!J2202</f>
        <v>17913</v>
      </c>
      <c r="I391" s="66">
        <f t="shared" si="77"/>
        <v>17913</v>
      </c>
      <c r="J391" s="66">
        <f>일위대가!L2202</f>
        <v>0</v>
      </c>
      <c r="K391" s="66">
        <f t="shared" si="78"/>
        <v>0</v>
      </c>
      <c r="L391" s="66">
        <f t="shared" si="79"/>
        <v>17913</v>
      </c>
      <c r="M391" s="66">
        <f t="shared" si="80"/>
        <v>17913</v>
      </c>
    </row>
    <row r="392" spans="1:15" s="57" customFormat="1" ht="15.2" customHeight="1">
      <c r="A392" s="67">
        <f t="shared" si="75"/>
        <v>375</v>
      </c>
      <c r="B392" s="63" t="s">
        <v>3277</v>
      </c>
      <c r="C392" s="64" t="s">
        <v>3275</v>
      </c>
      <c r="D392" s="65">
        <v>1</v>
      </c>
      <c r="E392" s="62" t="s">
        <v>3279</v>
      </c>
      <c r="F392" s="66">
        <f>일위대가!H2207</f>
        <v>0</v>
      </c>
      <c r="G392" s="66">
        <f t="shared" si="76"/>
        <v>0</v>
      </c>
      <c r="H392" s="66">
        <f>일위대가!J2207</f>
        <v>9024</v>
      </c>
      <c r="I392" s="66">
        <f t="shared" si="77"/>
        <v>9024</v>
      </c>
      <c r="J392" s="66">
        <f>일위대가!L2207</f>
        <v>270</v>
      </c>
      <c r="K392" s="66">
        <f t="shared" si="78"/>
        <v>270</v>
      </c>
      <c r="L392" s="66">
        <f t="shared" si="79"/>
        <v>9294</v>
      </c>
      <c r="M392" s="66">
        <f t="shared" si="80"/>
        <v>9294</v>
      </c>
    </row>
    <row r="393" spans="1:15" s="57" customFormat="1" ht="15.2" customHeight="1">
      <c r="A393" s="67">
        <f t="shared" si="75"/>
        <v>376</v>
      </c>
      <c r="B393" s="63" t="s">
        <v>3277</v>
      </c>
      <c r="C393" s="64" t="s">
        <v>3278</v>
      </c>
      <c r="D393" s="65">
        <v>1</v>
      </c>
      <c r="E393" s="62" t="s">
        <v>3279</v>
      </c>
      <c r="F393" s="66">
        <f>일위대가!H2212</f>
        <v>0</v>
      </c>
      <c r="G393" s="66">
        <f t="shared" si="76"/>
        <v>0</v>
      </c>
      <c r="H393" s="66">
        <f>일위대가!J2212</f>
        <v>19111</v>
      </c>
      <c r="I393" s="66">
        <f t="shared" si="77"/>
        <v>19111</v>
      </c>
      <c r="J393" s="66">
        <f>일위대가!L2212</f>
        <v>573</v>
      </c>
      <c r="K393" s="66">
        <f t="shared" si="78"/>
        <v>573</v>
      </c>
      <c r="L393" s="66">
        <f t="shared" si="79"/>
        <v>19684</v>
      </c>
      <c r="M393" s="66">
        <f t="shared" si="80"/>
        <v>19684</v>
      </c>
    </row>
    <row r="394" spans="1:15" s="57" customFormat="1" ht="15.2" customHeight="1">
      <c r="A394" s="67">
        <f t="shared" si="75"/>
        <v>377</v>
      </c>
      <c r="B394" s="63" t="s">
        <v>3280</v>
      </c>
      <c r="C394" s="64" t="s">
        <v>3910</v>
      </c>
      <c r="D394" s="65">
        <v>1</v>
      </c>
      <c r="E394" s="62" t="s">
        <v>3911</v>
      </c>
      <c r="F394" s="66">
        <f>일위대가!H2221</f>
        <v>136400</v>
      </c>
      <c r="G394" s="66">
        <f t="shared" si="76"/>
        <v>136400</v>
      </c>
      <c r="H394" s="66">
        <f>일위대가!J2221</f>
        <v>197967</v>
      </c>
      <c r="I394" s="66">
        <f t="shared" si="77"/>
        <v>197967</v>
      </c>
      <c r="J394" s="66">
        <f>일위대가!L2221</f>
        <v>14536</v>
      </c>
      <c r="K394" s="66">
        <f t="shared" si="78"/>
        <v>14536</v>
      </c>
      <c r="L394" s="66">
        <f t="shared" si="79"/>
        <v>348903</v>
      </c>
      <c r="M394" s="66">
        <f t="shared" si="80"/>
        <v>348903</v>
      </c>
    </row>
    <row r="395" spans="1:15" s="57" customFormat="1" ht="15.2" customHeight="1">
      <c r="A395" s="67">
        <f t="shared" si="75"/>
        <v>378</v>
      </c>
      <c r="B395" s="63" t="s">
        <v>3280</v>
      </c>
      <c r="C395" s="64" t="s">
        <v>3912</v>
      </c>
      <c r="D395" s="65">
        <v>1</v>
      </c>
      <c r="E395" s="62" t="s">
        <v>3911</v>
      </c>
      <c r="F395" s="618">
        <f>일위대가!H2230</f>
        <v>184889</v>
      </c>
      <c r="G395" s="618">
        <f t="shared" si="76"/>
        <v>184889</v>
      </c>
      <c r="H395" s="618">
        <f>일위대가!J2230</f>
        <v>220851</v>
      </c>
      <c r="I395" s="618">
        <f t="shared" si="77"/>
        <v>220851</v>
      </c>
      <c r="J395" s="618">
        <f>일위대가!L2230</f>
        <v>15129</v>
      </c>
      <c r="K395" s="618">
        <f t="shared" si="78"/>
        <v>15129</v>
      </c>
      <c r="L395" s="618">
        <f t="shared" si="79"/>
        <v>420869</v>
      </c>
      <c r="M395" s="618">
        <f t="shared" si="80"/>
        <v>420869</v>
      </c>
    </row>
    <row r="396" spans="1:15" s="640" customFormat="1" ht="15.2" customHeight="1">
      <c r="A396" s="646">
        <f t="shared" si="75"/>
        <v>379</v>
      </c>
      <c r="B396" s="642" t="s">
        <v>3280</v>
      </c>
      <c r="C396" s="643" t="s">
        <v>3974</v>
      </c>
      <c r="D396" s="644">
        <v>1</v>
      </c>
      <c r="E396" s="641" t="s">
        <v>2692</v>
      </c>
      <c r="F396" s="645">
        <f>일위대가!H2239</f>
        <v>217750</v>
      </c>
      <c r="G396" s="645">
        <f t="shared" ref="G396" si="81">TRUNC(D396*F396)</f>
        <v>217750</v>
      </c>
      <c r="H396" s="645">
        <f>일위대가!J2239</f>
        <v>236108</v>
      </c>
      <c r="I396" s="645">
        <f t="shared" ref="I396" si="82">TRUNC(D396*H396)</f>
        <v>236108</v>
      </c>
      <c r="J396" s="645">
        <f>일위대가!L2239</f>
        <v>15525</v>
      </c>
      <c r="K396" s="645">
        <f t="shared" ref="K396" si="83">TRUNC(D396*J396)</f>
        <v>15525</v>
      </c>
      <c r="L396" s="645">
        <f t="shared" ref="L396" si="84">F396+H396+J396</f>
        <v>469383</v>
      </c>
      <c r="M396" s="645">
        <f t="shared" ref="M396" si="85">G396+I396+K396</f>
        <v>469383</v>
      </c>
    </row>
    <row r="397" spans="1:15" s="57" customFormat="1" ht="15.2" customHeight="1">
      <c r="A397" s="646">
        <f t="shared" si="75"/>
        <v>380</v>
      </c>
      <c r="B397" s="63" t="s">
        <v>3280</v>
      </c>
      <c r="C397" s="64" t="s">
        <v>3913</v>
      </c>
      <c r="D397" s="65">
        <v>1</v>
      </c>
      <c r="E397" s="62" t="s">
        <v>3911</v>
      </c>
      <c r="F397" s="618">
        <f>일위대가!H2248</f>
        <v>244609</v>
      </c>
      <c r="G397" s="618">
        <f t="shared" si="76"/>
        <v>244609</v>
      </c>
      <c r="H397" s="618">
        <f>일위대가!J2248</f>
        <v>251365</v>
      </c>
      <c r="I397" s="618">
        <f t="shared" si="77"/>
        <v>251365</v>
      </c>
      <c r="J397" s="618">
        <f>일위대가!L2248</f>
        <v>15921</v>
      </c>
      <c r="K397" s="618">
        <f t="shared" si="78"/>
        <v>15921</v>
      </c>
      <c r="L397" s="618">
        <f t="shared" si="79"/>
        <v>511895</v>
      </c>
      <c r="M397" s="618">
        <f t="shared" si="80"/>
        <v>511895</v>
      </c>
    </row>
    <row r="398" spans="1:15" s="57" customFormat="1" ht="15.2" customHeight="1">
      <c r="A398" s="67">
        <f t="shared" si="75"/>
        <v>381</v>
      </c>
      <c r="B398" s="63" t="s">
        <v>3342</v>
      </c>
      <c r="C398" s="64"/>
      <c r="D398" s="65">
        <v>1</v>
      </c>
      <c r="E398" s="62" t="s">
        <v>3343</v>
      </c>
      <c r="F398" s="66">
        <f>일위대가!H2253</f>
        <v>23200</v>
      </c>
      <c r="G398" s="66">
        <f t="shared" si="76"/>
        <v>23200</v>
      </c>
      <c r="H398" s="66">
        <f>일위대가!J2253</f>
        <v>13412</v>
      </c>
      <c r="I398" s="66">
        <f t="shared" si="77"/>
        <v>13412</v>
      </c>
      <c r="J398" s="66">
        <f>일위대가!L2253</f>
        <v>0</v>
      </c>
      <c r="K398" s="66">
        <f t="shared" si="78"/>
        <v>0</v>
      </c>
      <c r="L398" s="66">
        <f>F398+H398+J398</f>
        <v>36612</v>
      </c>
      <c r="M398" s="66">
        <f>G398+I398+K398</f>
        <v>36612</v>
      </c>
    </row>
    <row r="399" spans="1:15" s="72" customFormat="1" ht="15.2" customHeight="1">
      <c r="A399" s="69"/>
      <c r="B399" s="63" t="s">
        <v>2689</v>
      </c>
      <c r="C399" s="69"/>
      <c r="D399" s="70"/>
      <c r="E399" s="62"/>
      <c r="F399" s="71"/>
      <c r="G399" s="71">
        <f>SUM(G305:G398)</f>
        <v>5168294</v>
      </c>
      <c r="H399" s="71"/>
      <c r="I399" s="71">
        <f>SUM(I305:I398)</f>
        <v>14736516</v>
      </c>
      <c r="J399" s="71"/>
      <c r="K399" s="71">
        <f>SUM(K305:K398)</f>
        <v>528372</v>
      </c>
      <c r="L399" s="71"/>
      <c r="M399" s="71">
        <f>SUM(M305:M398)</f>
        <v>20433182</v>
      </c>
      <c r="N399" s="60">
        <f>G399+I399+K399</f>
        <v>20433182</v>
      </c>
      <c r="O399" s="57"/>
    </row>
    <row r="400" spans="1:15" s="72" customFormat="1" ht="15.2" customHeight="1">
      <c r="A400" s="69"/>
      <c r="B400" s="63" t="s">
        <v>2966</v>
      </c>
      <c r="C400" s="69"/>
      <c r="D400" s="70"/>
      <c r="E400" s="62"/>
      <c r="F400" s="71"/>
      <c r="G400" s="71">
        <f>SUM(G61,G131,G149,G188,G216,G303,G399)</f>
        <v>18700178</v>
      </c>
      <c r="H400" s="71"/>
      <c r="I400" s="71">
        <f>SUM(I61,I131,I149,I188,I216,I303,I399)</f>
        <v>42849926</v>
      </c>
      <c r="J400" s="71"/>
      <c r="K400" s="71">
        <f>SUM(K61,K131,K149,K188,K216,K303,K399)</f>
        <v>13611696</v>
      </c>
      <c r="L400" s="71"/>
      <c r="M400" s="71">
        <f>SUM(M61,M131,M149,M188,M216,M303,M399)</f>
        <v>75161800</v>
      </c>
      <c r="N400" s="60">
        <f>SUM(N6:N399)</f>
        <v>75161800</v>
      </c>
      <c r="O400" s="57"/>
    </row>
    <row r="401" spans="1:15" s="72" customFormat="1" ht="15.2" customHeight="1">
      <c r="A401" s="69"/>
      <c r="B401" s="63"/>
      <c r="C401" s="69"/>
      <c r="D401" s="70"/>
      <c r="E401" s="62"/>
      <c r="F401" s="71"/>
      <c r="G401" s="71"/>
      <c r="H401" s="71"/>
      <c r="I401" s="71"/>
      <c r="J401" s="71"/>
      <c r="K401" s="71"/>
      <c r="L401" s="71"/>
      <c r="M401" s="71"/>
      <c r="O401" s="57"/>
    </row>
    <row r="402" spans="1:15" s="72" customFormat="1" ht="15.2" customHeight="1">
      <c r="A402" s="69"/>
      <c r="B402" s="63"/>
      <c r="C402" s="69"/>
      <c r="D402" s="70"/>
      <c r="E402" s="62"/>
      <c r="F402" s="71"/>
      <c r="G402" s="71"/>
      <c r="H402" s="71"/>
      <c r="I402" s="71"/>
      <c r="J402" s="71"/>
      <c r="K402" s="71"/>
      <c r="L402" s="71"/>
      <c r="M402" s="71"/>
      <c r="O402" s="57"/>
    </row>
    <row r="403" spans="1:15" s="72" customFormat="1" ht="15.2" customHeight="1">
      <c r="A403" s="69"/>
      <c r="B403" s="63"/>
      <c r="C403" s="69"/>
      <c r="D403" s="70"/>
      <c r="E403" s="62"/>
      <c r="F403" s="71"/>
      <c r="G403" s="71"/>
      <c r="H403" s="71"/>
      <c r="I403" s="71"/>
      <c r="J403" s="71"/>
      <c r="K403" s="71"/>
      <c r="L403" s="71"/>
      <c r="M403" s="71"/>
      <c r="O403" s="57"/>
    </row>
    <row r="404" spans="1:15" s="72" customFormat="1" ht="15.2" customHeight="1">
      <c r="A404" s="69"/>
      <c r="B404" s="63"/>
      <c r="C404" s="69"/>
      <c r="D404" s="70"/>
      <c r="E404" s="62"/>
      <c r="F404" s="71"/>
      <c r="G404" s="71"/>
      <c r="H404" s="71"/>
      <c r="I404" s="71"/>
      <c r="J404" s="71"/>
      <c r="K404" s="71"/>
      <c r="L404" s="71"/>
      <c r="M404" s="71"/>
      <c r="O404" s="57"/>
    </row>
    <row r="405" spans="1:15" s="72" customFormat="1" ht="15.2" customHeight="1">
      <c r="A405" s="69"/>
      <c r="B405" s="63"/>
      <c r="C405" s="69"/>
      <c r="D405" s="70"/>
      <c r="E405" s="62"/>
      <c r="F405" s="71"/>
      <c r="G405" s="71"/>
      <c r="H405" s="71"/>
      <c r="I405" s="71"/>
      <c r="J405" s="71"/>
      <c r="K405" s="71"/>
      <c r="L405" s="71"/>
      <c r="M405" s="71"/>
      <c r="O405" s="57"/>
    </row>
    <row r="406" spans="1:15" s="72" customFormat="1" ht="15.2" customHeight="1">
      <c r="A406" s="69"/>
      <c r="B406" s="63"/>
      <c r="C406" s="69"/>
      <c r="D406" s="70"/>
      <c r="E406" s="62"/>
      <c r="F406" s="71"/>
      <c r="G406" s="71"/>
      <c r="H406" s="71"/>
      <c r="I406" s="71"/>
      <c r="J406" s="71"/>
      <c r="K406" s="71"/>
      <c r="L406" s="71"/>
      <c r="M406" s="71"/>
      <c r="O406" s="57"/>
    </row>
    <row r="407" spans="1:15" s="72" customFormat="1" ht="15.2" customHeight="1">
      <c r="A407" s="69"/>
      <c r="B407" s="63"/>
      <c r="C407" s="69"/>
      <c r="D407" s="70"/>
      <c r="E407" s="62"/>
      <c r="F407" s="71"/>
      <c r="G407" s="71"/>
      <c r="H407" s="71"/>
      <c r="I407" s="71"/>
      <c r="J407" s="71"/>
      <c r="K407" s="71"/>
      <c r="L407" s="71"/>
      <c r="M407" s="71"/>
      <c r="O407" s="57"/>
    </row>
    <row r="408" spans="1:15" s="72" customFormat="1" ht="15.2" customHeight="1">
      <c r="A408" s="69"/>
      <c r="B408" s="63"/>
      <c r="C408" s="69"/>
      <c r="D408" s="70"/>
      <c r="E408" s="62"/>
      <c r="F408" s="71"/>
      <c r="G408" s="71"/>
      <c r="H408" s="71"/>
      <c r="I408" s="71"/>
      <c r="J408" s="71"/>
      <c r="K408" s="71"/>
      <c r="L408" s="71"/>
      <c r="M408" s="71"/>
      <c r="O408" s="57"/>
    </row>
    <row r="409" spans="1:15" s="72" customFormat="1" ht="15.2" customHeight="1">
      <c r="A409" s="69"/>
      <c r="B409" s="63"/>
      <c r="C409" s="69"/>
      <c r="D409" s="70"/>
      <c r="E409" s="62"/>
      <c r="F409" s="71"/>
      <c r="G409" s="71"/>
      <c r="H409" s="71"/>
      <c r="I409" s="71"/>
      <c r="J409" s="71"/>
      <c r="K409" s="71"/>
      <c r="L409" s="71"/>
      <c r="M409" s="71"/>
      <c r="O409" s="57"/>
    </row>
    <row r="410" spans="1:15" s="72" customFormat="1" ht="15.2" customHeight="1">
      <c r="A410" s="69"/>
      <c r="B410" s="63"/>
      <c r="C410" s="69"/>
      <c r="D410" s="70"/>
      <c r="E410" s="62"/>
      <c r="F410" s="71"/>
      <c r="G410" s="71"/>
      <c r="H410" s="71"/>
      <c r="I410" s="71"/>
      <c r="J410" s="71"/>
      <c r="K410" s="71"/>
      <c r="L410" s="71"/>
      <c r="M410" s="71"/>
      <c r="O410" s="57"/>
    </row>
    <row r="411" spans="1:15" s="72" customFormat="1" ht="15.2" customHeight="1">
      <c r="A411" s="69"/>
      <c r="B411" s="63"/>
      <c r="C411" s="69"/>
      <c r="D411" s="70"/>
      <c r="E411" s="62"/>
      <c r="F411" s="71"/>
      <c r="G411" s="71"/>
      <c r="H411" s="71"/>
      <c r="I411" s="71"/>
      <c r="J411" s="71"/>
      <c r="K411" s="71"/>
      <c r="L411" s="71"/>
      <c r="M411" s="71"/>
      <c r="O411" s="57"/>
    </row>
    <row r="412" spans="1:15" s="72" customFormat="1" ht="15.2" customHeight="1">
      <c r="A412" s="69"/>
      <c r="B412" s="63"/>
      <c r="C412" s="69"/>
      <c r="D412" s="70"/>
      <c r="E412" s="62"/>
      <c r="F412" s="71"/>
      <c r="G412" s="71"/>
      <c r="H412" s="71"/>
      <c r="I412" s="71"/>
      <c r="J412" s="71"/>
      <c r="K412" s="71"/>
      <c r="L412" s="71"/>
      <c r="M412" s="71"/>
      <c r="O412" s="57"/>
    </row>
    <row r="413" spans="1:15" s="72" customFormat="1" ht="15.2" customHeight="1">
      <c r="A413" s="69"/>
      <c r="B413" s="63"/>
      <c r="C413" s="69"/>
      <c r="D413" s="70"/>
      <c r="E413" s="62"/>
      <c r="F413" s="71"/>
      <c r="G413" s="71"/>
      <c r="H413" s="71"/>
      <c r="I413" s="71"/>
      <c r="J413" s="71"/>
      <c r="K413" s="71"/>
      <c r="L413" s="71"/>
      <c r="M413" s="71"/>
    </row>
    <row r="414" spans="1:15" s="72" customFormat="1" ht="15.2" customHeight="1">
      <c r="A414" s="69"/>
      <c r="B414" s="63"/>
      <c r="C414" s="69"/>
      <c r="D414" s="70"/>
      <c r="E414" s="62"/>
      <c r="F414" s="71"/>
      <c r="G414" s="71"/>
      <c r="H414" s="71"/>
      <c r="I414" s="71"/>
      <c r="J414" s="71"/>
      <c r="K414" s="71"/>
      <c r="L414" s="71"/>
      <c r="M414" s="71"/>
    </row>
    <row r="415" spans="1:15" s="72" customFormat="1" ht="15.2" customHeight="1">
      <c r="A415" s="69"/>
      <c r="B415" s="63"/>
      <c r="C415" s="69"/>
      <c r="D415" s="70"/>
      <c r="E415" s="62"/>
      <c r="F415" s="71"/>
      <c r="G415" s="71"/>
      <c r="H415" s="71"/>
      <c r="I415" s="71"/>
      <c r="J415" s="71"/>
      <c r="K415" s="71"/>
      <c r="L415" s="71"/>
      <c r="M415" s="71"/>
    </row>
    <row r="416" spans="1:15" s="72" customFormat="1" ht="15.2" customHeight="1">
      <c r="A416" s="69"/>
      <c r="B416" s="63"/>
      <c r="C416" s="69"/>
      <c r="D416" s="70"/>
      <c r="E416" s="62"/>
      <c r="F416" s="71"/>
      <c r="G416" s="71"/>
      <c r="H416" s="71"/>
      <c r="I416" s="71"/>
      <c r="J416" s="71"/>
      <c r="K416" s="71"/>
      <c r="L416" s="71"/>
      <c r="M416" s="71"/>
    </row>
    <row r="417" spans="1:13" s="72" customFormat="1" ht="15.2" customHeight="1">
      <c r="A417" s="69"/>
      <c r="B417" s="63"/>
      <c r="C417" s="69"/>
      <c r="D417" s="70"/>
      <c r="E417" s="62"/>
      <c r="F417" s="71"/>
      <c r="G417" s="71"/>
      <c r="H417" s="71"/>
      <c r="I417" s="71"/>
      <c r="J417" s="71"/>
      <c r="K417" s="71"/>
      <c r="L417" s="71"/>
      <c r="M417" s="71"/>
    </row>
    <row r="418" spans="1:13" s="72" customFormat="1" ht="15.2" customHeight="1">
      <c r="A418" s="69"/>
      <c r="B418" s="63"/>
      <c r="C418" s="69"/>
      <c r="D418" s="70"/>
      <c r="E418" s="62"/>
      <c r="F418" s="71"/>
      <c r="G418" s="71"/>
      <c r="H418" s="71"/>
      <c r="I418" s="71"/>
      <c r="J418" s="71"/>
      <c r="K418" s="71"/>
      <c r="L418" s="71"/>
      <c r="M418" s="71"/>
    </row>
    <row r="419" spans="1:13" s="72" customFormat="1" ht="15.2" customHeight="1">
      <c r="A419" s="69"/>
      <c r="B419" s="63"/>
      <c r="C419" s="69"/>
      <c r="D419" s="70"/>
      <c r="E419" s="62"/>
      <c r="F419" s="71"/>
      <c r="G419" s="71"/>
      <c r="H419" s="71"/>
      <c r="I419" s="71"/>
      <c r="J419" s="71"/>
      <c r="K419" s="71"/>
      <c r="L419" s="71"/>
      <c r="M419" s="71"/>
    </row>
    <row r="420" spans="1:13" s="72" customFormat="1" ht="15.2" customHeight="1">
      <c r="A420" s="69"/>
      <c r="B420" s="63"/>
      <c r="C420" s="69"/>
      <c r="D420" s="70"/>
      <c r="E420" s="62"/>
      <c r="F420" s="71"/>
      <c r="G420" s="71"/>
      <c r="H420" s="71"/>
      <c r="I420" s="71"/>
      <c r="J420" s="71"/>
      <c r="K420" s="71"/>
      <c r="L420" s="71"/>
      <c r="M420" s="71"/>
    </row>
    <row r="421" spans="1:13" s="72" customFormat="1" ht="15.2" customHeight="1">
      <c r="A421" s="69"/>
      <c r="B421" s="63"/>
      <c r="C421" s="69"/>
      <c r="D421" s="70"/>
      <c r="E421" s="62"/>
      <c r="F421" s="71"/>
      <c r="G421" s="71"/>
      <c r="H421" s="71"/>
      <c r="I421" s="71"/>
      <c r="J421" s="71"/>
      <c r="K421" s="71"/>
      <c r="L421" s="71"/>
      <c r="M421" s="71"/>
    </row>
    <row r="422" spans="1:13" s="72" customFormat="1" ht="15.2" customHeight="1">
      <c r="A422" s="69"/>
      <c r="B422" s="63"/>
      <c r="C422" s="69"/>
      <c r="D422" s="70"/>
      <c r="E422" s="62"/>
      <c r="F422" s="71"/>
      <c r="G422" s="71"/>
      <c r="H422" s="71"/>
      <c r="I422" s="71"/>
      <c r="J422" s="71"/>
      <c r="K422" s="71"/>
      <c r="L422" s="71"/>
      <c r="M422" s="71"/>
    </row>
    <row r="423" spans="1:13" s="72" customFormat="1" ht="15.2" customHeight="1">
      <c r="A423" s="69"/>
      <c r="B423" s="63"/>
      <c r="C423" s="69"/>
      <c r="D423" s="70"/>
      <c r="E423" s="62"/>
      <c r="F423" s="71"/>
      <c r="G423" s="71"/>
      <c r="H423" s="71"/>
      <c r="I423" s="71"/>
      <c r="J423" s="71"/>
      <c r="K423" s="71"/>
      <c r="L423" s="71"/>
      <c r="M423" s="71"/>
    </row>
    <row r="424" spans="1:13" s="72" customFormat="1" ht="15.2" customHeight="1">
      <c r="A424" s="69"/>
      <c r="B424" s="63"/>
      <c r="C424" s="69"/>
      <c r="D424" s="70"/>
      <c r="E424" s="62"/>
      <c r="F424" s="71"/>
      <c r="G424" s="71"/>
      <c r="H424" s="71"/>
      <c r="I424" s="71"/>
      <c r="J424" s="71"/>
      <c r="K424" s="71"/>
      <c r="L424" s="71"/>
      <c r="M424" s="71"/>
    </row>
    <row r="425" spans="1:13" s="72" customFormat="1" ht="15.2" customHeight="1">
      <c r="A425" s="69"/>
      <c r="B425" s="63"/>
      <c r="C425" s="69"/>
      <c r="D425" s="70"/>
      <c r="E425" s="62"/>
      <c r="F425" s="71"/>
      <c r="G425" s="71"/>
      <c r="H425" s="71"/>
      <c r="I425" s="71"/>
      <c r="J425" s="71"/>
      <c r="K425" s="71"/>
      <c r="L425" s="71"/>
      <c r="M425" s="71"/>
    </row>
    <row r="426" spans="1:13" s="72" customFormat="1" ht="15.2" customHeight="1">
      <c r="A426" s="69"/>
      <c r="B426" s="63"/>
      <c r="C426" s="69"/>
      <c r="D426" s="70"/>
      <c r="E426" s="62"/>
      <c r="F426" s="71"/>
      <c r="G426" s="71"/>
      <c r="H426" s="71"/>
      <c r="I426" s="71"/>
      <c r="J426" s="71"/>
      <c r="K426" s="71"/>
      <c r="L426" s="71"/>
      <c r="M426" s="71"/>
    </row>
    <row r="427" spans="1:13" s="72" customFormat="1" ht="15.2" customHeight="1">
      <c r="A427" s="69"/>
      <c r="B427" s="63"/>
      <c r="C427" s="69"/>
      <c r="D427" s="70"/>
      <c r="E427" s="62"/>
      <c r="F427" s="71"/>
      <c r="G427" s="71"/>
      <c r="H427" s="71"/>
      <c r="I427" s="71"/>
      <c r="J427" s="71"/>
      <c r="K427" s="71"/>
      <c r="L427" s="71"/>
      <c r="M427" s="71"/>
    </row>
    <row r="428" spans="1:13" s="72" customFormat="1" ht="15.2" customHeight="1">
      <c r="A428" s="69"/>
      <c r="B428" s="63"/>
      <c r="C428" s="69"/>
      <c r="D428" s="70"/>
      <c r="E428" s="62"/>
      <c r="F428" s="71"/>
      <c r="G428" s="71"/>
      <c r="H428" s="71"/>
      <c r="I428" s="71"/>
      <c r="J428" s="71"/>
      <c r="K428" s="71"/>
      <c r="L428" s="71"/>
      <c r="M428" s="71"/>
    </row>
    <row r="429" spans="1:13" s="72" customFormat="1" ht="15.2" customHeight="1">
      <c r="A429" s="69"/>
      <c r="B429" s="63"/>
      <c r="C429" s="69"/>
      <c r="D429" s="70"/>
      <c r="E429" s="62"/>
      <c r="F429" s="71"/>
      <c r="G429" s="71"/>
      <c r="H429" s="71"/>
      <c r="I429" s="71"/>
      <c r="J429" s="71"/>
      <c r="K429" s="71"/>
      <c r="L429" s="71"/>
      <c r="M429" s="71"/>
    </row>
    <row r="430" spans="1:13" s="72" customFormat="1" ht="15.2" customHeight="1">
      <c r="A430" s="69"/>
      <c r="B430" s="63"/>
      <c r="C430" s="69"/>
      <c r="D430" s="70"/>
      <c r="E430" s="62"/>
      <c r="F430" s="71"/>
      <c r="G430" s="71"/>
      <c r="H430" s="71"/>
      <c r="I430" s="71"/>
      <c r="J430" s="71"/>
      <c r="K430" s="71"/>
      <c r="L430" s="71"/>
      <c r="M430" s="71"/>
    </row>
    <row r="431" spans="1:13" s="72" customFormat="1" ht="15.2" customHeight="1">
      <c r="A431" s="69"/>
      <c r="B431" s="63"/>
      <c r="C431" s="69"/>
      <c r="D431" s="70"/>
      <c r="E431" s="62"/>
      <c r="F431" s="71"/>
      <c r="G431" s="71"/>
      <c r="H431" s="71"/>
      <c r="I431" s="71"/>
      <c r="J431" s="71"/>
      <c r="K431" s="71"/>
      <c r="L431" s="71"/>
      <c r="M431" s="71"/>
    </row>
    <row r="432" spans="1:13" s="72" customFormat="1" ht="15.2" customHeight="1">
      <c r="A432" s="69"/>
      <c r="B432" s="63"/>
      <c r="C432" s="69"/>
      <c r="D432" s="70"/>
      <c r="E432" s="62"/>
      <c r="F432" s="71"/>
      <c r="G432" s="71"/>
      <c r="H432" s="71"/>
      <c r="I432" s="71"/>
      <c r="J432" s="71"/>
      <c r="K432" s="71"/>
      <c r="L432" s="71"/>
      <c r="M432" s="71"/>
    </row>
    <row r="433" spans="1:15" s="72" customFormat="1" ht="15.2" customHeight="1">
      <c r="A433" s="69"/>
      <c r="B433" s="63"/>
      <c r="C433" s="69"/>
      <c r="D433" s="70"/>
      <c r="E433" s="62"/>
      <c r="F433" s="71"/>
      <c r="G433" s="71"/>
      <c r="H433" s="71"/>
      <c r="I433" s="71"/>
      <c r="J433" s="71"/>
      <c r="K433" s="71"/>
      <c r="L433" s="71"/>
      <c r="M433" s="71"/>
    </row>
    <row r="434" spans="1:15" s="72" customFormat="1" ht="15.2" customHeight="1">
      <c r="A434" s="69"/>
      <c r="B434" s="63"/>
      <c r="C434" s="69"/>
      <c r="D434" s="70"/>
      <c r="E434" s="62"/>
      <c r="F434" s="71"/>
      <c r="G434" s="71"/>
      <c r="H434" s="71"/>
      <c r="I434" s="71"/>
      <c r="J434" s="71"/>
      <c r="K434" s="71"/>
      <c r="L434" s="71"/>
      <c r="M434" s="71"/>
    </row>
    <row r="435" spans="1:15" s="72" customFormat="1" ht="15.2" customHeight="1">
      <c r="A435" s="69"/>
      <c r="B435" s="63"/>
      <c r="C435" s="69"/>
      <c r="D435" s="70"/>
      <c r="E435" s="62"/>
      <c r="F435" s="71"/>
      <c r="G435" s="71"/>
      <c r="H435" s="71"/>
      <c r="I435" s="71"/>
      <c r="J435" s="71"/>
      <c r="K435" s="71"/>
      <c r="L435" s="71"/>
      <c r="M435" s="71"/>
    </row>
    <row r="436" spans="1:15" s="72" customFormat="1" ht="15.2" customHeight="1">
      <c r="A436" s="69"/>
      <c r="B436" s="63"/>
      <c r="C436" s="69"/>
      <c r="D436" s="70"/>
      <c r="E436" s="62"/>
      <c r="F436" s="71"/>
      <c r="G436" s="71"/>
      <c r="H436" s="71"/>
      <c r="I436" s="71"/>
      <c r="J436" s="71"/>
      <c r="K436" s="71"/>
      <c r="L436" s="71"/>
      <c r="M436" s="71"/>
    </row>
    <row r="437" spans="1:15" s="72" customFormat="1" ht="15.2" customHeight="1">
      <c r="A437" s="69"/>
      <c r="B437" s="63"/>
      <c r="C437" s="69"/>
      <c r="D437" s="70"/>
      <c r="E437" s="62"/>
      <c r="F437" s="71"/>
      <c r="G437" s="71"/>
      <c r="H437" s="71"/>
      <c r="I437" s="71"/>
      <c r="J437" s="71"/>
      <c r="K437" s="71"/>
      <c r="L437" s="71"/>
      <c r="M437" s="71"/>
    </row>
    <row r="438" spans="1:15" s="72" customFormat="1" ht="15.2" customHeight="1">
      <c r="A438" s="69"/>
      <c r="B438" s="63"/>
      <c r="C438" s="69"/>
      <c r="D438" s="70"/>
      <c r="E438" s="62"/>
      <c r="F438" s="71"/>
      <c r="G438" s="71"/>
      <c r="H438" s="71"/>
      <c r="I438" s="71"/>
      <c r="J438" s="71"/>
      <c r="K438" s="71"/>
      <c r="L438" s="71"/>
      <c r="M438" s="71"/>
    </row>
    <row r="439" spans="1:15" s="72" customFormat="1" ht="15.2" customHeight="1">
      <c r="A439" s="69"/>
      <c r="B439" s="63"/>
      <c r="C439" s="69"/>
      <c r="D439" s="70"/>
      <c r="E439" s="62"/>
      <c r="F439" s="71"/>
      <c r="G439" s="71"/>
      <c r="H439" s="71"/>
      <c r="I439" s="71"/>
      <c r="J439" s="71"/>
      <c r="K439" s="71"/>
      <c r="L439" s="71"/>
      <c r="M439" s="71"/>
    </row>
    <row r="440" spans="1:15" s="57" customFormat="1" ht="15.2" customHeight="1">
      <c r="B440" s="56"/>
      <c r="D440" s="58"/>
      <c r="E440" s="59"/>
      <c r="F440" s="73"/>
      <c r="G440" s="74"/>
      <c r="H440" s="73"/>
      <c r="I440" s="74"/>
      <c r="J440" s="73"/>
      <c r="K440" s="74"/>
      <c r="L440" s="74"/>
      <c r="M440" s="74"/>
      <c r="O440" s="72"/>
    </row>
    <row r="441" spans="1:15" s="57" customFormat="1" ht="15.2" customHeight="1">
      <c r="B441" s="56"/>
      <c r="D441" s="58"/>
      <c r="E441" s="59"/>
      <c r="F441" s="73"/>
      <c r="G441" s="74"/>
      <c r="H441" s="73"/>
      <c r="I441" s="74"/>
      <c r="J441" s="73"/>
      <c r="K441" s="74"/>
      <c r="L441" s="74"/>
      <c r="M441" s="74"/>
      <c r="O441" s="72"/>
    </row>
    <row r="442" spans="1:15" s="57" customFormat="1" ht="15.2" customHeight="1">
      <c r="B442" s="56"/>
      <c r="D442" s="58"/>
      <c r="E442" s="59"/>
      <c r="F442" s="73"/>
      <c r="G442" s="74"/>
      <c r="H442" s="73"/>
      <c r="I442" s="74"/>
      <c r="J442" s="73"/>
      <c r="K442" s="74"/>
      <c r="L442" s="74"/>
      <c r="M442" s="74"/>
      <c r="O442" s="72"/>
    </row>
    <row r="443" spans="1:15" s="57" customFormat="1" ht="15.2" customHeight="1">
      <c r="B443" s="56"/>
      <c r="D443" s="58"/>
      <c r="E443" s="59"/>
      <c r="F443" s="73"/>
      <c r="G443" s="74"/>
      <c r="H443" s="73"/>
      <c r="I443" s="74"/>
      <c r="J443" s="73"/>
      <c r="K443" s="74"/>
      <c r="L443" s="74"/>
      <c r="M443" s="74"/>
      <c r="O443" s="72"/>
    </row>
    <row r="444" spans="1:15" s="57" customFormat="1" ht="15.2" customHeight="1">
      <c r="B444" s="56"/>
      <c r="D444" s="58"/>
      <c r="E444" s="59"/>
      <c r="F444" s="73"/>
      <c r="G444" s="74"/>
      <c r="H444" s="73"/>
      <c r="I444" s="74"/>
      <c r="J444" s="73"/>
      <c r="K444" s="74"/>
      <c r="L444" s="74"/>
      <c r="M444" s="74"/>
      <c r="O444" s="72"/>
    </row>
    <row r="445" spans="1:15" s="57" customFormat="1" ht="15.2" customHeight="1">
      <c r="B445" s="56"/>
      <c r="D445" s="58"/>
      <c r="E445" s="59"/>
      <c r="F445" s="73"/>
      <c r="G445" s="74"/>
      <c r="H445" s="73"/>
      <c r="I445" s="74"/>
      <c r="J445" s="73"/>
      <c r="K445" s="74"/>
      <c r="L445" s="74"/>
      <c r="M445" s="74"/>
      <c r="O445" s="72"/>
    </row>
    <row r="446" spans="1:15" s="57" customFormat="1" ht="15.2" customHeight="1">
      <c r="B446" s="56"/>
      <c r="D446" s="58"/>
      <c r="E446" s="59"/>
      <c r="F446" s="73"/>
      <c r="G446" s="74"/>
      <c r="H446" s="73"/>
      <c r="I446" s="74"/>
      <c r="J446" s="73"/>
      <c r="K446" s="74"/>
      <c r="L446" s="74"/>
      <c r="M446" s="74"/>
      <c r="O446" s="72"/>
    </row>
    <row r="447" spans="1:15" s="57" customFormat="1" ht="15.2" customHeight="1">
      <c r="B447" s="56"/>
      <c r="D447" s="58"/>
      <c r="E447" s="59"/>
      <c r="F447" s="73"/>
      <c r="G447" s="74"/>
      <c r="H447" s="73"/>
      <c r="I447" s="74"/>
      <c r="J447" s="73"/>
      <c r="K447" s="74"/>
      <c r="L447" s="74"/>
      <c r="M447" s="74"/>
      <c r="O447" s="72"/>
    </row>
    <row r="448" spans="1:15" s="57" customFormat="1" ht="15.2" customHeight="1">
      <c r="B448" s="56"/>
      <c r="D448" s="58"/>
      <c r="E448" s="59"/>
      <c r="F448" s="73"/>
      <c r="G448" s="74"/>
      <c r="H448" s="73"/>
      <c r="I448" s="74"/>
      <c r="J448" s="73"/>
      <c r="K448" s="74"/>
      <c r="L448" s="74"/>
      <c r="M448" s="74"/>
      <c r="O448" s="72"/>
    </row>
    <row r="449" spans="2:15" s="57" customFormat="1" ht="15.2" customHeight="1">
      <c r="B449" s="56"/>
      <c r="D449" s="58"/>
      <c r="E449" s="59"/>
      <c r="F449" s="73"/>
      <c r="G449" s="74"/>
      <c r="H449" s="73"/>
      <c r="I449" s="74"/>
      <c r="J449" s="73"/>
      <c r="K449" s="74"/>
      <c r="L449" s="74"/>
      <c r="M449" s="74"/>
      <c r="O449" s="72"/>
    </row>
    <row r="450" spans="2:15" s="57" customFormat="1" ht="15.2" customHeight="1">
      <c r="B450" s="56"/>
      <c r="D450" s="58"/>
      <c r="E450" s="59"/>
      <c r="F450" s="73"/>
      <c r="G450" s="74"/>
      <c r="H450" s="73"/>
      <c r="I450" s="74"/>
      <c r="J450" s="73"/>
      <c r="K450" s="74"/>
      <c r="L450" s="74"/>
      <c r="M450" s="74"/>
      <c r="O450" s="72"/>
    </row>
    <row r="451" spans="2:15" s="57" customFormat="1" ht="15.2" customHeight="1">
      <c r="B451" s="56"/>
      <c r="D451" s="58"/>
      <c r="E451" s="59"/>
      <c r="F451" s="73"/>
      <c r="G451" s="74"/>
      <c r="H451" s="73"/>
      <c r="I451" s="74"/>
      <c r="J451" s="73"/>
      <c r="K451" s="74"/>
      <c r="L451" s="74"/>
      <c r="M451" s="74"/>
      <c r="O451" s="72"/>
    </row>
    <row r="452" spans="2:15" s="57" customFormat="1" ht="15.2" customHeight="1">
      <c r="B452" s="56"/>
      <c r="D452" s="58"/>
      <c r="E452" s="59"/>
      <c r="F452" s="73"/>
      <c r="G452" s="74"/>
      <c r="H452" s="73"/>
      <c r="I452" s="74"/>
      <c r="J452" s="73"/>
      <c r="K452" s="74"/>
      <c r="L452" s="74"/>
      <c r="M452" s="74"/>
    </row>
    <row r="453" spans="2:15" s="57" customFormat="1" ht="15.2" customHeight="1">
      <c r="B453" s="56"/>
      <c r="D453" s="58"/>
      <c r="E453" s="59"/>
      <c r="F453" s="73"/>
      <c r="G453" s="74"/>
      <c r="H453" s="73"/>
      <c r="I453" s="74"/>
      <c r="J453" s="73"/>
      <c r="K453" s="74"/>
      <c r="L453" s="74"/>
      <c r="M453" s="74"/>
    </row>
    <row r="454" spans="2:15" s="57" customFormat="1" ht="15.2" customHeight="1">
      <c r="B454" s="56"/>
      <c r="D454" s="58"/>
      <c r="E454" s="59"/>
      <c r="F454" s="73"/>
      <c r="G454" s="74"/>
      <c r="H454" s="73"/>
      <c r="I454" s="74"/>
      <c r="J454" s="73"/>
      <c r="K454" s="74"/>
      <c r="L454" s="74"/>
      <c r="M454" s="74"/>
    </row>
    <row r="455" spans="2:15" s="57" customFormat="1" ht="15.2" customHeight="1">
      <c r="B455" s="56"/>
      <c r="D455" s="58"/>
      <c r="E455" s="59"/>
      <c r="F455" s="73"/>
      <c r="G455" s="74"/>
      <c r="H455" s="73"/>
      <c r="I455" s="74"/>
      <c r="J455" s="73"/>
      <c r="K455" s="74"/>
      <c r="L455" s="74"/>
      <c r="M455" s="74"/>
    </row>
    <row r="456" spans="2:15" s="57" customFormat="1" ht="15.2" customHeight="1">
      <c r="B456" s="56"/>
      <c r="D456" s="58"/>
      <c r="E456" s="59"/>
      <c r="F456" s="73"/>
      <c r="G456" s="74"/>
      <c r="H456" s="73"/>
      <c r="I456" s="74"/>
      <c r="J456" s="73"/>
      <c r="K456" s="74"/>
      <c r="L456" s="74"/>
      <c r="M456" s="74"/>
    </row>
    <row r="457" spans="2:15" s="57" customFormat="1" ht="15.2" customHeight="1">
      <c r="B457" s="56"/>
      <c r="D457" s="58"/>
      <c r="E457" s="59"/>
      <c r="F457" s="73"/>
      <c r="G457" s="74"/>
      <c r="H457" s="73"/>
      <c r="I457" s="74"/>
      <c r="J457" s="73"/>
      <c r="K457" s="74"/>
      <c r="L457" s="74"/>
      <c r="M457" s="74"/>
    </row>
    <row r="458" spans="2:15" s="57" customFormat="1" ht="15.2" customHeight="1">
      <c r="B458" s="56"/>
      <c r="D458" s="58"/>
      <c r="E458" s="59"/>
      <c r="F458" s="73"/>
      <c r="G458" s="74"/>
      <c r="H458" s="73"/>
      <c r="I458" s="74"/>
      <c r="J458" s="73"/>
      <c r="K458" s="74"/>
      <c r="L458" s="74"/>
      <c r="M458" s="74"/>
    </row>
    <row r="459" spans="2:15" s="57" customFormat="1" ht="15.2" customHeight="1">
      <c r="B459" s="56"/>
      <c r="D459" s="58"/>
      <c r="E459" s="59"/>
      <c r="F459" s="73"/>
      <c r="G459" s="74"/>
      <c r="H459" s="73"/>
      <c r="I459" s="74"/>
      <c r="J459" s="73"/>
      <c r="K459" s="74"/>
      <c r="L459" s="74"/>
      <c r="M459" s="74"/>
    </row>
    <row r="460" spans="2:15" s="57" customFormat="1" ht="15.2" customHeight="1">
      <c r="B460" s="56"/>
      <c r="D460" s="58"/>
      <c r="E460" s="59"/>
      <c r="F460" s="73"/>
      <c r="G460" s="74"/>
      <c r="H460" s="73"/>
      <c r="I460" s="74"/>
      <c r="J460" s="73"/>
      <c r="K460" s="74"/>
      <c r="L460" s="74"/>
      <c r="M460" s="74"/>
    </row>
    <row r="461" spans="2:15" s="57" customFormat="1" ht="15.2" customHeight="1">
      <c r="B461" s="56"/>
      <c r="D461" s="58"/>
      <c r="E461" s="59"/>
      <c r="F461" s="73"/>
      <c r="G461" s="74"/>
      <c r="H461" s="73"/>
      <c r="I461" s="74"/>
      <c r="J461" s="73"/>
      <c r="K461" s="74"/>
      <c r="L461" s="74"/>
      <c r="M461" s="74"/>
    </row>
    <row r="462" spans="2:15" s="57" customFormat="1" ht="15.2" customHeight="1">
      <c r="B462" s="56"/>
      <c r="D462" s="58"/>
      <c r="E462" s="59"/>
      <c r="F462" s="73"/>
      <c r="G462" s="74"/>
      <c r="H462" s="73"/>
      <c r="I462" s="74"/>
      <c r="J462" s="73"/>
      <c r="K462" s="74"/>
      <c r="L462" s="74"/>
      <c r="M462" s="74"/>
    </row>
    <row r="463" spans="2:15" s="57" customFormat="1" ht="15.2" customHeight="1">
      <c r="B463" s="56"/>
      <c r="D463" s="58"/>
      <c r="E463" s="59"/>
      <c r="F463" s="73"/>
      <c r="G463" s="74"/>
      <c r="H463" s="73"/>
      <c r="I463" s="74"/>
      <c r="J463" s="73"/>
      <c r="K463" s="74"/>
      <c r="L463" s="74"/>
      <c r="M463" s="74"/>
    </row>
    <row r="464" spans="2:15" s="57" customFormat="1" ht="15.2" customHeight="1">
      <c r="B464" s="56"/>
      <c r="D464" s="58"/>
      <c r="E464" s="59"/>
      <c r="F464" s="73"/>
      <c r="G464" s="74"/>
      <c r="H464" s="73"/>
      <c r="I464" s="74"/>
      <c r="J464" s="73"/>
      <c r="K464" s="74"/>
      <c r="L464" s="74"/>
      <c r="M464" s="74"/>
    </row>
    <row r="465" spans="2:15" s="57" customFormat="1" ht="15.2" customHeight="1">
      <c r="B465" s="56"/>
      <c r="D465" s="58"/>
      <c r="E465" s="59"/>
      <c r="F465" s="73"/>
      <c r="G465" s="74"/>
      <c r="H465" s="73"/>
      <c r="I465" s="74"/>
      <c r="J465" s="73"/>
      <c r="K465" s="74"/>
      <c r="L465" s="74"/>
      <c r="M465" s="74"/>
    </row>
    <row r="466" spans="2:15" s="57" customFormat="1" ht="15.2" customHeight="1">
      <c r="B466" s="56"/>
      <c r="D466" s="58"/>
      <c r="E466" s="59"/>
      <c r="F466" s="73"/>
      <c r="G466" s="74"/>
      <c r="H466" s="73"/>
      <c r="I466" s="74"/>
      <c r="J466" s="73"/>
      <c r="K466" s="74"/>
      <c r="L466" s="74"/>
      <c r="M466" s="74"/>
    </row>
    <row r="467" spans="2:15" s="57" customFormat="1" ht="15.2" customHeight="1">
      <c r="B467" s="56"/>
      <c r="D467" s="58"/>
      <c r="E467" s="59"/>
      <c r="F467" s="73"/>
      <c r="G467" s="74"/>
      <c r="H467" s="73"/>
      <c r="I467" s="74"/>
      <c r="J467" s="73"/>
      <c r="K467" s="74"/>
      <c r="L467" s="74"/>
      <c r="M467" s="74"/>
    </row>
    <row r="468" spans="2:15" s="57" customFormat="1" ht="15.2" customHeight="1">
      <c r="B468" s="56"/>
      <c r="D468" s="58"/>
      <c r="E468" s="59"/>
      <c r="F468" s="73"/>
      <c r="G468" s="74"/>
      <c r="H468" s="73"/>
      <c r="I468" s="74"/>
      <c r="J468" s="73"/>
      <c r="K468" s="74"/>
      <c r="L468" s="74"/>
      <c r="M468" s="74"/>
    </row>
    <row r="469" spans="2:15" s="57" customFormat="1" ht="15.2" customHeight="1">
      <c r="B469" s="56"/>
      <c r="D469" s="58"/>
      <c r="E469" s="59"/>
      <c r="F469" s="73"/>
      <c r="G469" s="74"/>
      <c r="H469" s="73"/>
      <c r="I469" s="74"/>
      <c r="J469" s="73"/>
      <c r="K469" s="74"/>
      <c r="L469" s="74"/>
      <c r="M469" s="74"/>
    </row>
    <row r="470" spans="2:15" s="57" customFormat="1" ht="15.2" customHeight="1">
      <c r="B470" s="56"/>
      <c r="D470" s="58"/>
      <c r="E470" s="59"/>
      <c r="F470" s="73"/>
      <c r="G470" s="74"/>
      <c r="H470" s="73"/>
      <c r="I470" s="74"/>
      <c r="J470" s="73"/>
      <c r="K470" s="74"/>
      <c r="L470" s="74"/>
      <c r="M470" s="74"/>
    </row>
    <row r="471" spans="2:15" s="57" customFormat="1" ht="15.2" customHeight="1">
      <c r="B471" s="56"/>
      <c r="D471" s="58"/>
      <c r="E471" s="59"/>
      <c r="F471" s="73"/>
      <c r="G471" s="74"/>
      <c r="H471" s="73"/>
      <c r="I471" s="74"/>
      <c r="J471" s="73"/>
      <c r="K471" s="74"/>
      <c r="L471" s="74"/>
      <c r="M471" s="74"/>
    </row>
    <row r="472" spans="2:15" s="57" customFormat="1" ht="15.2" customHeight="1">
      <c r="B472" s="56"/>
      <c r="D472" s="58"/>
      <c r="E472" s="59"/>
      <c r="F472" s="73"/>
      <c r="G472" s="74"/>
      <c r="H472" s="73"/>
      <c r="I472" s="74"/>
      <c r="J472" s="73"/>
      <c r="K472" s="74"/>
      <c r="L472" s="74"/>
      <c r="M472" s="74"/>
    </row>
    <row r="473" spans="2:15" s="57" customFormat="1" ht="15.2" customHeight="1">
      <c r="B473" s="56"/>
      <c r="D473" s="58"/>
      <c r="E473" s="59"/>
      <c r="F473" s="73"/>
      <c r="G473" s="74"/>
      <c r="H473" s="73"/>
      <c r="I473" s="74"/>
      <c r="J473" s="73"/>
      <c r="K473" s="74"/>
      <c r="L473" s="74"/>
      <c r="M473" s="74"/>
    </row>
    <row r="474" spans="2:15" s="57" customFormat="1" ht="15.2" customHeight="1">
      <c r="B474" s="56"/>
      <c r="D474" s="58"/>
      <c r="E474" s="59"/>
      <c r="F474" s="73"/>
      <c r="G474" s="74"/>
      <c r="H474" s="73"/>
      <c r="I474" s="74"/>
      <c r="J474" s="73"/>
      <c r="K474" s="74"/>
      <c r="L474" s="74"/>
      <c r="M474" s="74"/>
    </row>
    <row r="475" spans="2:15" s="57" customFormat="1" ht="15.2" customHeight="1">
      <c r="B475" s="56"/>
      <c r="D475" s="58"/>
      <c r="E475" s="59"/>
      <c r="F475" s="73"/>
      <c r="G475" s="74"/>
      <c r="H475" s="73"/>
      <c r="I475" s="74"/>
      <c r="J475" s="73"/>
      <c r="K475" s="74"/>
      <c r="L475" s="74"/>
      <c r="M475" s="74"/>
    </row>
    <row r="476" spans="2:15" s="57" customFormat="1" ht="15.2" customHeight="1">
      <c r="B476" s="56"/>
      <c r="D476" s="58"/>
      <c r="E476" s="59"/>
      <c r="F476" s="60"/>
      <c r="G476" s="61"/>
      <c r="H476" s="60"/>
      <c r="I476" s="61"/>
      <c r="J476" s="60"/>
      <c r="K476" s="61"/>
      <c r="L476" s="61"/>
      <c r="M476" s="61"/>
    </row>
    <row r="477" spans="2:15" s="57" customFormat="1" ht="15.2" customHeight="1">
      <c r="B477" s="56"/>
      <c r="D477" s="58"/>
      <c r="E477" s="59"/>
      <c r="F477" s="60"/>
      <c r="G477" s="61"/>
      <c r="H477" s="60"/>
      <c r="I477" s="61"/>
      <c r="J477" s="60"/>
      <c r="K477" s="61"/>
      <c r="L477" s="61"/>
      <c r="M477" s="61"/>
    </row>
    <row r="478" spans="2:15" ht="15.2" customHeight="1">
      <c r="O478" s="57"/>
    </row>
    <row r="479" spans="2:15" ht="15.2" customHeight="1">
      <c r="O479" s="57"/>
    </row>
    <row r="480" spans="2:15" ht="15.2" customHeight="1">
      <c r="O480" s="57"/>
    </row>
    <row r="481" spans="15:15" ht="15.2" customHeight="1">
      <c r="O481" s="57"/>
    </row>
    <row r="482" spans="15:15" ht="15.2" customHeight="1">
      <c r="O482" s="57"/>
    </row>
    <row r="483" spans="15:15" ht="15.2" customHeight="1">
      <c r="O483" s="57"/>
    </row>
    <row r="484" spans="15:15" ht="15.2" customHeight="1">
      <c r="O484" s="57"/>
    </row>
    <row r="485" spans="15:15" ht="15.2" customHeight="1">
      <c r="O485" s="57"/>
    </row>
    <row r="486" spans="15:15" ht="15.2" customHeight="1">
      <c r="O486" s="57"/>
    </row>
    <row r="487" spans="15:15" ht="15.2" customHeight="1">
      <c r="O487" s="57"/>
    </row>
    <row r="488" spans="15:15" ht="15.2" customHeight="1">
      <c r="O488" s="57"/>
    </row>
    <row r="489" spans="15:15" ht="15.2" customHeight="1">
      <c r="O489" s="57"/>
    </row>
  </sheetData>
  <mergeCells count="18">
    <mergeCell ref="A1:M1"/>
    <mergeCell ref="J3:K3"/>
    <mergeCell ref="A3:A4"/>
    <mergeCell ref="L3:M3"/>
    <mergeCell ref="H3:I3"/>
    <mergeCell ref="L2:M2"/>
    <mergeCell ref="B3:B4"/>
    <mergeCell ref="C3:C4"/>
    <mergeCell ref="D3:D4"/>
    <mergeCell ref="E3:E4"/>
    <mergeCell ref="F3:G3"/>
    <mergeCell ref="A304:E304"/>
    <mergeCell ref="A5:E5"/>
    <mergeCell ref="A62:E62"/>
    <mergeCell ref="A132:E132"/>
    <mergeCell ref="A150:E150"/>
    <mergeCell ref="A189:E189"/>
    <mergeCell ref="A217:E217"/>
  </mergeCells>
  <phoneticPr fontId="2" type="noConversion"/>
  <printOptions horizontalCentered="1"/>
  <pageMargins left="0.7" right="0.31" top="0.54" bottom="0.51" header="0.19685039370078741" footer="0.4"/>
  <pageSetup paperSize="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C000"/>
  </sheetPr>
  <dimension ref="A1:O230"/>
  <sheetViews>
    <sheetView view="pageBreakPreview" zoomScaleSheetLayoutView="100" workbookViewId="0">
      <pane xSplit="2" ySplit="5" topLeftCell="C6" activePane="bottomRight" state="frozen"/>
      <selection activeCell="B39" sqref="B39"/>
      <selection pane="topRight" activeCell="B39" sqref="B39"/>
      <selection pane="bottomLeft" activeCell="B39" sqref="B39"/>
      <selection pane="bottomRight" activeCell="A3" sqref="A3:A5"/>
    </sheetView>
  </sheetViews>
  <sheetFormatPr defaultRowHeight="15.95" customHeight="1"/>
  <cols>
    <col min="1" max="1" width="22.6640625" style="1" customWidth="1"/>
    <col min="2" max="2" width="16.5546875" style="1" customWidth="1"/>
    <col min="3" max="3" width="6" style="1" customWidth="1"/>
    <col min="4" max="4" width="5.6640625" style="1" customWidth="1"/>
    <col min="5" max="5" width="5.88671875" style="2" customWidth="1"/>
    <col min="6" max="6" width="9.21875" style="1" customWidth="1"/>
    <col min="7" max="7" width="5.88671875" style="2" customWidth="1"/>
    <col min="8" max="8" width="9.109375" style="1" customWidth="1"/>
    <col min="9" max="9" width="5.88671875" style="2" customWidth="1"/>
    <col min="10" max="10" width="9.33203125" style="1" customWidth="1"/>
    <col min="11" max="11" width="5.88671875" style="2" customWidth="1"/>
    <col min="12" max="12" width="9.5546875" style="1" customWidth="1"/>
    <col min="13" max="13" width="11.6640625" style="6" bestFit="1" customWidth="1"/>
    <col min="14" max="14" width="6.109375" style="1" customWidth="1"/>
    <col min="15" max="15" width="7.5546875" style="1" bestFit="1" customWidth="1"/>
    <col min="16" max="16384" width="8.88671875" style="1"/>
  </cols>
  <sheetData>
    <row r="1" spans="1:15" ht="32.25" customHeight="1">
      <c r="A1" s="985" t="s">
        <v>464</v>
      </c>
      <c r="B1" s="985"/>
      <c r="C1" s="985"/>
      <c r="D1" s="985"/>
      <c r="E1" s="985"/>
      <c r="F1" s="985"/>
      <c r="G1" s="985"/>
      <c r="H1" s="985"/>
      <c r="I1" s="985"/>
      <c r="J1" s="985"/>
      <c r="K1" s="985"/>
      <c r="L1" s="985"/>
      <c r="M1" s="985"/>
    </row>
    <row r="2" spans="1:15" ht="12">
      <c r="L2" s="987">
        <v>2015.11</v>
      </c>
      <c r="M2" s="987"/>
    </row>
    <row r="3" spans="1:15" s="3" customFormat="1" ht="15.95" customHeight="1">
      <c r="A3" s="986" t="s">
        <v>465</v>
      </c>
      <c r="B3" s="986" t="s">
        <v>1211</v>
      </c>
      <c r="C3" s="986" t="s">
        <v>466</v>
      </c>
      <c r="D3" s="986" t="s">
        <v>1428</v>
      </c>
      <c r="E3" s="986" t="s">
        <v>467</v>
      </c>
      <c r="F3" s="986"/>
      <c r="G3" s="986"/>
      <c r="H3" s="986"/>
      <c r="I3" s="986"/>
      <c r="J3" s="986"/>
      <c r="K3" s="986"/>
      <c r="L3" s="986"/>
      <c r="M3" s="986" t="s">
        <v>2031</v>
      </c>
    </row>
    <row r="4" spans="1:15" s="3" customFormat="1" ht="15.95" customHeight="1">
      <c r="A4" s="986"/>
      <c r="B4" s="986"/>
      <c r="C4" s="986"/>
      <c r="D4" s="986"/>
      <c r="E4" s="986" t="s">
        <v>4046</v>
      </c>
      <c r="F4" s="986"/>
      <c r="G4" s="986" t="s">
        <v>4047</v>
      </c>
      <c r="H4" s="986"/>
      <c r="I4" s="986" t="s">
        <v>3920</v>
      </c>
      <c r="J4" s="986"/>
      <c r="K4" s="986" t="s">
        <v>3921</v>
      </c>
      <c r="L4" s="986"/>
      <c r="M4" s="986"/>
    </row>
    <row r="5" spans="1:15" s="3" customFormat="1" ht="15.95" customHeight="1">
      <c r="A5" s="986"/>
      <c r="B5" s="986"/>
      <c r="C5" s="986"/>
      <c r="D5" s="986"/>
      <c r="E5" s="508" t="s">
        <v>2032</v>
      </c>
      <c r="F5" s="507" t="s">
        <v>2033</v>
      </c>
      <c r="G5" s="508" t="s">
        <v>2032</v>
      </c>
      <c r="H5" s="507" t="s">
        <v>2033</v>
      </c>
      <c r="I5" s="508" t="s">
        <v>2032</v>
      </c>
      <c r="J5" s="507" t="s">
        <v>2033</v>
      </c>
      <c r="K5" s="508" t="s">
        <v>2032</v>
      </c>
      <c r="L5" s="507" t="s">
        <v>2033</v>
      </c>
      <c r="M5" s="986"/>
    </row>
    <row r="6" spans="1:15" s="3" customFormat="1" ht="15.95" customHeight="1">
      <c r="A6" s="982" t="s">
        <v>468</v>
      </c>
      <c r="B6" s="983"/>
      <c r="C6" s="983"/>
      <c r="D6" s="983"/>
      <c r="E6" s="983"/>
      <c r="F6" s="983"/>
      <c r="G6" s="983"/>
      <c r="H6" s="983"/>
      <c r="I6" s="983"/>
      <c r="J6" s="983"/>
      <c r="K6" s="983"/>
      <c r="L6" s="983"/>
      <c r="M6" s="984"/>
    </row>
    <row r="7" spans="1:15" ht="15.95" customHeight="1">
      <c r="A7" s="657" t="s">
        <v>3344</v>
      </c>
      <c r="B7" s="657" t="s">
        <v>2034</v>
      </c>
      <c r="C7" s="658">
        <v>1</v>
      </c>
      <c r="D7" s="658" t="s">
        <v>2035</v>
      </c>
      <c r="E7" s="666"/>
      <c r="F7" s="667"/>
      <c r="G7" s="666"/>
      <c r="H7" s="667"/>
      <c r="I7" s="666"/>
      <c r="J7" s="667"/>
      <c r="K7" s="666"/>
      <c r="L7" s="734">
        <f>TRUNC(O7/1.1,2)</f>
        <v>1324.27</v>
      </c>
      <c r="M7" s="685">
        <f>MIN(F7,H7,J7,L7)</f>
        <v>1324.27</v>
      </c>
      <c r="N7" s="735"/>
      <c r="O7" s="736">
        <v>1456.7</v>
      </c>
    </row>
    <row r="8" spans="1:15" ht="15.95" customHeight="1">
      <c r="A8" s="657" t="s">
        <v>3345</v>
      </c>
      <c r="B8" s="657" t="s">
        <v>2036</v>
      </c>
      <c r="C8" s="658">
        <v>1</v>
      </c>
      <c r="D8" s="658" t="s">
        <v>2035</v>
      </c>
      <c r="E8" s="666"/>
      <c r="F8" s="667"/>
      <c r="G8" s="666"/>
      <c r="H8" s="667"/>
      <c r="I8" s="666"/>
      <c r="J8" s="667"/>
      <c r="K8" s="666"/>
      <c r="L8" s="734">
        <f t="shared" ref="L8:L10" si="0">TRUNC(O8/1.1,2)</f>
        <v>1114.9000000000001</v>
      </c>
      <c r="M8" s="685">
        <f t="shared" ref="M8:M32" si="1">MIN(F8,H8,J8,L8)</f>
        <v>1114.9000000000001</v>
      </c>
      <c r="N8" s="735"/>
      <c r="O8" s="736">
        <v>1226.4000000000001</v>
      </c>
    </row>
    <row r="9" spans="1:15" ht="15.95" customHeight="1">
      <c r="A9" s="657" t="s">
        <v>3346</v>
      </c>
      <c r="B9" s="657" t="s">
        <v>2037</v>
      </c>
      <c r="C9" s="658">
        <v>1</v>
      </c>
      <c r="D9" s="658" t="s">
        <v>2035</v>
      </c>
      <c r="E9" s="666"/>
      <c r="F9" s="667"/>
      <c r="G9" s="666"/>
      <c r="H9" s="667"/>
      <c r="I9" s="666"/>
      <c r="J9" s="667"/>
      <c r="K9" s="666"/>
      <c r="L9" s="734">
        <f t="shared" si="0"/>
        <v>798.18</v>
      </c>
      <c r="M9" s="685">
        <f t="shared" si="1"/>
        <v>798.18</v>
      </c>
      <c r="N9" s="735"/>
      <c r="O9" s="736">
        <v>878</v>
      </c>
    </row>
    <row r="10" spans="1:15" ht="15.95" customHeight="1">
      <c r="A10" s="657" t="s">
        <v>3347</v>
      </c>
      <c r="B10" s="657"/>
      <c r="C10" s="658">
        <v>1</v>
      </c>
      <c r="D10" s="658" t="s">
        <v>2035</v>
      </c>
      <c r="E10" s="666"/>
      <c r="F10" s="667"/>
      <c r="G10" s="666"/>
      <c r="H10" s="667"/>
      <c r="I10" s="666"/>
      <c r="J10" s="667"/>
      <c r="K10" s="666"/>
      <c r="L10" s="734">
        <f t="shared" si="0"/>
        <v>744.18</v>
      </c>
      <c r="M10" s="685">
        <f t="shared" si="1"/>
        <v>744.18</v>
      </c>
      <c r="O10" s="617">
        <v>818.6</v>
      </c>
    </row>
    <row r="11" spans="1:15" s="3" customFormat="1" ht="15.95" customHeight="1">
      <c r="A11" s="982" t="s">
        <v>469</v>
      </c>
      <c r="B11" s="983"/>
      <c r="C11" s="983"/>
      <c r="D11" s="983"/>
      <c r="E11" s="983"/>
      <c r="F11" s="983"/>
      <c r="G11" s="983"/>
      <c r="H11" s="983"/>
      <c r="I11" s="983"/>
      <c r="J11" s="983"/>
      <c r="K11" s="983"/>
      <c r="L11" s="983"/>
      <c r="M11" s="984"/>
    </row>
    <row r="12" spans="1:15" ht="15.95" customHeight="1">
      <c r="A12" s="660" t="s">
        <v>470</v>
      </c>
      <c r="B12" s="659"/>
      <c r="C12" s="658"/>
      <c r="D12" s="658" t="s">
        <v>2038</v>
      </c>
      <c r="E12" s="666"/>
      <c r="F12" s="667"/>
      <c r="G12" s="666"/>
      <c r="H12" s="667"/>
      <c r="I12" s="666"/>
      <c r="J12" s="667"/>
      <c r="K12" s="666"/>
      <c r="L12" s="734">
        <v>1157.7</v>
      </c>
      <c r="M12" s="685">
        <f t="shared" si="1"/>
        <v>1157.7</v>
      </c>
    </row>
    <row r="13" spans="1:15" s="3" customFormat="1" ht="15.95" customHeight="1">
      <c r="A13" s="982" t="s">
        <v>471</v>
      </c>
      <c r="B13" s="983"/>
      <c r="C13" s="983"/>
      <c r="D13" s="983"/>
      <c r="E13" s="983"/>
      <c r="F13" s="983"/>
      <c r="G13" s="983"/>
      <c r="H13" s="983"/>
      <c r="I13" s="983"/>
      <c r="J13" s="983"/>
      <c r="K13" s="983"/>
      <c r="L13" s="983"/>
      <c r="M13" s="984"/>
    </row>
    <row r="14" spans="1:15" ht="15.95" customHeight="1">
      <c r="A14" s="657" t="s">
        <v>2039</v>
      </c>
      <c r="B14" s="657" t="s">
        <v>3348</v>
      </c>
      <c r="C14" s="658">
        <v>1</v>
      </c>
      <c r="D14" s="661" t="s">
        <v>1432</v>
      </c>
      <c r="E14" s="723">
        <v>92</v>
      </c>
      <c r="F14" s="724">
        <v>23000</v>
      </c>
      <c r="G14" s="743">
        <v>103</v>
      </c>
      <c r="H14" s="744">
        <v>23000</v>
      </c>
      <c r="I14" s="723">
        <v>61</v>
      </c>
      <c r="J14" s="724">
        <v>24000</v>
      </c>
      <c r="K14" s="732">
        <v>132</v>
      </c>
      <c r="L14" s="733">
        <v>27000</v>
      </c>
      <c r="M14" s="685">
        <f t="shared" si="1"/>
        <v>23000</v>
      </c>
    </row>
    <row r="15" spans="1:15" ht="15.95" customHeight="1">
      <c r="A15" s="657" t="s">
        <v>2040</v>
      </c>
      <c r="B15" s="657" t="s">
        <v>3349</v>
      </c>
      <c r="C15" s="658">
        <v>1</v>
      </c>
      <c r="D15" s="661" t="s">
        <v>1432</v>
      </c>
      <c r="E15" s="723">
        <v>92</v>
      </c>
      <c r="F15" s="724">
        <v>23000</v>
      </c>
      <c r="G15" s="743">
        <v>103</v>
      </c>
      <c r="H15" s="744">
        <v>23000</v>
      </c>
      <c r="I15" s="723">
        <v>61</v>
      </c>
      <c r="J15" s="724">
        <v>25000</v>
      </c>
      <c r="K15" s="732">
        <v>132</v>
      </c>
      <c r="L15" s="733">
        <v>27000</v>
      </c>
      <c r="M15" s="685">
        <f t="shared" si="1"/>
        <v>23000</v>
      </c>
    </row>
    <row r="16" spans="1:15" ht="15.95" customHeight="1">
      <c r="A16" s="657" t="s">
        <v>2040</v>
      </c>
      <c r="B16" s="657" t="s">
        <v>1023</v>
      </c>
      <c r="C16" s="658">
        <v>1</v>
      </c>
      <c r="D16" s="661" t="s">
        <v>1432</v>
      </c>
      <c r="E16" s="723">
        <v>92</v>
      </c>
      <c r="F16" s="724">
        <v>23000</v>
      </c>
      <c r="G16" s="743">
        <v>103</v>
      </c>
      <c r="H16" s="744">
        <v>23000</v>
      </c>
      <c r="I16" s="723">
        <v>61</v>
      </c>
      <c r="J16" s="724">
        <v>25000</v>
      </c>
      <c r="K16" s="732">
        <v>132</v>
      </c>
      <c r="L16" s="733">
        <v>27000</v>
      </c>
      <c r="M16" s="685">
        <f t="shared" si="1"/>
        <v>23000</v>
      </c>
    </row>
    <row r="17" spans="1:13" ht="15.95" customHeight="1">
      <c r="A17" s="981" t="s">
        <v>3350</v>
      </c>
      <c r="B17" s="981" t="s">
        <v>472</v>
      </c>
      <c r="C17" s="658">
        <v>1</v>
      </c>
      <c r="D17" s="661" t="s">
        <v>1432</v>
      </c>
      <c r="E17" s="723">
        <v>92</v>
      </c>
      <c r="F17" s="724">
        <v>18000</v>
      </c>
      <c r="G17" s="743">
        <v>103</v>
      </c>
      <c r="H17" s="744">
        <v>17000</v>
      </c>
      <c r="I17" s="723">
        <v>61</v>
      </c>
      <c r="J17" s="724">
        <v>16500</v>
      </c>
      <c r="K17" s="732">
        <v>132</v>
      </c>
      <c r="L17" s="733">
        <v>20000</v>
      </c>
      <c r="M17" s="685">
        <f t="shared" si="1"/>
        <v>16500</v>
      </c>
    </row>
    <row r="18" spans="1:13" ht="15.95" customHeight="1">
      <c r="A18" s="981"/>
      <c r="B18" s="981"/>
      <c r="C18" s="658">
        <v>1</v>
      </c>
      <c r="D18" s="661" t="s">
        <v>1024</v>
      </c>
      <c r="E18" s="723"/>
      <c r="F18" s="724"/>
      <c r="G18" s="743">
        <v>101</v>
      </c>
      <c r="H18" s="744">
        <v>10000</v>
      </c>
      <c r="I18" s="668"/>
      <c r="J18" s="724">
        <v>9705</v>
      </c>
      <c r="K18" s="666"/>
      <c r="L18" s="667"/>
      <c r="M18" s="685">
        <f t="shared" si="1"/>
        <v>9705</v>
      </c>
    </row>
    <row r="19" spans="1:13" ht="15.95" customHeight="1">
      <c r="A19" s="981" t="s">
        <v>3351</v>
      </c>
      <c r="B19" s="981" t="s">
        <v>3352</v>
      </c>
      <c r="C19" s="658">
        <v>1</v>
      </c>
      <c r="D19" s="661" t="s">
        <v>1432</v>
      </c>
      <c r="E19" s="723">
        <v>92</v>
      </c>
      <c r="F19" s="724">
        <v>18000</v>
      </c>
      <c r="G19" s="743">
        <v>103</v>
      </c>
      <c r="H19" s="744">
        <v>17000</v>
      </c>
      <c r="I19" s="723">
        <v>61</v>
      </c>
      <c r="J19" s="724">
        <v>16500</v>
      </c>
      <c r="K19" s="732">
        <v>132</v>
      </c>
      <c r="L19" s="733">
        <v>20000</v>
      </c>
      <c r="M19" s="685">
        <f t="shared" si="1"/>
        <v>16500</v>
      </c>
    </row>
    <row r="20" spans="1:13" ht="15.95" customHeight="1">
      <c r="A20" s="981"/>
      <c r="B20" s="981"/>
      <c r="C20" s="658">
        <v>1</v>
      </c>
      <c r="D20" s="661" t="s">
        <v>1024</v>
      </c>
      <c r="E20" s="723"/>
      <c r="F20" s="724"/>
      <c r="G20" s="743">
        <v>101</v>
      </c>
      <c r="H20" s="744">
        <v>10303</v>
      </c>
      <c r="I20" s="668"/>
      <c r="J20" s="724">
        <v>10000</v>
      </c>
      <c r="K20" s="666"/>
      <c r="L20" s="667"/>
      <c r="M20" s="685">
        <f t="shared" si="1"/>
        <v>10000</v>
      </c>
    </row>
    <row r="21" spans="1:13" ht="15.95" customHeight="1">
      <c r="A21" s="657" t="s">
        <v>473</v>
      </c>
      <c r="B21" s="657" t="s">
        <v>1025</v>
      </c>
      <c r="C21" s="658">
        <v>1</v>
      </c>
      <c r="D21" s="661" t="s">
        <v>1026</v>
      </c>
      <c r="E21" s="723"/>
      <c r="F21" s="724"/>
      <c r="G21" s="668">
        <v>460</v>
      </c>
      <c r="H21" s="669"/>
      <c r="I21" s="668">
        <v>365</v>
      </c>
      <c r="J21" s="669"/>
      <c r="K21" s="732">
        <v>186</v>
      </c>
      <c r="L21" s="733">
        <v>2530</v>
      </c>
      <c r="M21" s="685">
        <f t="shared" si="1"/>
        <v>2530</v>
      </c>
    </row>
    <row r="22" spans="1:13" s="3" customFormat="1" ht="15.95" customHeight="1">
      <c r="A22" s="982" t="s">
        <v>474</v>
      </c>
      <c r="B22" s="983"/>
      <c r="C22" s="983"/>
      <c r="D22" s="983"/>
      <c r="E22" s="983"/>
      <c r="F22" s="983"/>
      <c r="G22" s="983"/>
      <c r="H22" s="983"/>
      <c r="I22" s="983"/>
      <c r="J22" s="983"/>
      <c r="K22" s="983"/>
      <c r="L22" s="983"/>
      <c r="M22" s="984"/>
    </row>
    <row r="23" spans="1:13" ht="15.95" customHeight="1">
      <c r="A23" s="988" t="s">
        <v>3353</v>
      </c>
      <c r="B23" s="981" t="s">
        <v>475</v>
      </c>
      <c r="C23" s="658">
        <v>1</v>
      </c>
      <c r="D23" s="661" t="s">
        <v>2462</v>
      </c>
      <c r="E23" s="723">
        <v>113</v>
      </c>
      <c r="F23" s="724">
        <v>620</v>
      </c>
      <c r="G23" s="743">
        <v>138</v>
      </c>
      <c r="H23" s="744">
        <v>650</v>
      </c>
      <c r="I23" s="723">
        <v>72</v>
      </c>
      <c r="J23" s="724">
        <v>680</v>
      </c>
      <c r="K23" s="666">
        <v>162</v>
      </c>
      <c r="L23" s="667"/>
      <c r="M23" s="685">
        <f t="shared" si="1"/>
        <v>620</v>
      </c>
    </row>
    <row r="24" spans="1:13" ht="15.95" customHeight="1">
      <c r="A24" s="988"/>
      <c r="B24" s="981"/>
      <c r="C24" s="658">
        <v>1</v>
      </c>
      <c r="D24" s="661" t="s">
        <v>1432</v>
      </c>
      <c r="E24" s="723"/>
      <c r="F24" s="724">
        <f>INT(F23*299.475)</f>
        <v>185674</v>
      </c>
      <c r="G24" s="743"/>
      <c r="H24" s="744">
        <f>INT(H23*299.475)</f>
        <v>194658</v>
      </c>
      <c r="I24" s="668"/>
      <c r="J24" s="724">
        <f>INT(J23*299.475)</f>
        <v>203643</v>
      </c>
      <c r="K24" s="666"/>
      <c r="L24" s="669"/>
      <c r="M24" s="685">
        <f t="shared" si="1"/>
        <v>185674</v>
      </c>
    </row>
    <row r="25" spans="1:13" ht="15.95" customHeight="1">
      <c r="A25" s="989" t="s">
        <v>3354</v>
      </c>
      <c r="B25" s="657" t="s">
        <v>1866</v>
      </c>
      <c r="C25" s="658">
        <v>1</v>
      </c>
      <c r="D25" s="661" t="s">
        <v>2463</v>
      </c>
      <c r="E25" s="723">
        <v>605</v>
      </c>
      <c r="F25" s="724">
        <v>19000</v>
      </c>
      <c r="G25" s="743">
        <v>677</v>
      </c>
      <c r="H25" s="744">
        <v>18700</v>
      </c>
      <c r="I25" s="723">
        <v>408</v>
      </c>
      <c r="J25" s="724">
        <v>17500</v>
      </c>
      <c r="K25" s="666">
        <v>361</v>
      </c>
      <c r="L25" s="667"/>
      <c r="M25" s="685">
        <f t="shared" si="1"/>
        <v>17500</v>
      </c>
    </row>
    <row r="26" spans="1:13" ht="15.95" customHeight="1">
      <c r="A26" s="989"/>
      <c r="B26" s="657" t="s">
        <v>2464</v>
      </c>
      <c r="C26" s="658">
        <v>1</v>
      </c>
      <c r="D26" s="661" t="s">
        <v>2465</v>
      </c>
      <c r="E26" s="723"/>
      <c r="F26" s="724">
        <f>INT(F25/1.6562)</f>
        <v>11472</v>
      </c>
      <c r="G26" s="743"/>
      <c r="H26" s="744">
        <f>INT(H25/1.6562)</f>
        <v>11290</v>
      </c>
      <c r="I26" s="668"/>
      <c r="J26" s="724">
        <f>INT(J25/1.6562)</f>
        <v>10566</v>
      </c>
      <c r="K26" s="666"/>
      <c r="L26" s="669"/>
      <c r="M26" s="685">
        <f t="shared" si="1"/>
        <v>10566</v>
      </c>
    </row>
    <row r="27" spans="1:13" ht="15.95" customHeight="1">
      <c r="A27" s="989" t="s">
        <v>3355</v>
      </c>
      <c r="B27" s="657" t="s">
        <v>1866</v>
      </c>
      <c r="C27" s="658">
        <v>1</v>
      </c>
      <c r="D27" s="661" t="s">
        <v>2463</v>
      </c>
      <c r="E27" s="723">
        <v>605</v>
      </c>
      <c r="F27" s="724">
        <v>28400</v>
      </c>
      <c r="G27" s="743">
        <v>677</v>
      </c>
      <c r="H27" s="744">
        <v>27500</v>
      </c>
      <c r="I27" s="723">
        <v>408</v>
      </c>
      <c r="J27" s="724">
        <v>26200</v>
      </c>
      <c r="K27" s="666">
        <v>361</v>
      </c>
      <c r="L27" s="667"/>
      <c r="M27" s="685">
        <f t="shared" si="1"/>
        <v>26200</v>
      </c>
    </row>
    <row r="28" spans="1:13" ht="15.95" customHeight="1">
      <c r="A28" s="989"/>
      <c r="B28" s="657" t="s">
        <v>2464</v>
      </c>
      <c r="C28" s="658">
        <v>1</v>
      </c>
      <c r="D28" s="661" t="s">
        <v>2465</v>
      </c>
      <c r="E28" s="723"/>
      <c r="F28" s="724">
        <f>INT(F27/2.9768)</f>
        <v>9540</v>
      </c>
      <c r="G28" s="743"/>
      <c r="H28" s="744">
        <f>INT(H27/2.9768)</f>
        <v>9238</v>
      </c>
      <c r="I28" s="668"/>
      <c r="J28" s="724">
        <f>INT(J27/2.9768)</f>
        <v>8801</v>
      </c>
      <c r="K28" s="666"/>
      <c r="L28" s="669"/>
      <c r="M28" s="685">
        <f t="shared" si="1"/>
        <v>8801</v>
      </c>
    </row>
    <row r="29" spans="1:13" ht="15.95" customHeight="1">
      <c r="A29" s="981" t="s">
        <v>2466</v>
      </c>
      <c r="B29" s="989" t="s">
        <v>3356</v>
      </c>
      <c r="C29" s="658">
        <v>1</v>
      </c>
      <c r="D29" s="661" t="s">
        <v>2462</v>
      </c>
      <c r="E29" s="723">
        <v>114</v>
      </c>
      <c r="F29" s="724">
        <v>1610</v>
      </c>
      <c r="G29" s="743">
        <v>139</v>
      </c>
      <c r="H29" s="744">
        <v>1600</v>
      </c>
      <c r="I29" s="723">
        <v>87</v>
      </c>
      <c r="J29" s="724">
        <v>1600</v>
      </c>
      <c r="K29" s="666">
        <v>163</v>
      </c>
      <c r="L29" s="667"/>
      <c r="M29" s="685">
        <f t="shared" si="1"/>
        <v>1600</v>
      </c>
    </row>
    <row r="30" spans="1:13" ht="15.95" customHeight="1">
      <c r="A30" s="981"/>
      <c r="B30" s="981"/>
      <c r="C30" s="658">
        <v>1</v>
      </c>
      <c r="D30" s="661" t="s">
        <v>1432</v>
      </c>
      <c r="E30" s="723"/>
      <c r="F30" s="724">
        <f>INT(F29*299.475)</f>
        <v>482154</v>
      </c>
      <c r="G30" s="743"/>
      <c r="H30" s="744">
        <f>INT(H29*299.475)</f>
        <v>479160</v>
      </c>
      <c r="I30" s="723"/>
      <c r="J30" s="724">
        <f>INT(J29*299.475)</f>
        <v>479160</v>
      </c>
      <c r="K30" s="666"/>
      <c r="L30" s="669"/>
      <c r="M30" s="685">
        <f t="shared" si="1"/>
        <v>479160</v>
      </c>
    </row>
    <row r="31" spans="1:13" ht="15.95" customHeight="1">
      <c r="A31" s="981" t="s">
        <v>2467</v>
      </c>
      <c r="B31" s="989" t="s">
        <v>3357</v>
      </c>
      <c r="C31" s="658">
        <v>1</v>
      </c>
      <c r="D31" s="661" t="s">
        <v>2462</v>
      </c>
      <c r="E31" s="723">
        <v>114</v>
      </c>
      <c r="F31" s="724">
        <v>1360</v>
      </c>
      <c r="G31" s="743">
        <v>139</v>
      </c>
      <c r="H31" s="744">
        <v>1450</v>
      </c>
      <c r="I31" s="723">
        <v>87</v>
      </c>
      <c r="J31" s="724">
        <v>1400</v>
      </c>
      <c r="K31" s="666">
        <v>163</v>
      </c>
      <c r="L31" s="667"/>
      <c r="M31" s="685">
        <f t="shared" si="1"/>
        <v>1360</v>
      </c>
    </row>
    <row r="32" spans="1:13" ht="15.95" customHeight="1">
      <c r="A32" s="981"/>
      <c r="B32" s="981"/>
      <c r="C32" s="658">
        <v>1</v>
      </c>
      <c r="D32" s="661" t="s">
        <v>1432</v>
      </c>
      <c r="E32" s="723"/>
      <c r="F32" s="724">
        <f>INT(F31*299.475)</f>
        <v>407286</v>
      </c>
      <c r="G32" s="743"/>
      <c r="H32" s="744">
        <f>INT(H31*299.475)</f>
        <v>434238</v>
      </c>
      <c r="I32" s="723"/>
      <c r="J32" s="724">
        <f>INT(J31*299.475)</f>
        <v>419265</v>
      </c>
      <c r="K32" s="666"/>
      <c r="L32" s="669"/>
      <c r="M32" s="685">
        <f t="shared" si="1"/>
        <v>407286</v>
      </c>
    </row>
    <row r="33" spans="1:13" s="3" customFormat="1" ht="15.95" customHeight="1">
      <c r="A33" s="982" t="s">
        <v>1867</v>
      </c>
      <c r="B33" s="983"/>
      <c r="C33" s="983"/>
      <c r="D33" s="983"/>
      <c r="E33" s="983"/>
      <c r="F33" s="983"/>
      <c r="G33" s="983"/>
      <c r="H33" s="983"/>
      <c r="I33" s="983"/>
      <c r="J33" s="983"/>
      <c r="K33" s="983"/>
      <c r="L33" s="983"/>
      <c r="M33" s="984"/>
    </row>
    <row r="34" spans="1:13" ht="15.95" customHeight="1">
      <c r="A34" s="657" t="s">
        <v>1868</v>
      </c>
      <c r="B34" s="657" t="s">
        <v>3358</v>
      </c>
      <c r="C34" s="658">
        <v>1</v>
      </c>
      <c r="D34" s="661" t="s">
        <v>2468</v>
      </c>
      <c r="E34" s="723">
        <v>75</v>
      </c>
      <c r="F34" s="724">
        <v>1250</v>
      </c>
      <c r="G34" s="743">
        <v>66</v>
      </c>
      <c r="H34" s="744">
        <v>1270</v>
      </c>
      <c r="I34" s="723">
        <v>56</v>
      </c>
      <c r="J34" s="724">
        <v>1270</v>
      </c>
      <c r="K34" s="666">
        <v>106</v>
      </c>
      <c r="L34" s="667"/>
      <c r="M34" s="685">
        <f>MIN(F34,H34,J34,L34)</f>
        <v>1250</v>
      </c>
    </row>
    <row r="35" spans="1:13" ht="15.95" customHeight="1">
      <c r="A35" s="657" t="s">
        <v>2469</v>
      </c>
      <c r="B35" s="657" t="s">
        <v>2470</v>
      </c>
      <c r="C35" s="658">
        <v>1</v>
      </c>
      <c r="D35" s="661" t="s">
        <v>2468</v>
      </c>
      <c r="E35" s="723">
        <v>75</v>
      </c>
      <c r="F35" s="724">
        <v>1286</v>
      </c>
      <c r="G35" s="743">
        <v>67</v>
      </c>
      <c r="H35" s="744">
        <v>1437</v>
      </c>
      <c r="I35" s="723">
        <v>56</v>
      </c>
      <c r="J35" s="724">
        <v>1100</v>
      </c>
      <c r="K35" s="666">
        <v>106</v>
      </c>
      <c r="L35" s="667"/>
      <c r="M35" s="685">
        <f>MIN(F35,H35,J35,L35)</f>
        <v>1100</v>
      </c>
    </row>
    <row r="36" spans="1:13" ht="15.95" customHeight="1">
      <c r="A36" s="657" t="s">
        <v>1869</v>
      </c>
      <c r="B36" s="657" t="s">
        <v>2471</v>
      </c>
      <c r="C36" s="658">
        <v>1</v>
      </c>
      <c r="D36" s="661" t="s">
        <v>2468</v>
      </c>
      <c r="E36" s="723">
        <v>75</v>
      </c>
      <c r="F36" s="724">
        <v>1530</v>
      </c>
      <c r="G36" s="743">
        <v>66</v>
      </c>
      <c r="H36" s="744">
        <v>1490</v>
      </c>
      <c r="I36" s="723">
        <v>56</v>
      </c>
      <c r="J36" s="724">
        <v>1490</v>
      </c>
      <c r="K36" s="666">
        <v>106</v>
      </c>
      <c r="L36" s="667"/>
      <c r="M36" s="685">
        <f>MIN(F36,H36,J36,L36)</f>
        <v>1490</v>
      </c>
    </row>
    <row r="37" spans="1:13" ht="15.95" customHeight="1">
      <c r="A37" s="657" t="s">
        <v>1870</v>
      </c>
      <c r="B37" s="657" t="s">
        <v>3359</v>
      </c>
      <c r="C37" s="658">
        <v>1</v>
      </c>
      <c r="D37" s="661" t="s">
        <v>2035</v>
      </c>
      <c r="E37" s="723">
        <v>133</v>
      </c>
      <c r="F37" s="724">
        <v>2000</v>
      </c>
      <c r="G37" s="743">
        <v>151</v>
      </c>
      <c r="H37" s="744">
        <v>1250</v>
      </c>
      <c r="I37" s="723">
        <v>96</v>
      </c>
      <c r="J37" s="724">
        <v>2000</v>
      </c>
      <c r="K37" s="666">
        <v>106</v>
      </c>
      <c r="L37" s="667"/>
      <c r="M37" s="685">
        <f>MIN(F37,H37,J37,L37)</f>
        <v>1250</v>
      </c>
    </row>
    <row r="38" spans="1:13" s="3" customFormat="1" ht="15.95" customHeight="1">
      <c r="A38" s="982" t="s">
        <v>1871</v>
      </c>
      <c r="B38" s="983"/>
      <c r="C38" s="983"/>
      <c r="D38" s="983"/>
      <c r="E38" s="983"/>
      <c r="F38" s="983"/>
      <c r="G38" s="983"/>
      <c r="H38" s="983"/>
      <c r="I38" s="983"/>
      <c r="J38" s="983"/>
      <c r="K38" s="983"/>
      <c r="L38" s="983"/>
      <c r="M38" s="984"/>
    </row>
    <row r="39" spans="1:13" ht="15.95" customHeight="1">
      <c r="A39" s="981" t="s">
        <v>1872</v>
      </c>
      <c r="B39" s="981" t="s">
        <v>2472</v>
      </c>
      <c r="C39" s="658">
        <v>1</v>
      </c>
      <c r="D39" s="661" t="s">
        <v>1434</v>
      </c>
      <c r="E39" s="723">
        <v>725</v>
      </c>
      <c r="F39" s="724">
        <v>10800</v>
      </c>
      <c r="G39" s="743">
        <v>745</v>
      </c>
      <c r="H39" s="744">
        <v>10290</v>
      </c>
      <c r="I39" s="723">
        <v>566</v>
      </c>
      <c r="J39" s="724">
        <v>10290</v>
      </c>
      <c r="K39" s="666">
        <v>537</v>
      </c>
      <c r="L39" s="667"/>
      <c r="M39" s="685">
        <f t="shared" ref="M39:M45" si="2">MIN(F39,H39,J39,L39)</f>
        <v>10290</v>
      </c>
    </row>
    <row r="40" spans="1:13" ht="15.95" customHeight="1">
      <c r="A40" s="981"/>
      <c r="B40" s="981"/>
      <c r="C40" s="658">
        <v>1</v>
      </c>
      <c r="D40" s="661" t="s">
        <v>2473</v>
      </c>
      <c r="E40" s="723"/>
      <c r="F40" s="724">
        <f>INT(F39/4)</f>
        <v>2700</v>
      </c>
      <c r="G40" s="743"/>
      <c r="H40" s="744">
        <f>INT(H39/4)</f>
        <v>2572</v>
      </c>
      <c r="I40" s="723"/>
      <c r="J40" s="724">
        <f>INT(J39/4)</f>
        <v>2572</v>
      </c>
      <c r="K40" s="666"/>
      <c r="L40" s="669"/>
      <c r="M40" s="685">
        <f t="shared" si="2"/>
        <v>2572</v>
      </c>
    </row>
    <row r="41" spans="1:13" ht="15.95" customHeight="1">
      <c r="A41" s="981" t="s">
        <v>1872</v>
      </c>
      <c r="B41" s="981" t="s">
        <v>2474</v>
      </c>
      <c r="C41" s="658">
        <v>1</v>
      </c>
      <c r="D41" s="661" t="s">
        <v>1434</v>
      </c>
      <c r="E41" s="723">
        <v>725</v>
      </c>
      <c r="F41" s="724">
        <v>65310</v>
      </c>
      <c r="G41" s="743">
        <v>745</v>
      </c>
      <c r="H41" s="744">
        <v>62200</v>
      </c>
      <c r="I41" s="723">
        <v>566</v>
      </c>
      <c r="J41" s="724">
        <v>62200</v>
      </c>
      <c r="K41" s="666">
        <v>537</v>
      </c>
      <c r="L41" s="667"/>
      <c r="M41" s="685">
        <f t="shared" si="2"/>
        <v>62200</v>
      </c>
    </row>
    <row r="42" spans="1:13" ht="15.95" customHeight="1">
      <c r="A42" s="981"/>
      <c r="B42" s="981"/>
      <c r="C42" s="658">
        <v>1</v>
      </c>
      <c r="D42" s="661" t="s">
        <v>2473</v>
      </c>
      <c r="E42" s="723"/>
      <c r="F42" s="724">
        <f>INT(F41/4)</f>
        <v>16327</v>
      </c>
      <c r="G42" s="743"/>
      <c r="H42" s="744">
        <f>INT(H41/4)</f>
        <v>15550</v>
      </c>
      <c r="I42" s="723"/>
      <c r="J42" s="724">
        <f>INT(J41/4)</f>
        <v>15550</v>
      </c>
      <c r="K42" s="666"/>
      <c r="L42" s="669"/>
      <c r="M42" s="685">
        <f t="shared" si="2"/>
        <v>15550</v>
      </c>
    </row>
    <row r="43" spans="1:13" ht="15.95" customHeight="1">
      <c r="A43" s="981" t="s">
        <v>1872</v>
      </c>
      <c r="B43" s="981" t="s">
        <v>2475</v>
      </c>
      <c r="C43" s="658">
        <v>1</v>
      </c>
      <c r="D43" s="661" t="s">
        <v>1434</v>
      </c>
      <c r="E43" s="723">
        <v>725</v>
      </c>
      <c r="F43" s="724">
        <v>98990</v>
      </c>
      <c r="G43" s="743">
        <v>745</v>
      </c>
      <c r="H43" s="744">
        <v>94280</v>
      </c>
      <c r="I43" s="723">
        <v>566</v>
      </c>
      <c r="J43" s="724">
        <v>94280</v>
      </c>
      <c r="K43" s="666">
        <v>537</v>
      </c>
      <c r="L43" s="667"/>
      <c r="M43" s="685">
        <f t="shared" si="2"/>
        <v>94280</v>
      </c>
    </row>
    <row r="44" spans="1:13" ht="15.95" customHeight="1">
      <c r="A44" s="981"/>
      <c r="B44" s="981"/>
      <c r="C44" s="658">
        <v>1</v>
      </c>
      <c r="D44" s="661" t="s">
        <v>2473</v>
      </c>
      <c r="E44" s="723"/>
      <c r="F44" s="724">
        <f>INT(F43/4)</f>
        <v>24747</v>
      </c>
      <c r="G44" s="743"/>
      <c r="H44" s="744">
        <f>INT(H43/4)</f>
        <v>23570</v>
      </c>
      <c r="I44" s="723"/>
      <c r="J44" s="724">
        <f>INT(J43/4)</f>
        <v>23570</v>
      </c>
      <c r="K44" s="666"/>
      <c r="L44" s="669"/>
      <c r="M44" s="685">
        <f t="shared" si="2"/>
        <v>23570</v>
      </c>
    </row>
    <row r="45" spans="1:13" ht="15.95" customHeight="1">
      <c r="A45" s="657" t="s">
        <v>1873</v>
      </c>
      <c r="B45" s="657"/>
      <c r="C45" s="658">
        <v>1</v>
      </c>
      <c r="D45" s="661" t="s">
        <v>2476</v>
      </c>
      <c r="E45" s="723"/>
      <c r="F45" s="724"/>
      <c r="G45" s="743">
        <v>124</v>
      </c>
      <c r="H45" s="744">
        <v>3500</v>
      </c>
      <c r="I45" s="668"/>
      <c r="J45" s="669"/>
      <c r="K45" s="666"/>
      <c r="L45" s="667"/>
      <c r="M45" s="685">
        <f t="shared" si="2"/>
        <v>3500</v>
      </c>
    </row>
    <row r="46" spans="1:13" s="3" customFormat="1" ht="15.95" customHeight="1">
      <c r="A46" s="982" t="s">
        <v>1874</v>
      </c>
      <c r="B46" s="983"/>
      <c r="C46" s="983"/>
      <c r="D46" s="983"/>
      <c r="E46" s="983"/>
      <c r="F46" s="983"/>
      <c r="G46" s="983"/>
      <c r="H46" s="983"/>
      <c r="I46" s="983"/>
      <c r="J46" s="983"/>
      <c r="K46" s="983"/>
      <c r="L46" s="983"/>
      <c r="M46" s="984"/>
    </row>
    <row r="47" spans="1:13" ht="15.95" customHeight="1">
      <c r="A47" s="657" t="s">
        <v>2477</v>
      </c>
      <c r="B47" s="657" t="s">
        <v>3360</v>
      </c>
      <c r="C47" s="658">
        <v>1</v>
      </c>
      <c r="D47" s="661" t="s">
        <v>2035</v>
      </c>
      <c r="E47" s="723">
        <v>559</v>
      </c>
      <c r="F47" s="724">
        <v>5055</v>
      </c>
      <c r="G47" s="743">
        <v>617</v>
      </c>
      <c r="H47" s="744">
        <v>8150</v>
      </c>
      <c r="I47" s="723">
        <v>473</v>
      </c>
      <c r="J47" s="724">
        <v>6277</v>
      </c>
      <c r="K47" s="666">
        <v>258</v>
      </c>
      <c r="L47" s="667"/>
      <c r="M47" s="685">
        <f t="shared" ref="M47:M52" si="3">MIN(F47,H47,J47,L47)</f>
        <v>5055</v>
      </c>
    </row>
    <row r="48" spans="1:13" ht="15.95" customHeight="1">
      <c r="A48" s="657" t="s">
        <v>1875</v>
      </c>
      <c r="B48" s="657" t="s">
        <v>3361</v>
      </c>
      <c r="C48" s="658">
        <v>1</v>
      </c>
      <c r="D48" s="661" t="s">
        <v>2035</v>
      </c>
      <c r="E48" s="723">
        <v>556</v>
      </c>
      <c r="F48" s="724">
        <v>4185</v>
      </c>
      <c r="G48" s="743">
        <v>615</v>
      </c>
      <c r="H48" s="744">
        <v>5738</v>
      </c>
      <c r="I48" s="723">
        <v>474</v>
      </c>
      <c r="J48" s="724">
        <v>4422</v>
      </c>
      <c r="K48" s="666">
        <v>258</v>
      </c>
      <c r="L48" s="667"/>
      <c r="M48" s="685">
        <f t="shared" si="3"/>
        <v>4185</v>
      </c>
    </row>
    <row r="49" spans="1:13" ht="15.95" customHeight="1">
      <c r="A49" s="657" t="s">
        <v>2481</v>
      </c>
      <c r="B49" s="657" t="s">
        <v>3362</v>
      </c>
      <c r="C49" s="658">
        <v>1</v>
      </c>
      <c r="D49" s="661" t="s">
        <v>2035</v>
      </c>
      <c r="E49" s="723">
        <v>556</v>
      </c>
      <c r="F49" s="724">
        <v>1778</v>
      </c>
      <c r="G49" s="743">
        <v>618</v>
      </c>
      <c r="H49" s="744">
        <v>2711</v>
      </c>
      <c r="I49" s="723">
        <v>477</v>
      </c>
      <c r="J49" s="724">
        <v>2488</v>
      </c>
      <c r="K49" s="666">
        <v>258</v>
      </c>
      <c r="L49" s="667"/>
      <c r="M49" s="685">
        <f t="shared" si="3"/>
        <v>1778</v>
      </c>
    </row>
    <row r="50" spans="1:13" ht="15.95" customHeight="1">
      <c r="A50" s="657" t="s">
        <v>2478</v>
      </c>
      <c r="B50" s="704" t="s">
        <v>4001</v>
      </c>
      <c r="C50" s="658">
        <v>1</v>
      </c>
      <c r="D50" s="661" t="s">
        <v>2463</v>
      </c>
      <c r="E50" s="723">
        <v>1289</v>
      </c>
      <c r="F50" s="724">
        <v>220</v>
      </c>
      <c r="G50" s="668">
        <v>1418</v>
      </c>
      <c r="H50" s="669">
        <v>220</v>
      </c>
      <c r="I50" s="723">
        <v>1216</v>
      </c>
      <c r="J50" s="724">
        <v>440</v>
      </c>
      <c r="K50" s="666">
        <v>662</v>
      </c>
      <c r="L50" s="667"/>
      <c r="M50" s="685">
        <f t="shared" si="3"/>
        <v>220</v>
      </c>
    </row>
    <row r="51" spans="1:13" ht="15.95" customHeight="1">
      <c r="A51" s="665" t="s">
        <v>2479</v>
      </c>
      <c r="B51" s="665" t="s">
        <v>1876</v>
      </c>
      <c r="C51" s="661">
        <v>1</v>
      </c>
      <c r="D51" s="661" t="s">
        <v>2468</v>
      </c>
      <c r="E51" s="723">
        <v>1401</v>
      </c>
      <c r="F51" s="724">
        <v>1787</v>
      </c>
      <c r="G51" s="668" t="s">
        <v>4036</v>
      </c>
      <c r="H51" s="669">
        <v>2500</v>
      </c>
      <c r="I51" s="668"/>
      <c r="J51" s="669"/>
      <c r="K51" s="732">
        <v>989</v>
      </c>
      <c r="L51" s="733">
        <v>2000</v>
      </c>
      <c r="M51" s="685">
        <f t="shared" si="3"/>
        <v>1787</v>
      </c>
    </row>
    <row r="52" spans="1:13" ht="15.95" customHeight="1">
      <c r="A52" s="665" t="s">
        <v>2480</v>
      </c>
      <c r="B52" s="706" t="s">
        <v>4002</v>
      </c>
      <c r="C52" s="658">
        <v>1</v>
      </c>
      <c r="D52" s="661" t="s">
        <v>2035</v>
      </c>
      <c r="E52" s="723">
        <v>561</v>
      </c>
      <c r="F52" s="724">
        <v>8800</v>
      </c>
      <c r="G52" s="743">
        <v>621</v>
      </c>
      <c r="H52" s="744">
        <v>3833</v>
      </c>
      <c r="I52" s="723">
        <v>476</v>
      </c>
      <c r="J52" s="724">
        <v>3833</v>
      </c>
      <c r="K52" s="666"/>
      <c r="L52" s="733">
        <v>1993</v>
      </c>
      <c r="M52" s="685">
        <f t="shared" si="3"/>
        <v>1993</v>
      </c>
    </row>
    <row r="53" spans="1:13" s="3" customFormat="1" ht="15.95" customHeight="1">
      <c r="A53" s="982" t="s">
        <v>1877</v>
      </c>
      <c r="B53" s="983"/>
      <c r="C53" s="983"/>
      <c r="D53" s="983"/>
      <c r="E53" s="983"/>
      <c r="F53" s="983"/>
      <c r="G53" s="983"/>
      <c r="H53" s="983"/>
      <c r="I53" s="983"/>
      <c r="J53" s="983"/>
      <c r="K53" s="983"/>
      <c r="L53" s="983"/>
      <c r="M53" s="984"/>
    </row>
    <row r="54" spans="1:13" ht="15.95" customHeight="1">
      <c r="A54" s="657" t="s">
        <v>1878</v>
      </c>
      <c r="B54" s="657" t="s">
        <v>3881</v>
      </c>
      <c r="C54" s="658">
        <v>1</v>
      </c>
      <c r="D54" s="661" t="s">
        <v>2035</v>
      </c>
      <c r="E54" s="723">
        <v>221</v>
      </c>
      <c r="F54" s="724">
        <v>4450</v>
      </c>
      <c r="G54" s="743">
        <v>624</v>
      </c>
      <c r="H54" s="744">
        <v>4950</v>
      </c>
      <c r="I54" s="723">
        <v>225</v>
      </c>
      <c r="J54" s="724">
        <v>8800</v>
      </c>
      <c r="K54" s="666">
        <v>258</v>
      </c>
      <c r="L54" s="667"/>
      <c r="M54" s="685">
        <f t="shared" ref="M54:M59" si="4">MIN(F54,H54,J54,L54)</f>
        <v>4450</v>
      </c>
    </row>
    <row r="55" spans="1:13" ht="15.95" customHeight="1">
      <c r="A55" s="657" t="s">
        <v>3363</v>
      </c>
      <c r="B55" s="657" t="s">
        <v>3881</v>
      </c>
      <c r="C55" s="658">
        <v>1</v>
      </c>
      <c r="D55" s="661" t="s">
        <v>2035</v>
      </c>
      <c r="E55" s="723">
        <v>221</v>
      </c>
      <c r="F55" s="724">
        <v>5650</v>
      </c>
      <c r="G55" s="743">
        <v>624</v>
      </c>
      <c r="H55" s="744">
        <v>5878</v>
      </c>
      <c r="I55" s="723">
        <v>225</v>
      </c>
      <c r="J55" s="724">
        <v>8800</v>
      </c>
      <c r="K55" s="666">
        <v>258</v>
      </c>
      <c r="L55" s="667"/>
      <c r="M55" s="685">
        <f t="shared" si="4"/>
        <v>5650</v>
      </c>
    </row>
    <row r="56" spans="1:13" ht="15.95" customHeight="1">
      <c r="A56" s="657" t="s">
        <v>2481</v>
      </c>
      <c r="B56" s="657" t="s">
        <v>3364</v>
      </c>
      <c r="C56" s="658">
        <v>1</v>
      </c>
      <c r="D56" s="661" t="s">
        <v>2035</v>
      </c>
      <c r="E56" s="723">
        <v>561</v>
      </c>
      <c r="F56" s="724">
        <v>2700</v>
      </c>
      <c r="G56" s="743">
        <v>624</v>
      </c>
      <c r="H56" s="744">
        <v>2755</v>
      </c>
      <c r="I56" s="668"/>
      <c r="J56" s="669"/>
      <c r="K56" s="666">
        <v>261</v>
      </c>
      <c r="L56" s="667"/>
      <c r="M56" s="685">
        <f t="shared" si="4"/>
        <v>2700</v>
      </c>
    </row>
    <row r="57" spans="1:13" ht="15.95" customHeight="1">
      <c r="A57" s="657" t="s">
        <v>1879</v>
      </c>
      <c r="B57" s="657" t="s">
        <v>3922</v>
      </c>
      <c r="C57" s="658">
        <v>1</v>
      </c>
      <c r="D57" s="661" t="s">
        <v>2468</v>
      </c>
      <c r="E57" s="723">
        <v>221</v>
      </c>
      <c r="F57" s="724">
        <v>4900</v>
      </c>
      <c r="G57" s="743">
        <v>624</v>
      </c>
      <c r="H57" s="744">
        <v>5720</v>
      </c>
      <c r="I57" s="723">
        <v>225</v>
      </c>
      <c r="J57" s="724">
        <v>5980</v>
      </c>
      <c r="K57" s="732" t="s">
        <v>3923</v>
      </c>
      <c r="L57" s="733">
        <v>2269</v>
      </c>
      <c r="M57" s="685">
        <f t="shared" si="4"/>
        <v>2269</v>
      </c>
    </row>
    <row r="58" spans="1:13" ht="15.95" customHeight="1">
      <c r="A58" s="660" t="s">
        <v>3924</v>
      </c>
      <c r="B58" s="660" t="s">
        <v>3925</v>
      </c>
      <c r="C58" s="658">
        <v>1</v>
      </c>
      <c r="D58" s="661" t="s">
        <v>2468</v>
      </c>
      <c r="E58" s="725">
        <v>221</v>
      </c>
      <c r="F58" s="750">
        <v>4900</v>
      </c>
      <c r="G58" s="745">
        <v>624</v>
      </c>
      <c r="H58" s="746">
        <v>6380</v>
      </c>
      <c r="I58" s="725">
        <v>225</v>
      </c>
      <c r="J58" s="726">
        <v>6876</v>
      </c>
      <c r="K58" s="732" t="s">
        <v>3923</v>
      </c>
      <c r="L58" s="733">
        <v>2550</v>
      </c>
      <c r="M58" s="685">
        <f t="shared" si="4"/>
        <v>2550</v>
      </c>
    </row>
    <row r="59" spans="1:13" ht="15.95" customHeight="1">
      <c r="A59" s="657" t="s">
        <v>528</v>
      </c>
      <c r="B59" s="657" t="s">
        <v>3926</v>
      </c>
      <c r="C59" s="658">
        <v>1</v>
      </c>
      <c r="D59" s="661" t="s">
        <v>2468</v>
      </c>
      <c r="E59" s="725">
        <v>221</v>
      </c>
      <c r="F59" s="750">
        <v>1700</v>
      </c>
      <c r="G59" s="668">
        <v>199</v>
      </c>
      <c r="H59" s="669">
        <v>1700</v>
      </c>
      <c r="I59" s="723">
        <v>225</v>
      </c>
      <c r="J59" s="724">
        <v>1600</v>
      </c>
      <c r="K59" s="666">
        <v>341</v>
      </c>
      <c r="L59" s="667"/>
      <c r="M59" s="685">
        <f t="shared" si="4"/>
        <v>1600</v>
      </c>
    </row>
    <row r="60" spans="1:13" s="3" customFormat="1" ht="15.95" customHeight="1">
      <c r="A60" s="982" t="s">
        <v>529</v>
      </c>
      <c r="B60" s="983"/>
      <c r="C60" s="983"/>
      <c r="D60" s="983"/>
      <c r="E60" s="983"/>
      <c r="F60" s="983"/>
      <c r="G60" s="983"/>
      <c r="H60" s="983"/>
      <c r="I60" s="983"/>
      <c r="J60" s="983"/>
      <c r="K60" s="983"/>
      <c r="L60" s="983"/>
      <c r="M60" s="984"/>
    </row>
    <row r="61" spans="1:13" ht="15.95" customHeight="1">
      <c r="A61" s="981" t="s">
        <v>530</v>
      </c>
      <c r="B61" s="687">
        <v>20</v>
      </c>
      <c r="C61" s="658">
        <v>1</v>
      </c>
      <c r="D61" s="661" t="s">
        <v>3927</v>
      </c>
      <c r="E61" s="723">
        <v>93</v>
      </c>
      <c r="F61" s="724">
        <v>18000</v>
      </c>
      <c r="G61" s="668">
        <v>106</v>
      </c>
      <c r="H61" s="669">
        <v>18000</v>
      </c>
      <c r="I61" s="723">
        <v>62</v>
      </c>
      <c r="J61" s="724">
        <v>9000</v>
      </c>
      <c r="K61" s="666">
        <v>139</v>
      </c>
      <c r="L61" s="667"/>
      <c r="M61" s="685">
        <f t="shared" ref="M61:M69" si="5">MIN(F61,H61,J61,L61)</f>
        <v>9000</v>
      </c>
    </row>
    <row r="62" spans="1:13" ht="15.95" customHeight="1">
      <c r="A62" s="981"/>
      <c r="B62" s="659" t="s">
        <v>2476</v>
      </c>
      <c r="C62" s="658">
        <v>1</v>
      </c>
      <c r="D62" s="661" t="s">
        <v>2468</v>
      </c>
      <c r="E62" s="723"/>
      <c r="F62" s="724">
        <f>INT(F61/$B$61)</f>
        <v>900</v>
      </c>
      <c r="G62" s="668"/>
      <c r="H62" s="669">
        <f>INT(H61/$B$61)</f>
        <v>900</v>
      </c>
      <c r="I62" s="668"/>
      <c r="J62" s="724">
        <f>INT(J61/$B$61)</f>
        <v>450</v>
      </c>
      <c r="K62" s="666"/>
      <c r="L62" s="669"/>
      <c r="M62" s="685">
        <f t="shared" si="5"/>
        <v>450</v>
      </c>
    </row>
    <row r="63" spans="1:13" ht="15.95" customHeight="1">
      <c r="A63" s="980" t="s">
        <v>531</v>
      </c>
      <c r="B63" s="687">
        <v>40</v>
      </c>
      <c r="C63" s="658">
        <v>1</v>
      </c>
      <c r="D63" s="661" t="s">
        <v>3365</v>
      </c>
      <c r="E63" s="723">
        <v>93</v>
      </c>
      <c r="F63" s="724">
        <v>34000</v>
      </c>
      <c r="G63" s="668">
        <v>106</v>
      </c>
      <c r="H63" s="669">
        <v>46000</v>
      </c>
      <c r="I63" s="723">
        <v>62</v>
      </c>
      <c r="J63" s="724">
        <v>36000</v>
      </c>
      <c r="K63" s="666">
        <v>139</v>
      </c>
      <c r="L63" s="667"/>
      <c r="M63" s="685">
        <f t="shared" si="5"/>
        <v>34000</v>
      </c>
    </row>
    <row r="64" spans="1:13" ht="15.95" customHeight="1">
      <c r="A64" s="980"/>
      <c r="B64" s="659" t="s">
        <v>2476</v>
      </c>
      <c r="C64" s="658">
        <v>1</v>
      </c>
      <c r="D64" s="661" t="s">
        <v>2468</v>
      </c>
      <c r="E64" s="723"/>
      <c r="F64" s="724">
        <f>INT(F63/$B$63)</f>
        <v>850</v>
      </c>
      <c r="G64" s="668"/>
      <c r="H64" s="669">
        <f>INT(H63/$B$63)</f>
        <v>1150</v>
      </c>
      <c r="I64" s="668"/>
      <c r="J64" s="724">
        <f>INT(J63/$B$63)</f>
        <v>900</v>
      </c>
      <c r="K64" s="666"/>
      <c r="L64" s="669"/>
      <c r="M64" s="685">
        <f t="shared" si="5"/>
        <v>850</v>
      </c>
    </row>
    <row r="65" spans="1:13" ht="15.95" customHeight="1">
      <c r="A65" s="981" t="s">
        <v>3366</v>
      </c>
      <c r="B65" s="687">
        <v>40</v>
      </c>
      <c r="C65" s="658">
        <v>1</v>
      </c>
      <c r="D65" s="661" t="s">
        <v>3365</v>
      </c>
      <c r="E65" s="723">
        <v>93</v>
      </c>
      <c r="F65" s="724">
        <v>9700</v>
      </c>
      <c r="G65" s="743">
        <v>106</v>
      </c>
      <c r="H65" s="744">
        <v>9900</v>
      </c>
      <c r="I65" s="723">
        <v>62</v>
      </c>
      <c r="J65" s="724">
        <v>9900</v>
      </c>
      <c r="K65" s="666">
        <v>136</v>
      </c>
      <c r="L65" s="667"/>
      <c r="M65" s="685">
        <f t="shared" si="5"/>
        <v>9700</v>
      </c>
    </row>
    <row r="66" spans="1:13" ht="15.95" customHeight="1">
      <c r="A66" s="981"/>
      <c r="B66" s="659" t="s">
        <v>2476</v>
      </c>
      <c r="C66" s="658">
        <v>1</v>
      </c>
      <c r="D66" s="661" t="s">
        <v>2468</v>
      </c>
      <c r="E66" s="723"/>
      <c r="F66" s="724">
        <f>INT(F65/$B$65)</f>
        <v>242</v>
      </c>
      <c r="G66" s="743"/>
      <c r="H66" s="744">
        <f>INT(H65/$B$65)</f>
        <v>247</v>
      </c>
      <c r="I66" s="668"/>
      <c r="J66" s="724">
        <f>INT(J65/$B$65)</f>
        <v>247</v>
      </c>
      <c r="K66" s="666"/>
      <c r="L66" s="669"/>
      <c r="M66" s="685">
        <f t="shared" si="5"/>
        <v>242</v>
      </c>
    </row>
    <row r="67" spans="1:13" ht="15.95" customHeight="1">
      <c r="A67" s="981" t="s">
        <v>3367</v>
      </c>
      <c r="B67" s="687">
        <v>40</v>
      </c>
      <c r="C67" s="658">
        <v>1</v>
      </c>
      <c r="D67" s="661" t="s">
        <v>3365</v>
      </c>
      <c r="E67" s="723">
        <v>93</v>
      </c>
      <c r="F67" s="724">
        <v>4600</v>
      </c>
      <c r="G67" s="743">
        <v>106</v>
      </c>
      <c r="H67" s="744">
        <v>4500</v>
      </c>
      <c r="I67" s="723">
        <v>62</v>
      </c>
      <c r="J67" s="724">
        <v>5500</v>
      </c>
      <c r="K67" s="666">
        <v>136</v>
      </c>
      <c r="L67" s="667"/>
      <c r="M67" s="685">
        <f t="shared" si="5"/>
        <v>4500</v>
      </c>
    </row>
    <row r="68" spans="1:13" ht="15.95" customHeight="1">
      <c r="A68" s="981"/>
      <c r="B68" s="659" t="s">
        <v>2476</v>
      </c>
      <c r="C68" s="658">
        <v>1</v>
      </c>
      <c r="D68" s="661" t="s">
        <v>2468</v>
      </c>
      <c r="E68" s="723"/>
      <c r="F68" s="724">
        <f>INT(F67/$B$67)</f>
        <v>115</v>
      </c>
      <c r="G68" s="743"/>
      <c r="H68" s="744">
        <f>INT(H67/$B$67)</f>
        <v>112</v>
      </c>
      <c r="I68" s="723"/>
      <c r="J68" s="724">
        <f>INT(J67/$B$67)</f>
        <v>137</v>
      </c>
      <c r="K68" s="666"/>
      <c r="L68" s="669"/>
      <c r="M68" s="685">
        <f t="shared" si="5"/>
        <v>112</v>
      </c>
    </row>
    <row r="69" spans="1:13" ht="14.25" customHeight="1">
      <c r="A69" s="660" t="s">
        <v>3928</v>
      </c>
      <c r="B69" s="660" t="s">
        <v>3929</v>
      </c>
      <c r="C69" s="662"/>
      <c r="D69" s="662"/>
      <c r="E69" s="737"/>
      <c r="F69" s="751"/>
      <c r="G69" s="663"/>
      <c r="H69" s="662"/>
      <c r="I69" s="663"/>
      <c r="J69" s="662"/>
      <c r="K69" s="737">
        <v>136</v>
      </c>
      <c r="L69" s="738">
        <v>450</v>
      </c>
      <c r="M69" s="685">
        <f t="shared" si="5"/>
        <v>450</v>
      </c>
    </row>
    <row r="70" spans="1:13" s="3" customFormat="1" ht="15.95" customHeight="1">
      <c r="A70" s="982" t="s">
        <v>532</v>
      </c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4"/>
    </row>
    <row r="71" spans="1:13" ht="15.95" customHeight="1">
      <c r="A71" s="657" t="s">
        <v>533</v>
      </c>
      <c r="B71" s="657" t="s">
        <v>3368</v>
      </c>
      <c r="C71" s="658">
        <v>1</v>
      </c>
      <c r="D71" s="661" t="s">
        <v>2468</v>
      </c>
      <c r="E71" s="723">
        <v>1278</v>
      </c>
      <c r="F71" s="724">
        <v>2280</v>
      </c>
      <c r="G71" s="743">
        <v>1389</v>
      </c>
      <c r="H71" s="744">
        <v>2980</v>
      </c>
      <c r="I71" s="723">
        <v>1180</v>
      </c>
      <c r="J71" s="724">
        <v>2280</v>
      </c>
      <c r="K71" s="666">
        <v>622</v>
      </c>
      <c r="L71" s="667"/>
      <c r="M71" s="685">
        <f t="shared" ref="M71:M77" si="6">MIN(F71,H71,J71,L71)</f>
        <v>2280</v>
      </c>
    </row>
    <row r="72" spans="1:13" ht="15.95" customHeight="1">
      <c r="A72" s="657" t="s">
        <v>3882</v>
      </c>
      <c r="B72" s="657" t="s">
        <v>3930</v>
      </c>
      <c r="C72" s="658">
        <v>1</v>
      </c>
      <c r="D72" s="661" t="s">
        <v>2468</v>
      </c>
      <c r="E72" s="723">
        <v>1278</v>
      </c>
      <c r="F72" s="724">
        <v>12700</v>
      </c>
      <c r="G72" s="668">
        <v>1389</v>
      </c>
      <c r="H72" s="669">
        <v>11832</v>
      </c>
      <c r="I72" s="723">
        <v>1180</v>
      </c>
      <c r="J72" s="724">
        <v>12700</v>
      </c>
      <c r="K72" s="666">
        <v>622</v>
      </c>
      <c r="L72" s="667"/>
      <c r="M72" s="685">
        <f t="shared" si="6"/>
        <v>11832</v>
      </c>
    </row>
    <row r="73" spans="1:13" ht="15.95" customHeight="1">
      <c r="A73" s="981" t="s">
        <v>3369</v>
      </c>
      <c r="B73" s="657" t="s">
        <v>3370</v>
      </c>
      <c r="C73" s="658">
        <v>1</v>
      </c>
      <c r="D73" s="661" t="s">
        <v>2483</v>
      </c>
      <c r="E73" s="723">
        <v>1403</v>
      </c>
      <c r="F73" s="724">
        <v>13000</v>
      </c>
      <c r="G73" s="743" t="s">
        <v>3371</v>
      </c>
      <c r="H73" s="744">
        <v>11000</v>
      </c>
      <c r="I73" s="723">
        <v>1238</v>
      </c>
      <c r="J73" s="724">
        <v>14000</v>
      </c>
      <c r="K73" s="666">
        <v>951</v>
      </c>
      <c r="L73" s="667"/>
      <c r="M73" s="685">
        <f t="shared" si="6"/>
        <v>11000</v>
      </c>
    </row>
    <row r="74" spans="1:13" ht="15.95" customHeight="1">
      <c r="A74" s="981"/>
      <c r="B74" s="657" t="s">
        <v>3372</v>
      </c>
      <c r="C74" s="658">
        <v>1</v>
      </c>
      <c r="D74" s="661" t="s">
        <v>2035</v>
      </c>
      <c r="E74" s="723"/>
      <c r="F74" s="728">
        <v>2</v>
      </c>
      <c r="G74" s="692"/>
      <c r="H74" s="691">
        <f>INT(H73/4800)</f>
        <v>2</v>
      </c>
      <c r="I74" s="727"/>
      <c r="J74" s="728">
        <f>INT(J73/4800)</f>
        <v>2</v>
      </c>
      <c r="K74" s="690"/>
      <c r="L74" s="691"/>
      <c r="M74" s="685">
        <f t="shared" si="6"/>
        <v>2</v>
      </c>
    </row>
    <row r="75" spans="1:13" ht="15.95" customHeight="1">
      <c r="A75" s="657" t="s">
        <v>2484</v>
      </c>
      <c r="B75" s="657" t="s">
        <v>534</v>
      </c>
      <c r="C75" s="658">
        <v>1</v>
      </c>
      <c r="D75" s="661" t="s">
        <v>2483</v>
      </c>
      <c r="E75" s="723">
        <v>1403</v>
      </c>
      <c r="F75" s="724">
        <v>30000</v>
      </c>
      <c r="G75" s="743" t="s">
        <v>3371</v>
      </c>
      <c r="H75" s="744">
        <v>38000</v>
      </c>
      <c r="I75" s="723">
        <v>1238</v>
      </c>
      <c r="J75" s="724">
        <v>38000</v>
      </c>
      <c r="K75" s="666">
        <v>951</v>
      </c>
      <c r="L75" s="667"/>
      <c r="M75" s="685">
        <f t="shared" si="6"/>
        <v>30000</v>
      </c>
    </row>
    <row r="76" spans="1:13" ht="15.95" customHeight="1">
      <c r="A76" s="657" t="s">
        <v>3373</v>
      </c>
      <c r="B76" s="657" t="s">
        <v>3374</v>
      </c>
      <c r="C76" s="658">
        <v>1</v>
      </c>
      <c r="D76" s="661" t="s">
        <v>2468</v>
      </c>
      <c r="E76" s="723">
        <v>1403</v>
      </c>
      <c r="F76" s="724">
        <v>10000</v>
      </c>
      <c r="G76" s="743" t="s">
        <v>3371</v>
      </c>
      <c r="H76" s="744">
        <v>11000</v>
      </c>
      <c r="I76" s="723">
        <v>1238</v>
      </c>
      <c r="J76" s="724">
        <v>33000</v>
      </c>
      <c r="K76" s="666">
        <v>951</v>
      </c>
      <c r="L76" s="667"/>
      <c r="M76" s="685">
        <f t="shared" si="6"/>
        <v>10000</v>
      </c>
    </row>
    <row r="77" spans="1:13" ht="15.95" customHeight="1">
      <c r="A77" s="657" t="s">
        <v>3375</v>
      </c>
      <c r="B77" s="657" t="s">
        <v>3376</v>
      </c>
      <c r="C77" s="658">
        <v>1</v>
      </c>
      <c r="D77" s="661" t="s">
        <v>2485</v>
      </c>
      <c r="E77" s="723">
        <v>1548</v>
      </c>
      <c r="F77" s="729">
        <v>60.7</v>
      </c>
      <c r="G77" s="743" t="s">
        <v>4037</v>
      </c>
      <c r="H77" s="747">
        <v>60.7</v>
      </c>
      <c r="I77" s="723">
        <v>1486</v>
      </c>
      <c r="J77" s="729">
        <v>60.7</v>
      </c>
      <c r="K77" s="672"/>
      <c r="L77" s="673"/>
      <c r="M77" s="685">
        <f t="shared" si="6"/>
        <v>60.7</v>
      </c>
    </row>
    <row r="78" spans="1:13" s="3" customFormat="1" ht="15.95" customHeight="1">
      <c r="A78" s="982" t="s">
        <v>535</v>
      </c>
      <c r="B78" s="983"/>
      <c r="C78" s="983"/>
      <c r="D78" s="983"/>
      <c r="E78" s="983"/>
      <c r="F78" s="983"/>
      <c r="G78" s="983"/>
      <c r="H78" s="983"/>
      <c r="I78" s="983"/>
      <c r="J78" s="983"/>
      <c r="K78" s="983"/>
      <c r="L78" s="983"/>
      <c r="M78" s="984"/>
    </row>
    <row r="79" spans="1:13" ht="15.95" customHeight="1">
      <c r="A79" s="989" t="s">
        <v>3377</v>
      </c>
      <c r="B79" s="657" t="s">
        <v>536</v>
      </c>
      <c r="C79" s="658">
        <v>1</v>
      </c>
      <c r="D79" s="661" t="s">
        <v>2486</v>
      </c>
      <c r="E79" s="723">
        <v>145</v>
      </c>
      <c r="F79" s="724">
        <v>160000</v>
      </c>
      <c r="G79" s="668">
        <v>154</v>
      </c>
      <c r="H79" s="669">
        <v>160000</v>
      </c>
      <c r="I79" s="723">
        <v>181</v>
      </c>
      <c r="J79" s="724">
        <v>160000</v>
      </c>
      <c r="K79" s="666">
        <v>270</v>
      </c>
      <c r="L79" s="667"/>
      <c r="M79" s="685">
        <f t="shared" ref="M79:M91" si="7">MIN(F79,H79,J79,L79)</f>
        <v>160000</v>
      </c>
    </row>
    <row r="80" spans="1:13" ht="15.95" customHeight="1">
      <c r="A80" s="989"/>
      <c r="B80" s="657" t="s">
        <v>3378</v>
      </c>
      <c r="C80" s="658">
        <v>1</v>
      </c>
      <c r="D80" s="661" t="s">
        <v>2035</v>
      </c>
      <c r="E80" s="723"/>
      <c r="F80" s="724">
        <f>INT(F79/200)</f>
        <v>800</v>
      </c>
      <c r="G80" s="668"/>
      <c r="H80" s="669">
        <f>INT(H79/200)</f>
        <v>800</v>
      </c>
      <c r="I80" s="669"/>
      <c r="J80" s="724">
        <f>INT(J79/200)</f>
        <v>800</v>
      </c>
      <c r="K80" s="669"/>
      <c r="L80" s="669"/>
      <c r="M80" s="685">
        <f t="shared" si="7"/>
        <v>800</v>
      </c>
    </row>
    <row r="81" spans="1:14" ht="15.95" customHeight="1">
      <c r="A81" s="989" t="s">
        <v>3379</v>
      </c>
      <c r="B81" s="657" t="s">
        <v>536</v>
      </c>
      <c r="C81" s="658">
        <v>1</v>
      </c>
      <c r="D81" s="661" t="s">
        <v>2486</v>
      </c>
      <c r="E81" s="723">
        <v>145</v>
      </c>
      <c r="F81" s="724">
        <v>160000</v>
      </c>
      <c r="G81" s="668">
        <v>154</v>
      </c>
      <c r="H81" s="669">
        <v>160000</v>
      </c>
      <c r="I81" s="723">
        <v>181</v>
      </c>
      <c r="J81" s="724">
        <v>160000</v>
      </c>
      <c r="K81" s="666">
        <v>270</v>
      </c>
      <c r="L81" s="667"/>
      <c r="M81" s="685">
        <f t="shared" si="7"/>
        <v>160000</v>
      </c>
    </row>
    <row r="82" spans="1:14" ht="15.95" customHeight="1">
      <c r="A82" s="989"/>
      <c r="B82" s="657" t="s">
        <v>3380</v>
      </c>
      <c r="C82" s="658">
        <v>1</v>
      </c>
      <c r="D82" s="661" t="s">
        <v>2035</v>
      </c>
      <c r="E82" s="723"/>
      <c r="F82" s="724">
        <f>INT(F81/200)</f>
        <v>800</v>
      </c>
      <c r="G82" s="668"/>
      <c r="H82" s="669">
        <f>INT(H81/200)</f>
        <v>800</v>
      </c>
      <c r="I82" s="723"/>
      <c r="J82" s="724">
        <f>INT(J81/200)</f>
        <v>800</v>
      </c>
      <c r="K82" s="666"/>
      <c r="L82" s="669"/>
      <c r="M82" s="685">
        <f t="shared" si="7"/>
        <v>800</v>
      </c>
    </row>
    <row r="83" spans="1:14" ht="15.95" customHeight="1">
      <c r="A83" s="657" t="s">
        <v>537</v>
      </c>
      <c r="B83" s="657" t="s">
        <v>3381</v>
      </c>
      <c r="C83" s="658">
        <v>1</v>
      </c>
      <c r="D83" s="661" t="s">
        <v>2035</v>
      </c>
      <c r="E83" s="723">
        <v>524</v>
      </c>
      <c r="F83" s="724">
        <v>2250</v>
      </c>
      <c r="G83" s="743">
        <v>486</v>
      </c>
      <c r="H83" s="744">
        <v>1760</v>
      </c>
      <c r="I83" s="723">
        <v>381</v>
      </c>
      <c r="J83" s="724">
        <v>1760</v>
      </c>
      <c r="K83" s="666">
        <v>229</v>
      </c>
      <c r="L83" s="667"/>
      <c r="M83" s="685">
        <f t="shared" si="7"/>
        <v>1760</v>
      </c>
    </row>
    <row r="84" spans="1:14" s="447" customFormat="1" ht="15.95" customHeight="1">
      <c r="A84" s="674" t="s">
        <v>3980</v>
      </c>
      <c r="B84" s="688" t="s">
        <v>3931</v>
      </c>
      <c r="C84" s="675">
        <v>1</v>
      </c>
      <c r="D84" s="675" t="s">
        <v>2035</v>
      </c>
      <c r="E84" s="730">
        <v>221</v>
      </c>
      <c r="F84" s="739">
        <v>4550</v>
      </c>
      <c r="G84" s="676"/>
      <c r="H84" s="677"/>
      <c r="I84" s="730">
        <v>225</v>
      </c>
      <c r="J84" s="677"/>
      <c r="K84" s="730">
        <v>346</v>
      </c>
      <c r="L84" s="739">
        <v>4500</v>
      </c>
      <c r="M84" s="689">
        <f>MIN(F84,H84,J84,L84)*0.86</f>
        <v>3870</v>
      </c>
      <c r="N84" s="447" t="s">
        <v>3981</v>
      </c>
    </row>
    <row r="85" spans="1:14" ht="15.95" customHeight="1">
      <c r="A85" s="657" t="s">
        <v>538</v>
      </c>
      <c r="B85" s="657" t="s">
        <v>3382</v>
      </c>
      <c r="C85" s="658">
        <v>1</v>
      </c>
      <c r="D85" s="661" t="s">
        <v>1026</v>
      </c>
      <c r="E85" s="723">
        <v>1401</v>
      </c>
      <c r="F85" s="724">
        <v>2100</v>
      </c>
      <c r="G85" s="668"/>
      <c r="H85" s="669"/>
      <c r="I85" s="723">
        <v>1302</v>
      </c>
      <c r="J85" s="724">
        <v>4260</v>
      </c>
      <c r="K85" s="732" t="s">
        <v>3923</v>
      </c>
      <c r="L85" s="733">
        <v>2220</v>
      </c>
      <c r="M85" s="685">
        <f t="shared" si="7"/>
        <v>2100</v>
      </c>
    </row>
    <row r="86" spans="1:14" ht="15.95" customHeight="1">
      <c r="A86" s="657" t="s">
        <v>2487</v>
      </c>
      <c r="B86" s="657" t="s">
        <v>3932</v>
      </c>
      <c r="C86" s="658">
        <v>1</v>
      </c>
      <c r="D86" s="661" t="s">
        <v>1432</v>
      </c>
      <c r="E86" s="723">
        <v>1552</v>
      </c>
      <c r="F86" s="724">
        <v>360</v>
      </c>
      <c r="G86" s="748" t="s">
        <v>4038</v>
      </c>
      <c r="H86" s="744">
        <v>360</v>
      </c>
      <c r="I86" s="723">
        <v>1488</v>
      </c>
      <c r="J86" s="724">
        <v>360</v>
      </c>
      <c r="K86" s="672"/>
      <c r="L86" s="667"/>
      <c r="M86" s="685">
        <f t="shared" si="7"/>
        <v>360</v>
      </c>
    </row>
    <row r="87" spans="1:14" ht="15.95" customHeight="1">
      <c r="A87" s="657" t="s">
        <v>3883</v>
      </c>
      <c r="B87" s="657" t="s">
        <v>3884</v>
      </c>
      <c r="C87" s="658">
        <v>1</v>
      </c>
      <c r="D87" s="661" t="s">
        <v>1024</v>
      </c>
      <c r="E87" s="723">
        <v>147</v>
      </c>
      <c r="F87" s="724">
        <v>136000</v>
      </c>
      <c r="G87" s="743">
        <v>155</v>
      </c>
      <c r="H87" s="744">
        <v>135000</v>
      </c>
      <c r="I87" s="723">
        <v>184</v>
      </c>
      <c r="J87" s="724">
        <v>135000</v>
      </c>
      <c r="K87" s="666">
        <v>273</v>
      </c>
      <c r="L87" s="667"/>
      <c r="M87" s="685">
        <f t="shared" si="7"/>
        <v>135000</v>
      </c>
    </row>
    <row r="88" spans="1:14" ht="15.95" customHeight="1">
      <c r="A88" s="665" t="s">
        <v>539</v>
      </c>
      <c r="B88" s="665" t="s">
        <v>3383</v>
      </c>
      <c r="C88" s="661">
        <v>1</v>
      </c>
      <c r="D88" s="661" t="s">
        <v>2465</v>
      </c>
      <c r="E88" s="723"/>
      <c r="F88" s="724"/>
      <c r="G88" s="743">
        <v>488</v>
      </c>
      <c r="H88" s="744">
        <v>2619</v>
      </c>
      <c r="I88" s="723">
        <v>381</v>
      </c>
      <c r="J88" s="724">
        <v>2619</v>
      </c>
      <c r="K88" s="723">
        <v>237</v>
      </c>
      <c r="L88" s="724">
        <v>1833</v>
      </c>
      <c r="M88" s="685">
        <f t="shared" si="7"/>
        <v>1833</v>
      </c>
    </row>
    <row r="89" spans="1:14" ht="15.95" customHeight="1">
      <c r="A89" s="665" t="s">
        <v>3885</v>
      </c>
      <c r="B89" s="665" t="s">
        <v>3886</v>
      </c>
      <c r="C89" s="661">
        <v>1</v>
      </c>
      <c r="D89" s="661" t="s">
        <v>2468</v>
      </c>
      <c r="E89" s="723">
        <v>92</v>
      </c>
      <c r="F89" s="729">
        <v>5.4</v>
      </c>
      <c r="G89" s="668">
        <v>105</v>
      </c>
      <c r="H89" s="684">
        <v>5.4</v>
      </c>
      <c r="I89" s="723">
        <v>75</v>
      </c>
      <c r="J89" s="729">
        <v>5.4</v>
      </c>
      <c r="K89" s="668">
        <v>135</v>
      </c>
      <c r="L89" s="684"/>
      <c r="M89" s="685">
        <f t="shared" si="7"/>
        <v>5.4</v>
      </c>
    </row>
    <row r="90" spans="1:14" ht="15.95" customHeight="1">
      <c r="A90" s="665" t="s">
        <v>2488</v>
      </c>
      <c r="B90" s="665" t="s">
        <v>3384</v>
      </c>
      <c r="C90" s="661">
        <v>1</v>
      </c>
      <c r="D90" s="661" t="s">
        <v>2468</v>
      </c>
      <c r="E90" s="723">
        <v>143</v>
      </c>
      <c r="F90" s="724">
        <v>18700</v>
      </c>
      <c r="G90" s="668" t="s">
        <v>4039</v>
      </c>
      <c r="H90" s="669"/>
      <c r="I90" s="723">
        <v>86</v>
      </c>
      <c r="J90" s="724">
        <v>20000</v>
      </c>
      <c r="K90" s="668">
        <v>257</v>
      </c>
      <c r="L90" s="669"/>
      <c r="M90" s="685">
        <f t="shared" si="7"/>
        <v>18700</v>
      </c>
    </row>
    <row r="91" spans="1:14" s="3" customFormat="1" ht="15.2" customHeight="1">
      <c r="A91" s="686" t="s">
        <v>3933</v>
      </c>
      <c r="B91" s="678" t="s">
        <v>3934</v>
      </c>
      <c r="C91" s="661">
        <v>1</v>
      </c>
      <c r="D91" s="679" t="s">
        <v>3935</v>
      </c>
      <c r="E91" s="725">
        <v>561</v>
      </c>
      <c r="F91" s="726">
        <v>5100</v>
      </c>
      <c r="G91" s="745">
        <v>125</v>
      </c>
      <c r="H91" s="746">
        <v>3800</v>
      </c>
      <c r="I91" s="725">
        <v>477</v>
      </c>
      <c r="J91" s="726">
        <v>5575</v>
      </c>
      <c r="K91" s="670">
        <v>261</v>
      </c>
      <c r="L91" s="671"/>
      <c r="M91" s="685">
        <f t="shared" si="7"/>
        <v>3800</v>
      </c>
    </row>
    <row r="92" spans="1:14" s="3" customFormat="1" ht="15.95" customHeight="1">
      <c r="A92" s="982" t="s">
        <v>540</v>
      </c>
      <c r="B92" s="983"/>
      <c r="C92" s="983"/>
      <c r="D92" s="983"/>
      <c r="E92" s="983"/>
      <c r="F92" s="983"/>
      <c r="G92" s="983"/>
      <c r="H92" s="983"/>
      <c r="I92" s="983"/>
      <c r="J92" s="983"/>
      <c r="K92" s="983"/>
      <c r="L92" s="983"/>
      <c r="M92" s="984"/>
    </row>
    <row r="93" spans="1:14" ht="15.95" customHeight="1">
      <c r="A93" s="657" t="s">
        <v>3936</v>
      </c>
      <c r="B93" s="657" t="s">
        <v>541</v>
      </c>
      <c r="C93" s="658">
        <v>1</v>
      </c>
      <c r="D93" s="661" t="s">
        <v>1026</v>
      </c>
      <c r="E93" s="723">
        <v>1290</v>
      </c>
      <c r="F93" s="724">
        <v>175000</v>
      </c>
      <c r="G93" s="676"/>
      <c r="H93" s="677"/>
      <c r="I93" s="723">
        <v>1214</v>
      </c>
      <c r="J93" s="724">
        <v>175000</v>
      </c>
      <c r="K93" s="732">
        <v>616</v>
      </c>
      <c r="L93" s="733">
        <v>175000</v>
      </c>
      <c r="M93" s="685">
        <f t="shared" ref="M93:M98" si="8">MIN(F93,H93,J93,L93)</f>
        <v>175000</v>
      </c>
    </row>
    <row r="94" spans="1:14" ht="15.95" customHeight="1">
      <c r="A94" s="657" t="s">
        <v>542</v>
      </c>
      <c r="B94" s="657" t="s">
        <v>3385</v>
      </c>
      <c r="C94" s="658">
        <v>1</v>
      </c>
      <c r="D94" s="661" t="s">
        <v>1026</v>
      </c>
      <c r="E94" s="723">
        <v>1290</v>
      </c>
      <c r="F94" s="724">
        <v>118000</v>
      </c>
      <c r="G94" s="743">
        <v>1420</v>
      </c>
      <c r="H94" s="744">
        <v>137000</v>
      </c>
      <c r="I94" s="723">
        <v>1214</v>
      </c>
      <c r="J94" s="724">
        <v>118000</v>
      </c>
      <c r="K94" s="666">
        <v>661</v>
      </c>
      <c r="L94" s="667"/>
      <c r="M94" s="685">
        <f t="shared" si="8"/>
        <v>118000</v>
      </c>
    </row>
    <row r="95" spans="1:14" ht="15.95" customHeight="1">
      <c r="A95" s="657" t="s">
        <v>542</v>
      </c>
      <c r="B95" s="657" t="s">
        <v>3386</v>
      </c>
      <c r="C95" s="658">
        <v>1</v>
      </c>
      <c r="D95" s="661" t="s">
        <v>1026</v>
      </c>
      <c r="E95" s="723">
        <v>1290</v>
      </c>
      <c r="F95" s="724">
        <v>172000</v>
      </c>
      <c r="G95" s="743">
        <v>1420</v>
      </c>
      <c r="H95" s="744">
        <v>219000</v>
      </c>
      <c r="I95" s="723">
        <v>1214</v>
      </c>
      <c r="J95" s="724">
        <v>172000</v>
      </c>
      <c r="K95" s="666">
        <v>661</v>
      </c>
      <c r="L95" s="667"/>
      <c r="M95" s="685">
        <f t="shared" si="8"/>
        <v>172000</v>
      </c>
    </row>
    <row r="96" spans="1:14" ht="15.95" customHeight="1">
      <c r="A96" s="657" t="s">
        <v>542</v>
      </c>
      <c r="B96" s="657" t="s">
        <v>3387</v>
      </c>
      <c r="C96" s="658">
        <v>1</v>
      </c>
      <c r="D96" s="661" t="s">
        <v>1026</v>
      </c>
      <c r="E96" s="723">
        <v>1290</v>
      </c>
      <c r="F96" s="724">
        <v>240000</v>
      </c>
      <c r="G96" s="743">
        <v>1420</v>
      </c>
      <c r="H96" s="744">
        <v>330000</v>
      </c>
      <c r="I96" s="723">
        <v>1214</v>
      </c>
      <c r="J96" s="724">
        <v>240000</v>
      </c>
      <c r="K96" s="666">
        <v>661</v>
      </c>
      <c r="L96" s="667"/>
      <c r="M96" s="685">
        <f t="shared" si="8"/>
        <v>240000</v>
      </c>
    </row>
    <row r="97" spans="1:13" ht="15.95" customHeight="1">
      <c r="A97" s="657" t="s">
        <v>542</v>
      </c>
      <c r="B97" s="657" t="s">
        <v>3388</v>
      </c>
      <c r="C97" s="658">
        <v>1</v>
      </c>
      <c r="D97" s="661" t="s">
        <v>1026</v>
      </c>
      <c r="E97" s="723">
        <v>1290</v>
      </c>
      <c r="F97" s="724">
        <v>310000</v>
      </c>
      <c r="G97" s="743">
        <v>1420</v>
      </c>
      <c r="H97" s="744">
        <v>432000</v>
      </c>
      <c r="I97" s="723">
        <v>1214</v>
      </c>
      <c r="J97" s="724">
        <v>310000</v>
      </c>
      <c r="K97" s="666">
        <v>661</v>
      </c>
      <c r="L97" s="667"/>
      <c r="M97" s="685">
        <f t="shared" si="8"/>
        <v>310000</v>
      </c>
    </row>
    <row r="98" spans="1:13" ht="15.95" customHeight="1">
      <c r="A98" s="657" t="s">
        <v>542</v>
      </c>
      <c r="B98" s="657" t="s">
        <v>3389</v>
      </c>
      <c r="C98" s="658">
        <v>1</v>
      </c>
      <c r="D98" s="661" t="s">
        <v>1026</v>
      </c>
      <c r="E98" s="723">
        <v>1290</v>
      </c>
      <c r="F98" s="724">
        <v>360000</v>
      </c>
      <c r="G98" s="743">
        <v>1420</v>
      </c>
      <c r="H98" s="744">
        <v>523000</v>
      </c>
      <c r="I98" s="723">
        <v>1214</v>
      </c>
      <c r="J98" s="724">
        <v>360000</v>
      </c>
      <c r="K98" s="666">
        <v>661</v>
      </c>
      <c r="L98" s="667"/>
      <c r="M98" s="685">
        <f t="shared" si="8"/>
        <v>360000</v>
      </c>
    </row>
    <row r="99" spans="1:13" s="3" customFormat="1" ht="15.95" customHeight="1">
      <c r="A99" s="982" t="s">
        <v>543</v>
      </c>
      <c r="B99" s="983"/>
      <c r="C99" s="983"/>
      <c r="D99" s="983"/>
      <c r="E99" s="983"/>
      <c r="F99" s="983"/>
      <c r="G99" s="983"/>
      <c r="H99" s="983"/>
      <c r="I99" s="983"/>
      <c r="J99" s="983"/>
      <c r="K99" s="983"/>
      <c r="L99" s="983"/>
      <c r="M99" s="984"/>
    </row>
    <row r="100" spans="1:13" ht="15.95" customHeight="1">
      <c r="A100" s="664" t="s">
        <v>3390</v>
      </c>
      <c r="B100" s="657" t="s">
        <v>2489</v>
      </c>
      <c r="C100" s="658">
        <v>1</v>
      </c>
      <c r="D100" s="661" t="s">
        <v>2473</v>
      </c>
      <c r="E100" s="723">
        <v>123</v>
      </c>
      <c r="F100" s="724">
        <v>3316</v>
      </c>
      <c r="G100" s="743">
        <v>145</v>
      </c>
      <c r="H100" s="744">
        <v>2833</v>
      </c>
      <c r="I100" s="723">
        <v>82</v>
      </c>
      <c r="J100" s="724">
        <v>2833</v>
      </c>
      <c r="K100" s="666">
        <v>164</v>
      </c>
      <c r="L100" s="667"/>
      <c r="M100" s="685">
        <f t="shared" ref="M100:M105" si="9">MIN(F100,H100,J100,L100)</f>
        <v>2833</v>
      </c>
    </row>
    <row r="101" spans="1:13" ht="15.95" customHeight="1">
      <c r="A101" s="664" t="s">
        <v>544</v>
      </c>
      <c r="B101" s="657" t="s">
        <v>3391</v>
      </c>
      <c r="C101" s="658">
        <v>1</v>
      </c>
      <c r="D101" s="661" t="s">
        <v>1026</v>
      </c>
      <c r="E101" s="723">
        <v>123</v>
      </c>
      <c r="F101" s="724">
        <v>960</v>
      </c>
      <c r="G101" s="743">
        <v>145</v>
      </c>
      <c r="H101" s="744">
        <v>900</v>
      </c>
      <c r="I101" s="723">
        <v>82</v>
      </c>
      <c r="J101" s="724">
        <v>900</v>
      </c>
      <c r="K101" s="666">
        <v>164</v>
      </c>
      <c r="L101" s="667"/>
      <c r="M101" s="685">
        <f t="shared" si="9"/>
        <v>900</v>
      </c>
    </row>
    <row r="102" spans="1:13" ht="15.95" customHeight="1">
      <c r="A102" s="657" t="s">
        <v>3392</v>
      </c>
      <c r="B102" s="657" t="s">
        <v>545</v>
      </c>
      <c r="C102" s="658">
        <v>1</v>
      </c>
      <c r="D102" s="661" t="s">
        <v>1026</v>
      </c>
      <c r="E102" s="723">
        <v>123</v>
      </c>
      <c r="F102" s="724">
        <v>1550</v>
      </c>
      <c r="G102" s="743">
        <v>145</v>
      </c>
      <c r="H102" s="744">
        <v>1500</v>
      </c>
      <c r="I102" s="723">
        <v>82</v>
      </c>
      <c r="J102" s="724">
        <v>1500</v>
      </c>
      <c r="K102" s="666">
        <v>164</v>
      </c>
      <c r="L102" s="667"/>
      <c r="M102" s="685">
        <f t="shared" si="9"/>
        <v>1500</v>
      </c>
    </row>
    <row r="103" spans="1:13" ht="15.95" customHeight="1">
      <c r="A103" s="657" t="s">
        <v>3393</v>
      </c>
      <c r="B103" s="657" t="s">
        <v>2490</v>
      </c>
      <c r="C103" s="658">
        <v>1</v>
      </c>
      <c r="D103" s="661" t="s">
        <v>1026</v>
      </c>
      <c r="E103" s="723">
        <v>123</v>
      </c>
      <c r="F103" s="724">
        <v>3070</v>
      </c>
      <c r="G103" s="743">
        <v>145</v>
      </c>
      <c r="H103" s="744">
        <v>2900</v>
      </c>
      <c r="I103" s="723">
        <v>82</v>
      </c>
      <c r="J103" s="724">
        <v>2900</v>
      </c>
      <c r="K103" s="666">
        <v>164</v>
      </c>
      <c r="L103" s="667"/>
      <c r="M103" s="685">
        <f t="shared" si="9"/>
        <v>2900</v>
      </c>
    </row>
    <row r="104" spans="1:13" ht="15.95" customHeight="1">
      <c r="A104" s="657" t="s">
        <v>3394</v>
      </c>
      <c r="B104" s="657" t="s">
        <v>3887</v>
      </c>
      <c r="C104" s="658">
        <v>1</v>
      </c>
      <c r="D104" s="661" t="s">
        <v>1026</v>
      </c>
      <c r="E104" s="723">
        <v>123</v>
      </c>
      <c r="F104" s="724">
        <v>10000</v>
      </c>
      <c r="G104" s="743">
        <v>146</v>
      </c>
      <c r="H104" s="744">
        <v>10000</v>
      </c>
      <c r="I104" s="723">
        <v>93</v>
      </c>
      <c r="J104" s="669"/>
      <c r="K104" s="666">
        <v>167</v>
      </c>
      <c r="L104" s="667"/>
      <c r="M104" s="685">
        <f t="shared" si="9"/>
        <v>10000</v>
      </c>
    </row>
    <row r="105" spans="1:13" ht="15.95" customHeight="1">
      <c r="A105" s="657" t="s">
        <v>3395</v>
      </c>
      <c r="B105" s="657" t="s">
        <v>3396</v>
      </c>
      <c r="C105" s="658">
        <v>1</v>
      </c>
      <c r="D105" s="661" t="s">
        <v>2465</v>
      </c>
      <c r="E105" s="723">
        <v>137</v>
      </c>
      <c r="F105" s="724">
        <v>1600</v>
      </c>
      <c r="G105" s="743">
        <v>150</v>
      </c>
      <c r="H105" s="744">
        <v>1400</v>
      </c>
      <c r="I105" s="723">
        <v>104</v>
      </c>
      <c r="J105" s="669"/>
      <c r="K105" s="666">
        <v>173</v>
      </c>
      <c r="L105" s="667"/>
      <c r="M105" s="685">
        <f t="shared" si="9"/>
        <v>1400</v>
      </c>
    </row>
    <row r="106" spans="1:13" s="3" customFormat="1" ht="15.95" customHeight="1">
      <c r="A106" s="982" t="s">
        <v>546</v>
      </c>
      <c r="B106" s="983"/>
      <c r="C106" s="983"/>
      <c r="D106" s="983"/>
      <c r="E106" s="983"/>
      <c r="F106" s="983"/>
      <c r="G106" s="983"/>
      <c r="H106" s="983"/>
      <c r="I106" s="983"/>
      <c r="J106" s="983"/>
      <c r="K106" s="983"/>
      <c r="L106" s="983"/>
      <c r="M106" s="984"/>
    </row>
    <row r="107" spans="1:13" ht="15.95" customHeight="1">
      <c r="A107" s="657" t="s">
        <v>547</v>
      </c>
      <c r="B107" s="657" t="s">
        <v>3937</v>
      </c>
      <c r="C107" s="658">
        <v>1</v>
      </c>
      <c r="D107" s="661" t="s">
        <v>2491</v>
      </c>
      <c r="E107" s="723">
        <v>686</v>
      </c>
      <c r="F107" s="724">
        <v>3500000</v>
      </c>
      <c r="G107" s="743">
        <v>544</v>
      </c>
      <c r="H107" s="744">
        <v>4300000</v>
      </c>
      <c r="I107" s="723">
        <v>96</v>
      </c>
      <c r="J107" s="724">
        <v>3500000</v>
      </c>
      <c r="K107" s="732">
        <v>442</v>
      </c>
      <c r="L107" s="667"/>
      <c r="M107" s="685">
        <f t="shared" ref="M107:M118" si="10">MIN(F107,H107,J107,L107)</f>
        <v>3500000</v>
      </c>
    </row>
    <row r="108" spans="1:13" ht="15.95" customHeight="1">
      <c r="A108" s="657" t="s">
        <v>547</v>
      </c>
      <c r="B108" s="657" t="s">
        <v>3938</v>
      </c>
      <c r="C108" s="658">
        <v>1</v>
      </c>
      <c r="D108" s="661" t="s">
        <v>2491</v>
      </c>
      <c r="E108" s="723">
        <v>686</v>
      </c>
      <c r="F108" s="724">
        <v>2600000</v>
      </c>
      <c r="G108" s="743">
        <v>544</v>
      </c>
      <c r="H108" s="744">
        <v>3200000</v>
      </c>
      <c r="I108" s="723">
        <v>96</v>
      </c>
      <c r="J108" s="724">
        <v>2600000</v>
      </c>
      <c r="K108" s="732">
        <v>442</v>
      </c>
      <c r="L108" s="667"/>
      <c r="M108" s="685">
        <f t="shared" si="10"/>
        <v>2600000</v>
      </c>
    </row>
    <row r="109" spans="1:13" ht="15.95" customHeight="1">
      <c r="A109" s="657" t="s">
        <v>547</v>
      </c>
      <c r="B109" s="657" t="s">
        <v>3939</v>
      </c>
      <c r="C109" s="658">
        <v>1</v>
      </c>
      <c r="D109" s="661" t="s">
        <v>2491</v>
      </c>
      <c r="E109" s="723">
        <v>686</v>
      </c>
      <c r="F109" s="724">
        <v>2200000</v>
      </c>
      <c r="G109" s="743">
        <v>544</v>
      </c>
      <c r="H109" s="744">
        <v>2300000</v>
      </c>
      <c r="I109" s="723">
        <v>96</v>
      </c>
      <c r="J109" s="724">
        <v>2100000</v>
      </c>
      <c r="K109" s="732">
        <v>442</v>
      </c>
      <c r="L109" s="667"/>
      <c r="M109" s="685">
        <f t="shared" si="10"/>
        <v>2100000</v>
      </c>
    </row>
    <row r="110" spans="1:13" ht="15.95" customHeight="1">
      <c r="A110" s="657" t="s">
        <v>547</v>
      </c>
      <c r="B110" s="657" t="s">
        <v>3940</v>
      </c>
      <c r="C110" s="658">
        <v>1</v>
      </c>
      <c r="D110" s="661" t="s">
        <v>2491</v>
      </c>
      <c r="E110" s="723">
        <v>686</v>
      </c>
      <c r="F110" s="724">
        <v>1800000</v>
      </c>
      <c r="G110" s="743">
        <v>544</v>
      </c>
      <c r="H110" s="744">
        <v>1700000</v>
      </c>
      <c r="I110" s="723">
        <v>96</v>
      </c>
      <c r="J110" s="724">
        <v>1600000</v>
      </c>
      <c r="K110" s="732">
        <v>442</v>
      </c>
      <c r="L110" s="667"/>
      <c r="M110" s="685">
        <f t="shared" si="10"/>
        <v>1600000</v>
      </c>
    </row>
    <row r="111" spans="1:13" ht="15.95" customHeight="1">
      <c r="A111" s="657" t="s">
        <v>547</v>
      </c>
      <c r="B111" s="657" t="s">
        <v>3941</v>
      </c>
      <c r="C111" s="658">
        <v>1</v>
      </c>
      <c r="D111" s="661" t="s">
        <v>2491</v>
      </c>
      <c r="E111" s="723">
        <v>686</v>
      </c>
      <c r="F111" s="724">
        <v>2200000</v>
      </c>
      <c r="G111" s="743">
        <v>544</v>
      </c>
      <c r="H111" s="744">
        <v>2300000</v>
      </c>
      <c r="I111" s="723">
        <v>96</v>
      </c>
      <c r="J111" s="724">
        <v>2000000</v>
      </c>
      <c r="K111" s="732">
        <v>442</v>
      </c>
      <c r="L111" s="667">
        <v>2400000</v>
      </c>
      <c r="M111" s="685">
        <f t="shared" si="10"/>
        <v>2000000</v>
      </c>
    </row>
    <row r="112" spans="1:13" ht="15.95" customHeight="1">
      <c r="A112" s="657" t="s">
        <v>547</v>
      </c>
      <c r="B112" s="657" t="s">
        <v>3942</v>
      </c>
      <c r="C112" s="658">
        <v>1</v>
      </c>
      <c r="D112" s="661" t="s">
        <v>2491</v>
      </c>
      <c r="E112" s="723">
        <v>686</v>
      </c>
      <c r="F112" s="724">
        <v>1700000</v>
      </c>
      <c r="G112" s="743">
        <v>544</v>
      </c>
      <c r="H112" s="744"/>
      <c r="I112" s="723">
        <v>96</v>
      </c>
      <c r="J112" s="724">
        <v>1700000</v>
      </c>
      <c r="K112" s="732">
        <v>442</v>
      </c>
      <c r="L112" s="667">
        <v>1900000</v>
      </c>
      <c r="M112" s="685">
        <f t="shared" si="10"/>
        <v>1700000</v>
      </c>
    </row>
    <row r="113" spans="1:13" ht="15.95" customHeight="1">
      <c r="A113" s="657" t="s">
        <v>548</v>
      </c>
      <c r="B113" s="657" t="s">
        <v>3943</v>
      </c>
      <c r="C113" s="658">
        <v>1</v>
      </c>
      <c r="D113" s="661" t="s">
        <v>2491</v>
      </c>
      <c r="E113" s="723">
        <v>686</v>
      </c>
      <c r="F113" s="724">
        <v>4000000</v>
      </c>
      <c r="G113" s="743">
        <v>544</v>
      </c>
      <c r="H113" s="744">
        <v>4900000</v>
      </c>
      <c r="I113" s="723">
        <v>96</v>
      </c>
      <c r="J113" s="724">
        <v>4000000</v>
      </c>
      <c r="K113" s="732">
        <v>442</v>
      </c>
      <c r="L113" s="733">
        <v>5000000</v>
      </c>
      <c r="M113" s="685">
        <f t="shared" si="10"/>
        <v>4000000</v>
      </c>
    </row>
    <row r="114" spans="1:13" ht="15.95" customHeight="1">
      <c r="A114" s="657" t="s">
        <v>548</v>
      </c>
      <c r="B114" s="657" t="s">
        <v>3944</v>
      </c>
      <c r="C114" s="658">
        <v>1</v>
      </c>
      <c r="D114" s="661" t="s">
        <v>2491</v>
      </c>
      <c r="E114" s="723">
        <v>686</v>
      </c>
      <c r="F114" s="724">
        <v>3200000</v>
      </c>
      <c r="G114" s="743">
        <v>544</v>
      </c>
      <c r="H114" s="744">
        <v>3800000</v>
      </c>
      <c r="I114" s="723">
        <v>96</v>
      </c>
      <c r="J114" s="724">
        <v>3200000</v>
      </c>
      <c r="K114" s="732">
        <v>442</v>
      </c>
      <c r="L114" s="733">
        <v>4000000</v>
      </c>
      <c r="M114" s="685">
        <f t="shared" si="10"/>
        <v>3200000</v>
      </c>
    </row>
    <row r="115" spans="1:13" ht="15.95" customHeight="1">
      <c r="A115" s="657" t="s">
        <v>548</v>
      </c>
      <c r="B115" s="657" t="s">
        <v>3945</v>
      </c>
      <c r="C115" s="658">
        <v>1</v>
      </c>
      <c r="D115" s="661" t="s">
        <v>2491</v>
      </c>
      <c r="E115" s="723">
        <v>686</v>
      </c>
      <c r="F115" s="724">
        <v>2100000</v>
      </c>
      <c r="G115" s="743">
        <v>544</v>
      </c>
      <c r="H115" s="744">
        <v>2900000</v>
      </c>
      <c r="I115" s="723">
        <v>96</v>
      </c>
      <c r="J115" s="724">
        <v>2400000</v>
      </c>
      <c r="K115" s="732">
        <v>442</v>
      </c>
      <c r="L115" s="733">
        <v>2900000</v>
      </c>
      <c r="M115" s="685">
        <f t="shared" si="10"/>
        <v>2100000</v>
      </c>
    </row>
    <row r="116" spans="1:13" ht="15.95" customHeight="1">
      <c r="A116" s="657" t="s">
        <v>548</v>
      </c>
      <c r="B116" s="657" t="s">
        <v>3940</v>
      </c>
      <c r="C116" s="658">
        <v>1</v>
      </c>
      <c r="D116" s="661" t="s">
        <v>2491</v>
      </c>
      <c r="E116" s="723">
        <v>686</v>
      </c>
      <c r="F116" s="724">
        <v>1600000</v>
      </c>
      <c r="G116" s="743">
        <v>544</v>
      </c>
      <c r="H116" s="744">
        <v>2000000</v>
      </c>
      <c r="I116" s="723">
        <v>96</v>
      </c>
      <c r="J116" s="724">
        <v>1800000</v>
      </c>
      <c r="K116" s="732">
        <v>442</v>
      </c>
      <c r="L116" s="667"/>
      <c r="M116" s="685">
        <f t="shared" si="10"/>
        <v>1600000</v>
      </c>
    </row>
    <row r="117" spans="1:13" ht="15.95" customHeight="1">
      <c r="A117" s="657" t="s">
        <v>548</v>
      </c>
      <c r="B117" s="657" t="s">
        <v>3941</v>
      </c>
      <c r="C117" s="658">
        <v>1</v>
      </c>
      <c r="D117" s="661" t="s">
        <v>2491</v>
      </c>
      <c r="E117" s="723">
        <v>686</v>
      </c>
      <c r="F117" s="724">
        <v>2000000</v>
      </c>
      <c r="G117" s="743">
        <v>544</v>
      </c>
      <c r="H117" s="744">
        <v>2700000</v>
      </c>
      <c r="I117" s="723">
        <v>96</v>
      </c>
      <c r="J117" s="724">
        <v>2200000</v>
      </c>
      <c r="K117" s="732">
        <v>442</v>
      </c>
      <c r="L117" s="733">
        <v>2700000</v>
      </c>
      <c r="M117" s="685">
        <f t="shared" si="10"/>
        <v>2000000</v>
      </c>
    </row>
    <row r="118" spans="1:13" ht="15.95" customHeight="1">
      <c r="A118" s="657" t="s">
        <v>548</v>
      </c>
      <c r="B118" s="657" t="s">
        <v>3946</v>
      </c>
      <c r="C118" s="658">
        <v>1</v>
      </c>
      <c r="D118" s="661" t="s">
        <v>2491</v>
      </c>
      <c r="E118" s="723">
        <v>686</v>
      </c>
      <c r="F118" s="724">
        <v>1600000</v>
      </c>
      <c r="G118" s="743">
        <v>544</v>
      </c>
      <c r="H118" s="744">
        <v>2300000</v>
      </c>
      <c r="I118" s="723">
        <v>96</v>
      </c>
      <c r="J118" s="724">
        <v>1600000</v>
      </c>
      <c r="K118" s="732">
        <v>442</v>
      </c>
      <c r="L118" s="733">
        <v>2300000</v>
      </c>
      <c r="M118" s="685">
        <f t="shared" si="10"/>
        <v>1600000</v>
      </c>
    </row>
    <row r="119" spans="1:13" s="3" customFormat="1" ht="15.95" customHeight="1">
      <c r="A119" s="982" t="s">
        <v>3947</v>
      </c>
      <c r="B119" s="983"/>
      <c r="C119" s="983"/>
      <c r="D119" s="983"/>
      <c r="E119" s="983"/>
      <c r="F119" s="983"/>
      <c r="G119" s="983"/>
      <c r="H119" s="983"/>
      <c r="I119" s="983"/>
      <c r="J119" s="983"/>
      <c r="K119" s="983"/>
      <c r="L119" s="983"/>
      <c r="M119" s="984"/>
    </row>
    <row r="120" spans="1:13" ht="15.95" customHeight="1">
      <c r="A120" s="657" t="s">
        <v>3948</v>
      </c>
      <c r="B120" s="657" t="s">
        <v>3397</v>
      </c>
      <c r="C120" s="658">
        <v>1</v>
      </c>
      <c r="D120" s="661" t="s">
        <v>2465</v>
      </c>
      <c r="E120" s="723">
        <v>89</v>
      </c>
      <c r="F120" s="724">
        <v>9100</v>
      </c>
      <c r="G120" s="743">
        <v>99</v>
      </c>
      <c r="H120" s="744">
        <v>8200</v>
      </c>
      <c r="I120" s="723">
        <v>343</v>
      </c>
      <c r="J120" s="724">
        <v>7000</v>
      </c>
      <c r="K120" s="666">
        <v>544</v>
      </c>
      <c r="L120" s="667"/>
      <c r="M120" s="685">
        <f>MIN(F120,H120,J120,L120)</f>
        <v>7000</v>
      </c>
    </row>
    <row r="121" spans="1:13" s="3" customFormat="1" ht="15.95" customHeight="1">
      <c r="A121" s="982" t="s">
        <v>3949</v>
      </c>
      <c r="B121" s="983"/>
      <c r="C121" s="983"/>
      <c r="D121" s="983"/>
      <c r="E121" s="983"/>
      <c r="F121" s="983"/>
      <c r="G121" s="983"/>
      <c r="H121" s="983"/>
      <c r="I121" s="983"/>
      <c r="J121" s="983"/>
      <c r="K121" s="983"/>
      <c r="L121" s="983"/>
      <c r="M121" s="984"/>
    </row>
    <row r="122" spans="1:13" ht="15.95" customHeight="1">
      <c r="A122" s="657" t="s">
        <v>2492</v>
      </c>
      <c r="B122" s="657" t="s">
        <v>3398</v>
      </c>
      <c r="C122" s="658">
        <v>1</v>
      </c>
      <c r="D122" s="661" t="s">
        <v>2496</v>
      </c>
      <c r="E122" s="723">
        <v>134</v>
      </c>
      <c r="F122" s="724">
        <v>35000</v>
      </c>
      <c r="G122" s="743">
        <v>147</v>
      </c>
      <c r="H122" s="744">
        <v>50000</v>
      </c>
      <c r="I122" s="723">
        <v>85</v>
      </c>
      <c r="J122" s="724">
        <v>35000</v>
      </c>
      <c r="K122" s="666">
        <v>169</v>
      </c>
      <c r="L122" s="667"/>
      <c r="M122" s="685">
        <f t="shared" ref="M122:M135" si="11">MIN(F122,H122,J122,L122)</f>
        <v>35000</v>
      </c>
    </row>
    <row r="123" spans="1:13" ht="15.95" customHeight="1">
      <c r="A123" s="657" t="s">
        <v>2492</v>
      </c>
      <c r="B123" s="657" t="s">
        <v>3399</v>
      </c>
      <c r="C123" s="658">
        <v>1</v>
      </c>
      <c r="D123" s="661" t="s">
        <v>2496</v>
      </c>
      <c r="E123" s="723">
        <v>134</v>
      </c>
      <c r="F123" s="724">
        <v>60000</v>
      </c>
      <c r="G123" s="743">
        <v>147</v>
      </c>
      <c r="H123" s="744">
        <v>70000</v>
      </c>
      <c r="I123" s="723">
        <v>85</v>
      </c>
      <c r="J123" s="724">
        <v>60000</v>
      </c>
      <c r="K123" s="666">
        <v>169</v>
      </c>
      <c r="L123" s="667"/>
      <c r="M123" s="685">
        <f t="shared" si="11"/>
        <v>60000</v>
      </c>
    </row>
    <row r="124" spans="1:13" ht="15.95" customHeight="1">
      <c r="A124" s="657" t="s">
        <v>2492</v>
      </c>
      <c r="B124" s="657" t="s">
        <v>3400</v>
      </c>
      <c r="C124" s="658">
        <v>1</v>
      </c>
      <c r="D124" s="661" t="s">
        <v>2496</v>
      </c>
      <c r="E124" s="723">
        <v>134</v>
      </c>
      <c r="F124" s="724">
        <v>75000</v>
      </c>
      <c r="G124" s="743">
        <v>147</v>
      </c>
      <c r="H124" s="744">
        <v>90000</v>
      </c>
      <c r="I124" s="723">
        <v>85</v>
      </c>
      <c r="J124" s="724">
        <v>75000</v>
      </c>
      <c r="K124" s="666">
        <v>169</v>
      </c>
      <c r="L124" s="667"/>
      <c r="M124" s="685">
        <f t="shared" si="11"/>
        <v>75000</v>
      </c>
    </row>
    <row r="125" spans="1:13" ht="15.95" customHeight="1">
      <c r="A125" s="657" t="s">
        <v>2493</v>
      </c>
      <c r="B125" s="657" t="s">
        <v>3398</v>
      </c>
      <c r="C125" s="658">
        <v>1</v>
      </c>
      <c r="D125" s="661" t="s">
        <v>2496</v>
      </c>
      <c r="E125" s="723">
        <v>134</v>
      </c>
      <c r="F125" s="724">
        <v>45000</v>
      </c>
      <c r="G125" s="743">
        <v>147</v>
      </c>
      <c r="H125" s="744">
        <v>80000</v>
      </c>
      <c r="I125" s="723">
        <v>85</v>
      </c>
      <c r="J125" s="724">
        <v>45000</v>
      </c>
      <c r="K125" s="666">
        <v>169</v>
      </c>
      <c r="L125" s="667"/>
      <c r="M125" s="685">
        <f t="shared" si="11"/>
        <v>45000</v>
      </c>
    </row>
    <row r="126" spans="1:13" ht="15.95" customHeight="1">
      <c r="A126" s="657" t="s">
        <v>2493</v>
      </c>
      <c r="B126" s="657" t="s">
        <v>3399</v>
      </c>
      <c r="C126" s="658">
        <v>1</v>
      </c>
      <c r="D126" s="661" t="s">
        <v>2496</v>
      </c>
      <c r="E126" s="723">
        <v>134</v>
      </c>
      <c r="F126" s="724">
        <v>70000</v>
      </c>
      <c r="G126" s="743">
        <v>147</v>
      </c>
      <c r="H126" s="744">
        <v>100000</v>
      </c>
      <c r="I126" s="723">
        <v>85</v>
      </c>
      <c r="J126" s="724">
        <v>70000</v>
      </c>
      <c r="K126" s="666">
        <v>169</v>
      </c>
      <c r="L126" s="667"/>
      <c r="M126" s="685">
        <f t="shared" si="11"/>
        <v>70000</v>
      </c>
    </row>
    <row r="127" spans="1:13" ht="15.95" customHeight="1">
      <c r="A127" s="657" t="s">
        <v>2493</v>
      </c>
      <c r="B127" s="657" t="s">
        <v>3400</v>
      </c>
      <c r="C127" s="658">
        <v>1</v>
      </c>
      <c r="D127" s="661" t="s">
        <v>2496</v>
      </c>
      <c r="E127" s="723">
        <v>134</v>
      </c>
      <c r="F127" s="724">
        <v>85000</v>
      </c>
      <c r="G127" s="743">
        <v>147</v>
      </c>
      <c r="H127" s="744">
        <v>130000</v>
      </c>
      <c r="I127" s="723">
        <v>85</v>
      </c>
      <c r="J127" s="724">
        <v>85000</v>
      </c>
      <c r="K127" s="666">
        <v>169</v>
      </c>
      <c r="L127" s="667"/>
      <c r="M127" s="685">
        <f t="shared" si="11"/>
        <v>85000</v>
      </c>
    </row>
    <row r="128" spans="1:13" ht="15.95" customHeight="1">
      <c r="A128" s="657" t="s">
        <v>3950</v>
      </c>
      <c r="B128" s="657" t="s">
        <v>2495</v>
      </c>
      <c r="C128" s="658">
        <v>1</v>
      </c>
      <c r="D128" s="661" t="s">
        <v>2496</v>
      </c>
      <c r="E128" s="723">
        <v>134</v>
      </c>
      <c r="F128" s="724">
        <v>300000</v>
      </c>
      <c r="G128" s="743">
        <v>147</v>
      </c>
      <c r="H128" s="744">
        <v>300000</v>
      </c>
      <c r="I128" s="723">
        <v>85</v>
      </c>
      <c r="J128" s="724">
        <v>300000</v>
      </c>
      <c r="K128" s="666">
        <v>169</v>
      </c>
      <c r="L128" s="667"/>
      <c r="M128" s="685">
        <f t="shared" si="11"/>
        <v>300000</v>
      </c>
    </row>
    <row r="129" spans="1:13" ht="15.95" customHeight="1">
      <c r="A129" s="657" t="s">
        <v>2494</v>
      </c>
      <c r="B129" s="657" t="s">
        <v>2497</v>
      </c>
      <c r="C129" s="658">
        <v>1</v>
      </c>
      <c r="D129" s="661" t="s">
        <v>2496</v>
      </c>
      <c r="E129" s="723">
        <v>134</v>
      </c>
      <c r="F129" s="724">
        <v>180000</v>
      </c>
      <c r="G129" s="743">
        <v>147</v>
      </c>
      <c r="H129" s="744">
        <v>200000</v>
      </c>
      <c r="I129" s="723">
        <v>85</v>
      </c>
      <c r="J129" s="724">
        <v>180000</v>
      </c>
      <c r="K129" s="666">
        <v>169</v>
      </c>
      <c r="L129" s="667"/>
      <c r="M129" s="685">
        <f t="shared" si="11"/>
        <v>180000</v>
      </c>
    </row>
    <row r="130" spans="1:13" ht="15.95" customHeight="1">
      <c r="A130" s="657" t="s">
        <v>2494</v>
      </c>
      <c r="B130" s="657" t="s">
        <v>2498</v>
      </c>
      <c r="C130" s="658">
        <v>1</v>
      </c>
      <c r="D130" s="661" t="s">
        <v>2496</v>
      </c>
      <c r="E130" s="723">
        <v>134</v>
      </c>
      <c r="F130" s="724">
        <v>400000</v>
      </c>
      <c r="G130" s="743">
        <v>147</v>
      </c>
      <c r="H130" s="744">
        <v>400000</v>
      </c>
      <c r="I130" s="723">
        <v>85</v>
      </c>
      <c r="J130" s="724">
        <v>400000</v>
      </c>
      <c r="K130" s="666">
        <v>169</v>
      </c>
      <c r="L130" s="667"/>
      <c r="M130" s="685">
        <f t="shared" si="11"/>
        <v>400000</v>
      </c>
    </row>
    <row r="131" spans="1:13" ht="15.95" customHeight="1">
      <c r="A131" s="657" t="s">
        <v>2494</v>
      </c>
      <c r="B131" s="657" t="s">
        <v>2499</v>
      </c>
      <c r="C131" s="658">
        <v>1</v>
      </c>
      <c r="D131" s="661" t="s">
        <v>2496</v>
      </c>
      <c r="E131" s="723">
        <v>134</v>
      </c>
      <c r="F131" s="724">
        <v>250000</v>
      </c>
      <c r="G131" s="743">
        <v>147</v>
      </c>
      <c r="H131" s="744">
        <v>250000</v>
      </c>
      <c r="I131" s="723">
        <v>85</v>
      </c>
      <c r="J131" s="724">
        <v>250000</v>
      </c>
      <c r="K131" s="666">
        <v>169</v>
      </c>
      <c r="L131" s="667"/>
      <c r="M131" s="685">
        <f t="shared" si="11"/>
        <v>250000</v>
      </c>
    </row>
    <row r="132" spans="1:13" ht="15.95" customHeight="1">
      <c r="A132" s="657" t="s">
        <v>2494</v>
      </c>
      <c r="B132" s="657" t="s">
        <v>2500</v>
      </c>
      <c r="C132" s="658">
        <v>1</v>
      </c>
      <c r="D132" s="661" t="s">
        <v>2496</v>
      </c>
      <c r="E132" s="723">
        <v>134</v>
      </c>
      <c r="F132" s="724">
        <v>510000</v>
      </c>
      <c r="G132" s="743">
        <v>147</v>
      </c>
      <c r="H132" s="744">
        <v>500000</v>
      </c>
      <c r="I132" s="723">
        <v>85</v>
      </c>
      <c r="J132" s="724">
        <v>510000</v>
      </c>
      <c r="K132" s="666">
        <v>169</v>
      </c>
      <c r="L132" s="667"/>
      <c r="M132" s="685">
        <f t="shared" si="11"/>
        <v>500000</v>
      </c>
    </row>
    <row r="133" spans="1:13" ht="15.95" customHeight="1">
      <c r="A133" s="657" t="s">
        <v>2494</v>
      </c>
      <c r="B133" s="657" t="s">
        <v>2501</v>
      </c>
      <c r="C133" s="658">
        <v>1</v>
      </c>
      <c r="D133" s="661" t="s">
        <v>2496</v>
      </c>
      <c r="E133" s="723">
        <v>134</v>
      </c>
      <c r="F133" s="724">
        <v>310000</v>
      </c>
      <c r="G133" s="743">
        <v>147</v>
      </c>
      <c r="H133" s="744">
        <v>300000</v>
      </c>
      <c r="I133" s="723">
        <v>85</v>
      </c>
      <c r="J133" s="724">
        <v>310000</v>
      </c>
      <c r="K133" s="666">
        <v>169</v>
      </c>
      <c r="L133" s="667"/>
      <c r="M133" s="685">
        <f t="shared" si="11"/>
        <v>300000</v>
      </c>
    </row>
    <row r="134" spans="1:13" ht="15.95" customHeight="1">
      <c r="A134" s="657" t="s">
        <v>3401</v>
      </c>
      <c r="B134" s="657" t="s">
        <v>3402</v>
      </c>
      <c r="C134" s="658">
        <v>1</v>
      </c>
      <c r="D134" s="661" t="s">
        <v>1026</v>
      </c>
      <c r="E134" s="723">
        <v>134</v>
      </c>
      <c r="F134" s="724">
        <v>40000</v>
      </c>
      <c r="G134" s="668">
        <v>149</v>
      </c>
      <c r="H134" s="669">
        <v>40000</v>
      </c>
      <c r="I134" s="723">
        <v>85</v>
      </c>
      <c r="J134" s="724">
        <v>43000</v>
      </c>
      <c r="K134" s="666">
        <v>169</v>
      </c>
      <c r="L134" s="667"/>
      <c r="M134" s="685">
        <f t="shared" si="11"/>
        <v>40000</v>
      </c>
    </row>
    <row r="135" spans="1:13" ht="15.95" customHeight="1">
      <c r="A135" s="657" t="s">
        <v>3401</v>
      </c>
      <c r="B135" s="657" t="s">
        <v>3403</v>
      </c>
      <c r="C135" s="658">
        <v>1</v>
      </c>
      <c r="D135" s="661" t="s">
        <v>1026</v>
      </c>
      <c r="E135" s="723">
        <v>134</v>
      </c>
      <c r="F135" s="724">
        <v>45000</v>
      </c>
      <c r="G135" s="668">
        <v>149</v>
      </c>
      <c r="H135" s="669">
        <v>46000</v>
      </c>
      <c r="I135" s="723">
        <v>85</v>
      </c>
      <c r="J135" s="724">
        <v>49000</v>
      </c>
      <c r="K135" s="666">
        <v>169</v>
      </c>
      <c r="L135" s="667"/>
      <c r="M135" s="685">
        <f t="shared" si="11"/>
        <v>45000</v>
      </c>
    </row>
    <row r="136" spans="1:13" s="3" customFormat="1" ht="15.95" customHeight="1">
      <c r="A136" s="982" t="s">
        <v>549</v>
      </c>
      <c r="B136" s="983"/>
      <c r="C136" s="983"/>
      <c r="D136" s="983"/>
      <c r="E136" s="983"/>
      <c r="F136" s="983"/>
      <c r="G136" s="983"/>
      <c r="H136" s="983"/>
      <c r="I136" s="983"/>
      <c r="J136" s="983"/>
      <c r="K136" s="983"/>
      <c r="L136" s="983"/>
      <c r="M136" s="984"/>
    </row>
    <row r="137" spans="1:13" ht="15.95" customHeight="1">
      <c r="A137" s="657" t="s">
        <v>550</v>
      </c>
      <c r="B137" s="657" t="s">
        <v>2502</v>
      </c>
      <c r="C137" s="658">
        <v>1</v>
      </c>
      <c r="D137" s="661" t="s">
        <v>2503</v>
      </c>
      <c r="E137" s="723">
        <v>347</v>
      </c>
      <c r="F137" s="724">
        <v>2600</v>
      </c>
      <c r="G137" s="743">
        <v>326</v>
      </c>
      <c r="H137" s="744">
        <v>4500</v>
      </c>
      <c r="I137" s="723">
        <v>139</v>
      </c>
      <c r="J137" s="669"/>
      <c r="K137" s="666">
        <v>220</v>
      </c>
      <c r="L137" s="667"/>
      <c r="M137" s="685">
        <f t="shared" ref="M137:M177" si="12">MIN(F137,H137,J137,L137)</f>
        <v>2600</v>
      </c>
    </row>
    <row r="138" spans="1:13" ht="15.95" customHeight="1">
      <c r="A138" s="657" t="s">
        <v>551</v>
      </c>
      <c r="B138" s="657" t="s">
        <v>3888</v>
      </c>
      <c r="C138" s="658">
        <v>1</v>
      </c>
      <c r="D138" s="661" t="s">
        <v>1026</v>
      </c>
      <c r="E138" s="723">
        <v>1342</v>
      </c>
      <c r="F138" s="724">
        <v>290</v>
      </c>
      <c r="G138" s="743" t="s">
        <v>4040</v>
      </c>
      <c r="H138" s="744">
        <v>350</v>
      </c>
      <c r="I138" s="723">
        <v>1245</v>
      </c>
      <c r="J138" s="724">
        <v>350</v>
      </c>
      <c r="K138" s="666">
        <v>1036</v>
      </c>
      <c r="L138" s="667"/>
      <c r="M138" s="685">
        <f t="shared" si="12"/>
        <v>290</v>
      </c>
    </row>
    <row r="139" spans="1:13" s="447" customFormat="1" ht="15.95" customHeight="1">
      <c r="A139" s="674" t="s">
        <v>3951</v>
      </c>
      <c r="B139" s="674" t="s">
        <v>2504</v>
      </c>
      <c r="C139" s="675">
        <v>1</v>
      </c>
      <c r="D139" s="675" t="s">
        <v>1026</v>
      </c>
      <c r="E139" s="723">
        <v>293</v>
      </c>
      <c r="F139" s="724">
        <v>18100</v>
      </c>
      <c r="G139" s="676">
        <v>291</v>
      </c>
      <c r="H139" s="677">
        <v>18100</v>
      </c>
      <c r="I139" s="723">
        <v>118</v>
      </c>
      <c r="J139" s="669"/>
      <c r="K139" s="676">
        <v>379</v>
      </c>
      <c r="L139" s="677"/>
      <c r="M139" s="685">
        <f t="shared" si="12"/>
        <v>18100</v>
      </c>
    </row>
    <row r="140" spans="1:13" s="447" customFormat="1" ht="15.95" customHeight="1">
      <c r="A140" s="674" t="s">
        <v>2505</v>
      </c>
      <c r="B140" s="674" t="s">
        <v>2506</v>
      </c>
      <c r="C140" s="675">
        <v>1</v>
      </c>
      <c r="D140" s="675" t="s">
        <v>1026</v>
      </c>
      <c r="E140" s="723">
        <v>293</v>
      </c>
      <c r="F140" s="724">
        <v>22100</v>
      </c>
      <c r="G140" s="676">
        <v>293</v>
      </c>
      <c r="H140" s="677">
        <v>22100</v>
      </c>
      <c r="I140" s="723">
        <v>118</v>
      </c>
      <c r="J140" s="669"/>
      <c r="K140" s="676">
        <v>379</v>
      </c>
      <c r="L140" s="677"/>
      <c r="M140" s="685">
        <f t="shared" si="12"/>
        <v>22100</v>
      </c>
    </row>
    <row r="141" spans="1:13" s="447" customFormat="1" ht="15.95" customHeight="1">
      <c r="A141" s="674" t="s">
        <v>2505</v>
      </c>
      <c r="B141" s="674" t="s">
        <v>2507</v>
      </c>
      <c r="C141" s="675">
        <v>1</v>
      </c>
      <c r="D141" s="675" t="s">
        <v>1026</v>
      </c>
      <c r="E141" s="723">
        <v>293</v>
      </c>
      <c r="F141" s="724">
        <v>26900</v>
      </c>
      <c r="G141" s="676">
        <v>293</v>
      </c>
      <c r="H141" s="677">
        <v>26900</v>
      </c>
      <c r="I141" s="723">
        <v>118</v>
      </c>
      <c r="J141" s="669"/>
      <c r="K141" s="676">
        <v>379</v>
      </c>
      <c r="L141" s="677"/>
      <c r="M141" s="685">
        <f t="shared" si="12"/>
        <v>26900</v>
      </c>
    </row>
    <row r="142" spans="1:13" s="447" customFormat="1" ht="15.95" customHeight="1">
      <c r="A142" s="674" t="s">
        <v>2505</v>
      </c>
      <c r="B142" s="674" t="s">
        <v>2508</v>
      </c>
      <c r="C142" s="675">
        <v>1</v>
      </c>
      <c r="D142" s="675" t="s">
        <v>1026</v>
      </c>
      <c r="E142" s="723">
        <v>293</v>
      </c>
      <c r="F142" s="724">
        <v>29500</v>
      </c>
      <c r="G142" s="676">
        <v>293</v>
      </c>
      <c r="H142" s="677">
        <v>29500</v>
      </c>
      <c r="I142" s="723">
        <v>118</v>
      </c>
      <c r="J142" s="669"/>
      <c r="K142" s="676">
        <v>379</v>
      </c>
      <c r="L142" s="677"/>
      <c r="M142" s="685">
        <f t="shared" si="12"/>
        <v>29500</v>
      </c>
    </row>
    <row r="143" spans="1:13" s="447" customFormat="1" ht="15.95" customHeight="1">
      <c r="A143" s="674" t="s">
        <v>2505</v>
      </c>
      <c r="B143" s="674" t="s">
        <v>2509</v>
      </c>
      <c r="C143" s="675">
        <v>1</v>
      </c>
      <c r="D143" s="675" t="s">
        <v>1026</v>
      </c>
      <c r="E143" s="723">
        <v>293</v>
      </c>
      <c r="F143" s="724">
        <v>32400</v>
      </c>
      <c r="G143" s="676">
        <v>293</v>
      </c>
      <c r="H143" s="677">
        <v>32400</v>
      </c>
      <c r="I143" s="723">
        <v>118</v>
      </c>
      <c r="J143" s="669"/>
      <c r="K143" s="676">
        <v>379</v>
      </c>
      <c r="L143" s="677"/>
      <c r="M143" s="685">
        <f t="shared" si="12"/>
        <v>32400</v>
      </c>
    </row>
    <row r="144" spans="1:13" s="447" customFormat="1" ht="15.95" customHeight="1">
      <c r="A144" s="674" t="s">
        <v>2505</v>
      </c>
      <c r="B144" s="674" t="s">
        <v>2510</v>
      </c>
      <c r="C144" s="675">
        <v>1</v>
      </c>
      <c r="D144" s="675" t="s">
        <v>1026</v>
      </c>
      <c r="E144" s="723">
        <v>293</v>
      </c>
      <c r="F144" s="724">
        <v>48900</v>
      </c>
      <c r="G144" s="676">
        <v>293</v>
      </c>
      <c r="H144" s="677">
        <v>48900</v>
      </c>
      <c r="I144" s="723">
        <v>118</v>
      </c>
      <c r="J144" s="669"/>
      <c r="K144" s="676">
        <v>379</v>
      </c>
      <c r="L144" s="677"/>
      <c r="M144" s="685">
        <f t="shared" si="12"/>
        <v>48900</v>
      </c>
    </row>
    <row r="145" spans="1:13" s="447" customFormat="1" ht="15.95" customHeight="1">
      <c r="A145" s="674" t="s">
        <v>2505</v>
      </c>
      <c r="B145" s="674" t="s">
        <v>2511</v>
      </c>
      <c r="C145" s="675">
        <v>1</v>
      </c>
      <c r="D145" s="675" t="s">
        <v>1026</v>
      </c>
      <c r="E145" s="723">
        <v>293</v>
      </c>
      <c r="F145" s="724">
        <v>52600</v>
      </c>
      <c r="G145" s="676">
        <v>293</v>
      </c>
      <c r="H145" s="677">
        <v>52600</v>
      </c>
      <c r="I145" s="723">
        <v>118</v>
      </c>
      <c r="J145" s="669"/>
      <c r="K145" s="676">
        <v>379</v>
      </c>
      <c r="L145" s="677"/>
      <c r="M145" s="685">
        <f t="shared" si="12"/>
        <v>52600</v>
      </c>
    </row>
    <row r="146" spans="1:13" s="447" customFormat="1" ht="15.95" customHeight="1">
      <c r="A146" s="674" t="s">
        <v>2505</v>
      </c>
      <c r="B146" s="674" t="s">
        <v>2512</v>
      </c>
      <c r="C146" s="675">
        <v>1</v>
      </c>
      <c r="D146" s="675" t="s">
        <v>1026</v>
      </c>
      <c r="E146" s="723">
        <v>293</v>
      </c>
      <c r="F146" s="724">
        <v>56400</v>
      </c>
      <c r="G146" s="676">
        <v>293</v>
      </c>
      <c r="H146" s="677">
        <v>56400</v>
      </c>
      <c r="I146" s="723">
        <v>118</v>
      </c>
      <c r="J146" s="669"/>
      <c r="K146" s="676">
        <v>379</v>
      </c>
      <c r="L146" s="677"/>
      <c r="M146" s="685">
        <f t="shared" si="12"/>
        <v>56400</v>
      </c>
    </row>
    <row r="147" spans="1:13" s="447" customFormat="1" ht="15.95" customHeight="1">
      <c r="A147" s="674" t="s">
        <v>2505</v>
      </c>
      <c r="B147" s="674" t="s">
        <v>2513</v>
      </c>
      <c r="C147" s="675">
        <v>1</v>
      </c>
      <c r="D147" s="675" t="s">
        <v>1026</v>
      </c>
      <c r="E147" s="723">
        <v>293</v>
      </c>
      <c r="F147" s="724">
        <v>65700</v>
      </c>
      <c r="G147" s="676">
        <v>293</v>
      </c>
      <c r="H147" s="677">
        <v>65700</v>
      </c>
      <c r="I147" s="723">
        <v>118</v>
      </c>
      <c r="J147" s="669"/>
      <c r="K147" s="676">
        <v>379</v>
      </c>
      <c r="L147" s="677"/>
      <c r="M147" s="685">
        <f t="shared" si="12"/>
        <v>65700</v>
      </c>
    </row>
    <row r="148" spans="1:13" ht="15.95" customHeight="1">
      <c r="A148" s="657" t="s">
        <v>3952</v>
      </c>
      <c r="B148" s="657" t="s">
        <v>3953</v>
      </c>
      <c r="C148" s="658">
        <v>1</v>
      </c>
      <c r="D148" s="661" t="s">
        <v>2473</v>
      </c>
      <c r="E148" s="723">
        <v>302</v>
      </c>
      <c r="F148" s="724">
        <v>9650</v>
      </c>
      <c r="G148" s="668">
        <v>308</v>
      </c>
      <c r="H148" s="669">
        <v>9300</v>
      </c>
      <c r="I148" s="723">
        <v>126</v>
      </c>
      <c r="J148" s="669"/>
      <c r="K148" s="666">
        <v>381</v>
      </c>
      <c r="L148" s="667"/>
      <c r="M148" s="685">
        <f t="shared" si="12"/>
        <v>9300</v>
      </c>
    </row>
    <row r="149" spans="1:13" ht="15.95" customHeight="1">
      <c r="A149" s="657" t="s">
        <v>552</v>
      </c>
      <c r="B149" s="742" t="s">
        <v>4044</v>
      </c>
      <c r="C149" s="658">
        <v>1</v>
      </c>
      <c r="D149" s="661" t="s">
        <v>2473</v>
      </c>
      <c r="E149" s="723">
        <v>302</v>
      </c>
      <c r="F149" s="724">
        <v>12850</v>
      </c>
      <c r="G149" s="668">
        <v>308</v>
      </c>
      <c r="H149" s="669">
        <v>13250</v>
      </c>
      <c r="I149" s="723">
        <v>126</v>
      </c>
      <c r="J149" s="669"/>
      <c r="K149" s="666">
        <v>381</v>
      </c>
      <c r="L149" s="667"/>
      <c r="M149" s="685">
        <f t="shared" si="12"/>
        <v>12850</v>
      </c>
    </row>
    <row r="150" spans="1:13" ht="15.95" customHeight="1">
      <c r="A150" s="980" t="s">
        <v>3404</v>
      </c>
      <c r="B150" s="980" t="s">
        <v>3954</v>
      </c>
      <c r="C150" s="658">
        <v>1</v>
      </c>
      <c r="D150" s="661" t="s">
        <v>2514</v>
      </c>
      <c r="E150" s="723">
        <v>1312</v>
      </c>
      <c r="F150" s="724">
        <v>245800</v>
      </c>
      <c r="G150" s="668"/>
      <c r="H150" s="669"/>
      <c r="I150" s="668" t="s">
        <v>3146</v>
      </c>
      <c r="J150" s="669"/>
      <c r="K150" s="666"/>
      <c r="L150" s="667"/>
      <c r="M150" s="685">
        <f t="shared" si="12"/>
        <v>245800</v>
      </c>
    </row>
    <row r="151" spans="1:13" ht="15.95" customHeight="1">
      <c r="A151" s="980"/>
      <c r="B151" s="980"/>
      <c r="C151" s="658">
        <v>1</v>
      </c>
      <c r="D151" s="661" t="s">
        <v>2503</v>
      </c>
      <c r="E151" s="723"/>
      <c r="F151" s="724">
        <v>40966</v>
      </c>
      <c r="G151" s="668"/>
      <c r="H151" s="669"/>
      <c r="I151" s="668"/>
      <c r="J151" s="669"/>
      <c r="K151" s="666"/>
      <c r="L151" s="667"/>
      <c r="M151" s="685">
        <f t="shared" si="12"/>
        <v>40966</v>
      </c>
    </row>
    <row r="152" spans="1:13" ht="15.95" customHeight="1">
      <c r="A152" s="665" t="s">
        <v>2515</v>
      </c>
      <c r="B152" s="665" t="s">
        <v>3955</v>
      </c>
      <c r="C152" s="661">
        <v>1</v>
      </c>
      <c r="D152" s="661" t="s">
        <v>2503</v>
      </c>
      <c r="E152" s="723">
        <v>1310</v>
      </c>
      <c r="F152" s="724">
        <v>9500</v>
      </c>
      <c r="G152" s="743">
        <v>1429</v>
      </c>
      <c r="H152" s="744">
        <v>9500</v>
      </c>
      <c r="I152" s="723">
        <v>1204</v>
      </c>
      <c r="J152" s="724">
        <v>9500</v>
      </c>
      <c r="K152" s="723">
        <v>944</v>
      </c>
      <c r="L152" s="724">
        <v>12000</v>
      </c>
      <c r="M152" s="685">
        <f t="shared" si="12"/>
        <v>9500</v>
      </c>
    </row>
    <row r="153" spans="1:13" ht="15.95" customHeight="1">
      <c r="A153" s="980" t="s">
        <v>3956</v>
      </c>
      <c r="B153" s="980" t="s">
        <v>2516</v>
      </c>
      <c r="C153" s="658">
        <v>1</v>
      </c>
      <c r="D153" s="661" t="s">
        <v>2517</v>
      </c>
      <c r="E153" s="723">
        <v>1310</v>
      </c>
      <c r="F153" s="724">
        <v>270500</v>
      </c>
      <c r="G153" s="743">
        <v>1429</v>
      </c>
      <c r="H153" s="744">
        <v>411700</v>
      </c>
      <c r="I153" s="723">
        <v>1204</v>
      </c>
      <c r="J153" s="724">
        <v>376100</v>
      </c>
      <c r="K153" s="732">
        <v>886</v>
      </c>
      <c r="L153" s="724">
        <v>376100</v>
      </c>
      <c r="M153" s="685">
        <f t="shared" si="12"/>
        <v>270500</v>
      </c>
    </row>
    <row r="154" spans="1:13" ht="15.95" customHeight="1">
      <c r="A154" s="980"/>
      <c r="B154" s="980"/>
      <c r="C154" s="658">
        <v>1</v>
      </c>
      <c r="D154" s="661" t="s">
        <v>2473</v>
      </c>
      <c r="E154" s="723"/>
      <c r="F154" s="724">
        <f>INT(F153/30)</f>
        <v>9016</v>
      </c>
      <c r="G154" s="743"/>
      <c r="H154" s="744">
        <f>INT(H153/30)</f>
        <v>13723</v>
      </c>
      <c r="I154" s="723"/>
      <c r="J154" s="724">
        <f>INT(J153/30)</f>
        <v>12536</v>
      </c>
      <c r="K154" s="666"/>
      <c r="L154" s="724">
        <f>INT(L153/30)</f>
        <v>12536</v>
      </c>
      <c r="M154" s="685">
        <f t="shared" si="12"/>
        <v>9016</v>
      </c>
    </row>
    <row r="155" spans="1:13" ht="15.95" customHeight="1">
      <c r="A155" s="980" t="s">
        <v>553</v>
      </c>
      <c r="B155" s="980" t="s">
        <v>2518</v>
      </c>
      <c r="C155" s="658">
        <v>1</v>
      </c>
      <c r="D155" s="661" t="s">
        <v>2517</v>
      </c>
      <c r="E155" s="723">
        <v>1310</v>
      </c>
      <c r="F155" s="724">
        <v>166500</v>
      </c>
      <c r="G155" s="743">
        <v>1429</v>
      </c>
      <c r="H155" s="744">
        <v>244000</v>
      </c>
      <c r="I155" s="723">
        <v>1204</v>
      </c>
      <c r="J155" s="724">
        <v>213900</v>
      </c>
      <c r="K155" s="732">
        <v>943</v>
      </c>
      <c r="L155" s="724">
        <v>213900</v>
      </c>
      <c r="M155" s="685">
        <f t="shared" si="12"/>
        <v>166500</v>
      </c>
    </row>
    <row r="156" spans="1:13" ht="15.95" customHeight="1">
      <c r="A156" s="980"/>
      <c r="B156" s="980"/>
      <c r="C156" s="658">
        <v>1</v>
      </c>
      <c r="D156" s="661" t="s">
        <v>2473</v>
      </c>
      <c r="E156" s="723"/>
      <c r="F156" s="724">
        <f>INT(F155/50)</f>
        <v>3330</v>
      </c>
      <c r="G156" s="743"/>
      <c r="H156" s="744">
        <f>INT(H155/50)</f>
        <v>4880</v>
      </c>
      <c r="I156" s="723"/>
      <c r="J156" s="724">
        <f>INT(J155/50)</f>
        <v>4278</v>
      </c>
      <c r="K156" s="732"/>
      <c r="L156" s="724">
        <f>INT(L155/50)</f>
        <v>4278</v>
      </c>
      <c r="M156" s="685">
        <f t="shared" si="12"/>
        <v>3330</v>
      </c>
    </row>
    <row r="157" spans="1:13" ht="15.95" customHeight="1">
      <c r="A157" s="980" t="s">
        <v>554</v>
      </c>
      <c r="B157" s="980" t="s">
        <v>2516</v>
      </c>
      <c r="C157" s="658">
        <v>1</v>
      </c>
      <c r="D157" s="661" t="s">
        <v>2517</v>
      </c>
      <c r="E157" s="723">
        <v>1310</v>
      </c>
      <c r="F157" s="724">
        <v>182600</v>
      </c>
      <c r="G157" s="743">
        <v>1429</v>
      </c>
      <c r="H157" s="744">
        <v>182600</v>
      </c>
      <c r="I157" s="723">
        <v>1204</v>
      </c>
      <c r="J157" s="724">
        <v>246100</v>
      </c>
      <c r="K157" s="732">
        <v>943</v>
      </c>
      <c r="L157" s="724">
        <v>246100</v>
      </c>
      <c r="M157" s="685">
        <f t="shared" si="12"/>
        <v>182600</v>
      </c>
    </row>
    <row r="158" spans="1:13" ht="15.95" customHeight="1">
      <c r="A158" s="980"/>
      <c r="B158" s="980"/>
      <c r="C158" s="658">
        <v>1</v>
      </c>
      <c r="D158" s="661" t="s">
        <v>2473</v>
      </c>
      <c r="E158" s="723"/>
      <c r="F158" s="724">
        <f>INT(F157/30)</f>
        <v>6086</v>
      </c>
      <c r="G158" s="743"/>
      <c r="H158" s="744">
        <f>INT(H157/30)</f>
        <v>6086</v>
      </c>
      <c r="I158" s="723"/>
      <c r="J158" s="724">
        <f>INT(J157/30)</f>
        <v>8203</v>
      </c>
      <c r="K158" s="732"/>
      <c r="L158" s="724">
        <f>INT(L157/30)</f>
        <v>8203</v>
      </c>
      <c r="M158" s="685">
        <f t="shared" si="12"/>
        <v>6086</v>
      </c>
    </row>
    <row r="159" spans="1:13" ht="15.95" customHeight="1">
      <c r="A159" s="980" t="s">
        <v>554</v>
      </c>
      <c r="B159" s="980" t="s">
        <v>2518</v>
      </c>
      <c r="C159" s="658">
        <v>1</v>
      </c>
      <c r="D159" s="661" t="s">
        <v>2517</v>
      </c>
      <c r="E159" s="723">
        <v>1310</v>
      </c>
      <c r="F159" s="724">
        <v>96700</v>
      </c>
      <c r="G159" s="743">
        <v>1429</v>
      </c>
      <c r="H159" s="744">
        <v>96700</v>
      </c>
      <c r="I159" s="723">
        <v>1204</v>
      </c>
      <c r="J159" s="724">
        <v>112700</v>
      </c>
      <c r="K159" s="732">
        <v>943</v>
      </c>
      <c r="L159" s="724">
        <v>112700</v>
      </c>
      <c r="M159" s="685">
        <f t="shared" si="12"/>
        <v>96700</v>
      </c>
    </row>
    <row r="160" spans="1:13" ht="15.95" customHeight="1">
      <c r="A160" s="980"/>
      <c r="B160" s="980"/>
      <c r="C160" s="658">
        <v>1</v>
      </c>
      <c r="D160" s="661" t="s">
        <v>2473</v>
      </c>
      <c r="E160" s="723"/>
      <c r="F160" s="724">
        <f>INT(F159/50)</f>
        <v>1934</v>
      </c>
      <c r="G160" s="743"/>
      <c r="H160" s="744">
        <f>INT(H159/50)</f>
        <v>1934</v>
      </c>
      <c r="I160" s="723"/>
      <c r="J160" s="724">
        <f>INT(J159/50)</f>
        <v>2254</v>
      </c>
      <c r="K160" s="666"/>
      <c r="L160" s="669">
        <f>INT(L159/50)</f>
        <v>2254</v>
      </c>
      <c r="M160" s="685">
        <f t="shared" si="12"/>
        <v>1934</v>
      </c>
    </row>
    <row r="161" spans="1:13" ht="15.95" customHeight="1">
      <c r="A161" s="657" t="s">
        <v>3405</v>
      </c>
      <c r="B161" s="657" t="s">
        <v>3406</v>
      </c>
      <c r="C161" s="658">
        <v>1</v>
      </c>
      <c r="D161" s="661" t="s">
        <v>1026</v>
      </c>
      <c r="E161" s="723" t="s">
        <v>3146</v>
      </c>
      <c r="F161" s="724"/>
      <c r="G161" s="668"/>
      <c r="H161" s="669"/>
      <c r="I161" s="723">
        <v>124</v>
      </c>
      <c r="J161" s="724">
        <v>231000</v>
      </c>
      <c r="K161" s="666">
        <v>366</v>
      </c>
      <c r="L161" s="733">
        <v>231000</v>
      </c>
      <c r="M161" s="685">
        <f t="shared" si="12"/>
        <v>231000</v>
      </c>
    </row>
    <row r="162" spans="1:13" ht="15.95" customHeight="1">
      <c r="A162" s="657" t="s">
        <v>3405</v>
      </c>
      <c r="B162" s="657" t="s">
        <v>3407</v>
      </c>
      <c r="C162" s="658">
        <v>1</v>
      </c>
      <c r="D162" s="661" t="s">
        <v>1026</v>
      </c>
      <c r="E162" s="723" t="s">
        <v>3146</v>
      </c>
      <c r="F162" s="724"/>
      <c r="G162" s="668"/>
      <c r="H162" s="669"/>
      <c r="I162" s="723">
        <v>124</v>
      </c>
      <c r="J162" s="724">
        <v>478000</v>
      </c>
      <c r="K162" s="666">
        <v>366</v>
      </c>
      <c r="L162" s="733">
        <v>478000</v>
      </c>
      <c r="M162" s="685">
        <f t="shared" si="12"/>
        <v>478000</v>
      </c>
    </row>
    <row r="163" spans="1:13" ht="15.95" customHeight="1">
      <c r="A163" s="657" t="s">
        <v>3405</v>
      </c>
      <c r="B163" s="657" t="s">
        <v>3408</v>
      </c>
      <c r="C163" s="658">
        <v>1</v>
      </c>
      <c r="D163" s="661" t="s">
        <v>1026</v>
      </c>
      <c r="E163" s="723" t="s">
        <v>3146</v>
      </c>
      <c r="F163" s="724"/>
      <c r="G163" s="668"/>
      <c r="H163" s="669"/>
      <c r="I163" s="723">
        <v>124</v>
      </c>
      <c r="J163" s="724">
        <v>575000</v>
      </c>
      <c r="K163" s="666">
        <v>366</v>
      </c>
      <c r="L163" s="733">
        <v>575000</v>
      </c>
      <c r="M163" s="685">
        <f t="shared" si="12"/>
        <v>575000</v>
      </c>
    </row>
    <row r="164" spans="1:13" ht="15.95" customHeight="1">
      <c r="A164" s="657" t="s">
        <v>3405</v>
      </c>
      <c r="B164" s="657" t="s">
        <v>3409</v>
      </c>
      <c r="C164" s="658">
        <v>1</v>
      </c>
      <c r="D164" s="661" t="s">
        <v>1026</v>
      </c>
      <c r="E164" s="723" t="s">
        <v>3146</v>
      </c>
      <c r="F164" s="724"/>
      <c r="G164" s="668"/>
      <c r="H164" s="669"/>
      <c r="I164" s="723">
        <v>124</v>
      </c>
      <c r="J164" s="724">
        <v>720000</v>
      </c>
      <c r="K164" s="666">
        <v>366</v>
      </c>
      <c r="L164" s="733">
        <v>720000</v>
      </c>
      <c r="M164" s="685">
        <f t="shared" si="12"/>
        <v>720000</v>
      </c>
    </row>
    <row r="165" spans="1:13" ht="15.95" customHeight="1">
      <c r="A165" s="657" t="s">
        <v>3405</v>
      </c>
      <c r="B165" s="657" t="s">
        <v>3410</v>
      </c>
      <c r="C165" s="658">
        <v>1</v>
      </c>
      <c r="D165" s="661" t="s">
        <v>1026</v>
      </c>
      <c r="E165" s="723" t="s">
        <v>3146</v>
      </c>
      <c r="F165" s="724"/>
      <c r="G165" s="668"/>
      <c r="H165" s="669"/>
      <c r="I165" s="723">
        <v>124</v>
      </c>
      <c r="J165" s="724">
        <v>920000</v>
      </c>
      <c r="K165" s="666">
        <v>366</v>
      </c>
      <c r="L165" s="724">
        <v>920000</v>
      </c>
      <c r="M165" s="685">
        <f t="shared" si="12"/>
        <v>920000</v>
      </c>
    </row>
    <row r="166" spans="1:13" ht="15.95" customHeight="1">
      <c r="A166" s="657" t="s">
        <v>3405</v>
      </c>
      <c r="B166" s="657" t="s">
        <v>3411</v>
      </c>
      <c r="C166" s="658">
        <v>1</v>
      </c>
      <c r="D166" s="661" t="s">
        <v>1026</v>
      </c>
      <c r="E166" s="723" t="s">
        <v>3146</v>
      </c>
      <c r="F166" s="724"/>
      <c r="G166" s="668"/>
      <c r="H166" s="669"/>
      <c r="I166" s="723">
        <v>124</v>
      </c>
      <c r="J166" s="724">
        <v>1050000</v>
      </c>
      <c r="K166" s="666">
        <v>366</v>
      </c>
      <c r="L166" s="724">
        <v>1050000</v>
      </c>
      <c r="M166" s="685">
        <f t="shared" si="12"/>
        <v>1050000</v>
      </c>
    </row>
    <row r="167" spans="1:13" ht="15.95" customHeight="1">
      <c r="A167" s="657" t="s">
        <v>3405</v>
      </c>
      <c r="B167" s="657" t="s">
        <v>3412</v>
      </c>
      <c r="C167" s="658">
        <v>1</v>
      </c>
      <c r="D167" s="661" t="s">
        <v>1026</v>
      </c>
      <c r="E167" s="723" t="s">
        <v>3146</v>
      </c>
      <c r="F167" s="724"/>
      <c r="G167" s="668"/>
      <c r="H167" s="669"/>
      <c r="I167" s="723">
        <v>124</v>
      </c>
      <c r="J167" s="724">
        <v>296000</v>
      </c>
      <c r="K167" s="666">
        <v>366</v>
      </c>
      <c r="L167" s="724">
        <v>296000</v>
      </c>
      <c r="M167" s="685">
        <f t="shared" si="12"/>
        <v>296000</v>
      </c>
    </row>
    <row r="168" spans="1:13" ht="15.95" customHeight="1">
      <c r="A168" s="657" t="s">
        <v>3405</v>
      </c>
      <c r="B168" s="657" t="s">
        <v>3413</v>
      </c>
      <c r="C168" s="658">
        <v>1</v>
      </c>
      <c r="D168" s="661" t="s">
        <v>1026</v>
      </c>
      <c r="E168" s="723" t="s">
        <v>3146</v>
      </c>
      <c r="F168" s="724"/>
      <c r="G168" s="668"/>
      <c r="H168" s="669"/>
      <c r="I168" s="723">
        <v>124</v>
      </c>
      <c r="J168" s="724">
        <v>570000</v>
      </c>
      <c r="K168" s="666">
        <v>366</v>
      </c>
      <c r="L168" s="724">
        <v>570000</v>
      </c>
      <c r="M168" s="685">
        <f t="shared" si="12"/>
        <v>570000</v>
      </c>
    </row>
    <row r="169" spans="1:13" ht="15.95" customHeight="1">
      <c r="A169" s="657" t="s">
        <v>3405</v>
      </c>
      <c r="B169" s="657" t="s">
        <v>3414</v>
      </c>
      <c r="C169" s="658">
        <v>1</v>
      </c>
      <c r="D169" s="661" t="s">
        <v>1026</v>
      </c>
      <c r="E169" s="723" t="s">
        <v>3146</v>
      </c>
      <c r="F169" s="724"/>
      <c r="G169" s="668"/>
      <c r="H169" s="669"/>
      <c r="I169" s="723">
        <v>124</v>
      </c>
      <c r="J169" s="724">
        <v>655000</v>
      </c>
      <c r="K169" s="666">
        <v>366</v>
      </c>
      <c r="L169" s="724">
        <v>655000</v>
      </c>
      <c r="M169" s="685">
        <f t="shared" si="12"/>
        <v>655000</v>
      </c>
    </row>
    <row r="170" spans="1:13" ht="15.95" customHeight="1">
      <c r="A170" s="657" t="s">
        <v>3405</v>
      </c>
      <c r="B170" s="657" t="s">
        <v>3415</v>
      </c>
      <c r="C170" s="658">
        <v>1</v>
      </c>
      <c r="D170" s="661" t="s">
        <v>1026</v>
      </c>
      <c r="E170" s="723" t="s">
        <v>3146</v>
      </c>
      <c r="F170" s="724"/>
      <c r="G170" s="668"/>
      <c r="H170" s="669"/>
      <c r="I170" s="723">
        <v>124</v>
      </c>
      <c r="J170" s="724">
        <v>800000</v>
      </c>
      <c r="K170" s="666">
        <v>366</v>
      </c>
      <c r="L170" s="724">
        <v>800000</v>
      </c>
      <c r="M170" s="685">
        <f t="shared" si="12"/>
        <v>800000</v>
      </c>
    </row>
    <row r="171" spans="1:13" ht="15.95" customHeight="1">
      <c r="A171" s="657" t="s">
        <v>3405</v>
      </c>
      <c r="B171" s="657" t="s">
        <v>3416</v>
      </c>
      <c r="C171" s="658">
        <v>1</v>
      </c>
      <c r="D171" s="661" t="s">
        <v>1026</v>
      </c>
      <c r="E171" s="723" t="s">
        <v>3146</v>
      </c>
      <c r="F171" s="724"/>
      <c r="G171" s="668"/>
      <c r="H171" s="669"/>
      <c r="I171" s="723">
        <v>124</v>
      </c>
      <c r="J171" s="724">
        <v>920000</v>
      </c>
      <c r="K171" s="666">
        <v>366</v>
      </c>
      <c r="L171" s="724">
        <v>920000</v>
      </c>
      <c r="M171" s="685">
        <f t="shared" si="12"/>
        <v>920000</v>
      </c>
    </row>
    <row r="172" spans="1:13" ht="15.95" customHeight="1">
      <c r="A172" s="657" t="s">
        <v>3405</v>
      </c>
      <c r="B172" s="657" t="s">
        <v>3417</v>
      </c>
      <c r="C172" s="658">
        <v>1</v>
      </c>
      <c r="D172" s="661" t="s">
        <v>1026</v>
      </c>
      <c r="E172" s="723" t="s">
        <v>3146</v>
      </c>
      <c r="F172" s="724"/>
      <c r="G172" s="668"/>
      <c r="H172" s="669"/>
      <c r="I172" s="723">
        <v>124</v>
      </c>
      <c r="J172" s="724">
        <v>1050000</v>
      </c>
      <c r="K172" s="666">
        <v>366</v>
      </c>
      <c r="L172" s="724">
        <v>1050000</v>
      </c>
      <c r="M172" s="685">
        <f t="shared" si="12"/>
        <v>1050000</v>
      </c>
    </row>
    <row r="173" spans="1:13" ht="15.95" customHeight="1">
      <c r="A173" s="657" t="s">
        <v>2519</v>
      </c>
      <c r="B173" s="657" t="s">
        <v>3418</v>
      </c>
      <c r="C173" s="658">
        <v>1</v>
      </c>
      <c r="D173" s="661" t="s">
        <v>2482</v>
      </c>
      <c r="E173" s="723">
        <v>1249</v>
      </c>
      <c r="F173" s="724">
        <v>21050000</v>
      </c>
      <c r="G173" s="743">
        <v>1320</v>
      </c>
      <c r="H173" s="744">
        <v>22750000</v>
      </c>
      <c r="I173" s="723">
        <v>1157</v>
      </c>
      <c r="J173" s="724">
        <v>22500000</v>
      </c>
      <c r="K173" s="666">
        <v>598</v>
      </c>
      <c r="L173" s="667"/>
      <c r="M173" s="685">
        <f t="shared" si="12"/>
        <v>21050000</v>
      </c>
    </row>
    <row r="174" spans="1:13" s="3" customFormat="1" ht="15.95" customHeight="1">
      <c r="A174" s="678" t="s">
        <v>3419</v>
      </c>
      <c r="B174" s="705" t="s">
        <v>3957</v>
      </c>
      <c r="C174" s="661">
        <v>1</v>
      </c>
      <c r="D174" s="679" t="s">
        <v>2482</v>
      </c>
      <c r="E174" s="725">
        <v>1292</v>
      </c>
      <c r="F174" s="726">
        <v>26000000</v>
      </c>
      <c r="G174" s="745">
        <v>1396</v>
      </c>
      <c r="H174" s="746">
        <v>26436000</v>
      </c>
      <c r="I174" s="725">
        <v>1186</v>
      </c>
      <c r="J174" s="726">
        <v>26436000</v>
      </c>
      <c r="K174" s="670">
        <v>641</v>
      </c>
      <c r="L174" s="671"/>
      <c r="M174" s="685">
        <f t="shared" si="12"/>
        <v>26000000</v>
      </c>
    </row>
    <row r="175" spans="1:13" s="447" customFormat="1" ht="15.95" customHeight="1">
      <c r="A175" s="665" t="s">
        <v>450</v>
      </c>
      <c r="B175" s="680" t="s">
        <v>3958</v>
      </c>
      <c r="C175" s="661">
        <v>1</v>
      </c>
      <c r="D175" s="661" t="s">
        <v>2482</v>
      </c>
      <c r="E175" s="723">
        <v>1328</v>
      </c>
      <c r="F175" s="724">
        <v>510000</v>
      </c>
      <c r="G175" s="743" t="s">
        <v>4041</v>
      </c>
      <c r="H175" s="744">
        <v>485000</v>
      </c>
      <c r="I175" s="723">
        <v>1309</v>
      </c>
      <c r="J175" s="724">
        <v>509000</v>
      </c>
      <c r="K175" s="723">
        <v>927</v>
      </c>
      <c r="L175" s="724">
        <v>493000</v>
      </c>
      <c r="M175" s="685">
        <f t="shared" si="12"/>
        <v>485000</v>
      </c>
    </row>
    <row r="176" spans="1:13" s="447" customFormat="1" ht="15.95" customHeight="1">
      <c r="A176" s="665" t="s">
        <v>3420</v>
      </c>
      <c r="B176" s="665" t="s">
        <v>3959</v>
      </c>
      <c r="C176" s="661">
        <v>1</v>
      </c>
      <c r="D176" s="661" t="s">
        <v>2482</v>
      </c>
      <c r="E176" s="723">
        <v>1330</v>
      </c>
      <c r="F176" s="724">
        <v>170000</v>
      </c>
      <c r="G176" s="743" t="s">
        <v>4042</v>
      </c>
      <c r="H176" s="744">
        <v>166000</v>
      </c>
      <c r="I176" s="723">
        <v>1310</v>
      </c>
      <c r="J176" s="724">
        <v>188000</v>
      </c>
      <c r="K176" s="723">
        <v>929</v>
      </c>
      <c r="L176" s="724">
        <v>181000</v>
      </c>
      <c r="M176" s="685">
        <f t="shared" si="12"/>
        <v>166000</v>
      </c>
    </row>
    <row r="177" spans="1:13" s="447" customFormat="1" ht="15.95" customHeight="1">
      <c r="A177" s="665" t="s">
        <v>451</v>
      </c>
      <c r="B177" s="665" t="s">
        <v>452</v>
      </c>
      <c r="C177" s="661">
        <v>1</v>
      </c>
      <c r="D177" s="661" t="s">
        <v>2482</v>
      </c>
      <c r="E177" s="723">
        <v>1330</v>
      </c>
      <c r="F177" s="724">
        <v>210000</v>
      </c>
      <c r="G177" s="743" t="s">
        <v>4042</v>
      </c>
      <c r="H177" s="744">
        <v>129200</v>
      </c>
      <c r="I177" s="723">
        <v>1311</v>
      </c>
      <c r="J177" s="724">
        <v>127880</v>
      </c>
      <c r="K177" s="668">
        <v>930</v>
      </c>
      <c r="L177" s="669"/>
      <c r="M177" s="685">
        <f t="shared" si="12"/>
        <v>127880</v>
      </c>
    </row>
    <row r="178" spans="1:13" s="3" customFormat="1" ht="15.95" customHeight="1">
      <c r="A178" s="982" t="s">
        <v>555</v>
      </c>
      <c r="B178" s="983"/>
      <c r="C178" s="983"/>
      <c r="D178" s="983"/>
      <c r="E178" s="983"/>
      <c r="F178" s="983"/>
      <c r="G178" s="983"/>
      <c r="H178" s="983"/>
      <c r="I178" s="983"/>
      <c r="J178" s="983"/>
      <c r="K178" s="983"/>
      <c r="L178" s="983"/>
      <c r="M178" s="984"/>
    </row>
    <row r="179" spans="1:13" ht="15.95" customHeight="1">
      <c r="A179" s="657" t="s">
        <v>556</v>
      </c>
      <c r="B179" s="657" t="s">
        <v>1320</v>
      </c>
      <c r="C179" s="658">
        <v>1</v>
      </c>
      <c r="D179" s="661" t="s">
        <v>1321</v>
      </c>
      <c r="E179" s="723">
        <v>40</v>
      </c>
      <c r="F179" s="724">
        <v>745000</v>
      </c>
      <c r="G179" s="743">
        <v>47</v>
      </c>
      <c r="H179" s="744">
        <v>750000</v>
      </c>
      <c r="I179" s="723">
        <v>19</v>
      </c>
      <c r="J179" s="724">
        <v>800000</v>
      </c>
      <c r="K179" s="732">
        <v>80</v>
      </c>
      <c r="L179" s="733">
        <v>890000</v>
      </c>
      <c r="M179" s="685">
        <f>MIN(F179,H179,J179,L179)</f>
        <v>745000</v>
      </c>
    </row>
    <row r="180" spans="1:13" s="3" customFormat="1" ht="15.95" customHeight="1">
      <c r="A180" s="982" t="s">
        <v>557</v>
      </c>
      <c r="B180" s="983"/>
      <c r="C180" s="983"/>
      <c r="D180" s="983"/>
      <c r="E180" s="983"/>
      <c r="F180" s="983"/>
      <c r="G180" s="983"/>
      <c r="H180" s="983"/>
      <c r="I180" s="983"/>
      <c r="J180" s="983"/>
      <c r="K180" s="983"/>
      <c r="L180" s="983"/>
      <c r="M180" s="984"/>
    </row>
    <row r="181" spans="1:13" ht="15.95" customHeight="1">
      <c r="A181" s="657" t="s">
        <v>558</v>
      </c>
      <c r="B181" s="657" t="s">
        <v>1322</v>
      </c>
      <c r="C181" s="658">
        <v>1</v>
      </c>
      <c r="D181" s="661" t="s">
        <v>2463</v>
      </c>
      <c r="E181" s="723">
        <v>481</v>
      </c>
      <c r="F181" s="724">
        <v>70</v>
      </c>
      <c r="G181" s="743">
        <v>458</v>
      </c>
      <c r="H181" s="744">
        <v>70</v>
      </c>
      <c r="I181" s="723">
        <v>361</v>
      </c>
      <c r="J181" s="724">
        <v>70</v>
      </c>
      <c r="K181" s="666">
        <v>175</v>
      </c>
      <c r="L181" s="733">
        <v>70</v>
      </c>
      <c r="M181" s="685">
        <f>MIN(F181,H181,J181,L181)</f>
        <v>70</v>
      </c>
    </row>
    <row r="182" spans="1:13" ht="15.95" customHeight="1">
      <c r="A182" s="657" t="s">
        <v>559</v>
      </c>
      <c r="B182" s="657" t="s">
        <v>1322</v>
      </c>
      <c r="C182" s="658">
        <v>1</v>
      </c>
      <c r="D182" s="661" t="s">
        <v>1026</v>
      </c>
      <c r="E182" s="723">
        <v>483</v>
      </c>
      <c r="F182" s="724">
        <v>360</v>
      </c>
      <c r="G182" s="743">
        <v>462</v>
      </c>
      <c r="H182" s="744">
        <v>360</v>
      </c>
      <c r="I182" s="723">
        <v>361</v>
      </c>
      <c r="J182" s="724">
        <v>350</v>
      </c>
      <c r="K182" s="666"/>
      <c r="L182" s="667"/>
      <c r="M182" s="685">
        <f>MIN(F182,H182,J182,L182)</f>
        <v>350</v>
      </c>
    </row>
    <row r="183" spans="1:13" s="3" customFormat="1" ht="15.95" customHeight="1">
      <c r="A183" s="982" t="s">
        <v>560</v>
      </c>
      <c r="B183" s="983"/>
      <c r="C183" s="983"/>
      <c r="D183" s="983"/>
      <c r="E183" s="983"/>
      <c r="F183" s="983"/>
      <c r="G183" s="983"/>
      <c r="H183" s="983"/>
      <c r="I183" s="983"/>
      <c r="J183" s="983"/>
      <c r="K183" s="983"/>
      <c r="L183" s="983"/>
      <c r="M183" s="984"/>
    </row>
    <row r="184" spans="1:13" ht="15.95" customHeight="1">
      <c r="A184" s="989" t="s">
        <v>3421</v>
      </c>
      <c r="B184" s="989" t="s">
        <v>3422</v>
      </c>
      <c r="C184" s="658">
        <v>1</v>
      </c>
      <c r="D184" s="661" t="s">
        <v>2517</v>
      </c>
      <c r="E184" s="723">
        <v>1412</v>
      </c>
      <c r="F184" s="724">
        <v>49050</v>
      </c>
      <c r="G184" s="668"/>
      <c r="H184" s="669"/>
      <c r="I184" s="723">
        <v>1230</v>
      </c>
      <c r="J184" s="724">
        <v>43000</v>
      </c>
      <c r="K184" s="666">
        <v>1037</v>
      </c>
      <c r="L184" s="667"/>
      <c r="M184" s="685">
        <f t="shared" ref="M184:M212" si="13">MIN(F184,H184,J184,L184)</f>
        <v>43000</v>
      </c>
    </row>
    <row r="185" spans="1:13" ht="15.95" customHeight="1">
      <c r="A185" s="981"/>
      <c r="B185" s="989"/>
      <c r="C185" s="658">
        <v>1</v>
      </c>
      <c r="D185" s="661" t="s">
        <v>2465</v>
      </c>
      <c r="E185" s="723"/>
      <c r="F185" s="724">
        <f>INT(F184/(1.8*91))</f>
        <v>299</v>
      </c>
      <c r="G185" s="668"/>
      <c r="H185" s="669"/>
      <c r="I185" s="668"/>
      <c r="J185" s="724">
        <f>INT(J184/(1.8*91))</f>
        <v>262</v>
      </c>
      <c r="K185" s="666"/>
      <c r="L185" s="669">
        <f>INT(L184/(1.8*91))</f>
        <v>0</v>
      </c>
      <c r="M185" s="685">
        <f t="shared" si="13"/>
        <v>0</v>
      </c>
    </row>
    <row r="186" spans="1:13" ht="15.95" customHeight="1">
      <c r="A186" s="657" t="s">
        <v>1323</v>
      </c>
      <c r="B186" s="657" t="s">
        <v>3889</v>
      </c>
      <c r="C186" s="658">
        <v>1</v>
      </c>
      <c r="D186" s="661" t="s">
        <v>2468</v>
      </c>
      <c r="E186" s="723">
        <v>1424</v>
      </c>
      <c r="F186" s="724">
        <v>165</v>
      </c>
      <c r="G186" s="743" t="s">
        <v>4043</v>
      </c>
      <c r="H186" s="744">
        <v>160</v>
      </c>
      <c r="I186" s="723">
        <v>1246</v>
      </c>
      <c r="J186" s="724">
        <v>170</v>
      </c>
      <c r="K186" s="666">
        <v>1055</v>
      </c>
      <c r="L186" s="667"/>
      <c r="M186" s="685">
        <f t="shared" si="13"/>
        <v>160</v>
      </c>
    </row>
    <row r="187" spans="1:13" ht="15.95" customHeight="1">
      <c r="A187" s="665" t="s">
        <v>1324</v>
      </c>
      <c r="B187" s="665" t="s">
        <v>561</v>
      </c>
      <c r="C187" s="661">
        <v>1</v>
      </c>
      <c r="D187" s="661" t="s">
        <v>1026</v>
      </c>
      <c r="E187" s="723"/>
      <c r="F187" s="724"/>
      <c r="G187" s="668"/>
      <c r="H187" s="669"/>
      <c r="I187" s="723">
        <v>1316</v>
      </c>
      <c r="J187" s="724">
        <v>3300</v>
      </c>
      <c r="K187" s="668">
        <v>998</v>
      </c>
      <c r="L187" s="724">
        <v>3300</v>
      </c>
      <c r="M187" s="685">
        <f t="shared" si="13"/>
        <v>3300</v>
      </c>
    </row>
    <row r="188" spans="1:13" ht="15.95" customHeight="1">
      <c r="A188" s="665" t="s">
        <v>1324</v>
      </c>
      <c r="B188" s="665" t="s">
        <v>562</v>
      </c>
      <c r="C188" s="661">
        <v>1</v>
      </c>
      <c r="D188" s="661" t="s">
        <v>1026</v>
      </c>
      <c r="E188" s="723"/>
      <c r="F188" s="724"/>
      <c r="G188" s="668"/>
      <c r="H188" s="669"/>
      <c r="I188" s="723">
        <v>1316</v>
      </c>
      <c r="J188" s="724">
        <v>2500</v>
      </c>
      <c r="K188" s="668">
        <v>998</v>
      </c>
      <c r="L188" s="724">
        <v>2500</v>
      </c>
      <c r="M188" s="685">
        <f t="shared" si="13"/>
        <v>2500</v>
      </c>
    </row>
    <row r="189" spans="1:13" ht="15.95" customHeight="1">
      <c r="A189" s="657" t="s">
        <v>3423</v>
      </c>
      <c r="B189" s="657" t="s">
        <v>1325</v>
      </c>
      <c r="C189" s="658">
        <v>1</v>
      </c>
      <c r="D189" s="661" t="s">
        <v>2465</v>
      </c>
      <c r="E189" s="723">
        <v>89</v>
      </c>
      <c r="F189" s="724">
        <v>2890</v>
      </c>
      <c r="G189" s="743">
        <v>97</v>
      </c>
      <c r="H189" s="744">
        <v>2880</v>
      </c>
      <c r="I189" s="723">
        <v>71</v>
      </c>
      <c r="J189" s="724">
        <v>2790</v>
      </c>
      <c r="K189" s="666">
        <v>998</v>
      </c>
      <c r="L189" s="667"/>
      <c r="M189" s="685">
        <f t="shared" si="13"/>
        <v>2790</v>
      </c>
    </row>
    <row r="190" spans="1:13" ht="15.2" customHeight="1">
      <c r="A190" s="657" t="s">
        <v>563</v>
      </c>
      <c r="B190" s="657" t="s">
        <v>1326</v>
      </c>
      <c r="C190" s="658">
        <v>1</v>
      </c>
      <c r="D190" s="661" t="s">
        <v>2468</v>
      </c>
      <c r="E190" s="723">
        <v>1403</v>
      </c>
      <c r="F190" s="724">
        <v>1452</v>
      </c>
      <c r="G190" s="668" t="s">
        <v>3424</v>
      </c>
      <c r="H190" s="669">
        <v>1138</v>
      </c>
      <c r="I190" s="723">
        <v>1237</v>
      </c>
      <c r="J190" s="724">
        <v>1671</v>
      </c>
      <c r="K190" s="666">
        <v>950</v>
      </c>
      <c r="L190" s="667"/>
      <c r="M190" s="685">
        <f t="shared" si="13"/>
        <v>1138</v>
      </c>
    </row>
    <row r="191" spans="1:13" ht="15.2" customHeight="1">
      <c r="A191" s="657" t="s">
        <v>3960</v>
      </c>
      <c r="B191" s="657" t="s">
        <v>3891</v>
      </c>
      <c r="C191" s="658">
        <v>1</v>
      </c>
      <c r="D191" s="661" t="s">
        <v>1026</v>
      </c>
      <c r="E191" s="723">
        <v>79</v>
      </c>
      <c r="F191" s="724">
        <v>554</v>
      </c>
      <c r="G191" s="743">
        <v>87</v>
      </c>
      <c r="H191" s="744">
        <v>537</v>
      </c>
      <c r="I191" s="723">
        <v>49</v>
      </c>
      <c r="J191" s="724">
        <v>514</v>
      </c>
      <c r="K191" s="666">
        <v>120</v>
      </c>
      <c r="L191" s="667"/>
      <c r="M191" s="685">
        <f t="shared" si="13"/>
        <v>514</v>
      </c>
    </row>
    <row r="192" spans="1:13" ht="15.2" customHeight="1">
      <c r="A192" s="657" t="s">
        <v>3890</v>
      </c>
      <c r="B192" s="657" t="s">
        <v>3892</v>
      </c>
      <c r="C192" s="658">
        <v>1</v>
      </c>
      <c r="D192" s="661" t="s">
        <v>1026</v>
      </c>
      <c r="E192" s="723">
        <v>79</v>
      </c>
      <c r="F192" s="724">
        <v>589</v>
      </c>
      <c r="G192" s="743">
        <v>87</v>
      </c>
      <c r="H192" s="744">
        <v>610</v>
      </c>
      <c r="I192" s="723">
        <v>49</v>
      </c>
      <c r="J192" s="724">
        <v>549</v>
      </c>
      <c r="K192" s="666">
        <v>120</v>
      </c>
      <c r="L192" s="667"/>
      <c r="M192" s="685">
        <f t="shared" si="13"/>
        <v>549</v>
      </c>
    </row>
    <row r="193" spans="1:13" ht="15.2" customHeight="1">
      <c r="A193" s="657" t="s">
        <v>1327</v>
      </c>
      <c r="B193" s="657" t="s">
        <v>564</v>
      </c>
      <c r="C193" s="658">
        <v>1</v>
      </c>
      <c r="D193" s="661" t="s">
        <v>1026</v>
      </c>
      <c r="E193" s="723">
        <v>85</v>
      </c>
      <c r="F193" s="724">
        <v>204.34</v>
      </c>
      <c r="G193" s="743">
        <v>95</v>
      </c>
      <c r="H193" s="744">
        <v>204</v>
      </c>
      <c r="I193" s="723">
        <v>56</v>
      </c>
      <c r="J193" s="724">
        <v>204</v>
      </c>
      <c r="K193" s="666">
        <v>118</v>
      </c>
      <c r="L193" s="667"/>
      <c r="M193" s="685">
        <f t="shared" si="13"/>
        <v>204</v>
      </c>
    </row>
    <row r="194" spans="1:13" ht="15.2" customHeight="1">
      <c r="A194" s="657" t="s">
        <v>565</v>
      </c>
      <c r="B194" s="657" t="s">
        <v>3961</v>
      </c>
      <c r="C194" s="658">
        <v>1</v>
      </c>
      <c r="D194" s="661" t="s">
        <v>2465</v>
      </c>
      <c r="E194" s="723">
        <v>182</v>
      </c>
      <c r="F194" s="726">
        <v>19000</v>
      </c>
      <c r="G194" s="668">
        <v>184</v>
      </c>
      <c r="H194" s="671">
        <v>30000</v>
      </c>
      <c r="I194" s="723">
        <v>199</v>
      </c>
      <c r="J194" s="726">
        <v>33000</v>
      </c>
      <c r="K194" s="666"/>
      <c r="L194" s="667"/>
      <c r="M194" s="685">
        <f t="shared" si="13"/>
        <v>19000</v>
      </c>
    </row>
    <row r="195" spans="1:13" ht="15.2" customHeight="1">
      <c r="A195" s="657" t="s">
        <v>566</v>
      </c>
      <c r="B195" s="657" t="s">
        <v>3961</v>
      </c>
      <c r="C195" s="658">
        <v>1</v>
      </c>
      <c r="D195" s="661" t="s">
        <v>2465</v>
      </c>
      <c r="E195" s="723">
        <v>182</v>
      </c>
      <c r="F195" s="726">
        <v>19000</v>
      </c>
      <c r="G195" s="743">
        <v>184</v>
      </c>
      <c r="H195" s="746">
        <v>30000</v>
      </c>
      <c r="I195" s="723">
        <v>199</v>
      </c>
      <c r="J195" s="726">
        <v>33000</v>
      </c>
      <c r="K195" s="666"/>
      <c r="L195" s="667"/>
      <c r="M195" s="685">
        <f t="shared" si="13"/>
        <v>19000</v>
      </c>
    </row>
    <row r="196" spans="1:13" s="4" customFormat="1" ht="15.2" customHeight="1">
      <c r="A196" s="660" t="s">
        <v>3425</v>
      </c>
      <c r="B196" s="660" t="s">
        <v>3426</v>
      </c>
      <c r="C196" s="658">
        <v>1</v>
      </c>
      <c r="D196" s="679" t="s">
        <v>1026</v>
      </c>
      <c r="E196" s="725">
        <v>75</v>
      </c>
      <c r="F196" s="731">
        <v>3.1</v>
      </c>
      <c r="G196" s="745">
        <v>67</v>
      </c>
      <c r="H196" s="749">
        <v>3.2</v>
      </c>
      <c r="I196" s="725">
        <v>56</v>
      </c>
      <c r="J196" s="731">
        <v>2.8</v>
      </c>
      <c r="K196" s="681">
        <v>106</v>
      </c>
      <c r="L196" s="694"/>
      <c r="M196" s="685">
        <f t="shared" si="13"/>
        <v>2.8</v>
      </c>
    </row>
    <row r="197" spans="1:13" s="4" customFormat="1" ht="15.2" customHeight="1">
      <c r="A197" s="660" t="s">
        <v>3427</v>
      </c>
      <c r="B197" s="660" t="s">
        <v>3428</v>
      </c>
      <c r="C197" s="658">
        <v>1</v>
      </c>
      <c r="D197" s="679" t="s">
        <v>1026</v>
      </c>
      <c r="E197" s="725">
        <v>229</v>
      </c>
      <c r="F197" s="726">
        <v>17600</v>
      </c>
      <c r="G197" s="745">
        <v>200</v>
      </c>
      <c r="H197" s="746">
        <v>16000</v>
      </c>
      <c r="I197" s="670"/>
      <c r="J197" s="671"/>
      <c r="K197" s="681"/>
      <c r="L197" s="682"/>
      <c r="M197" s="685">
        <f t="shared" si="13"/>
        <v>16000</v>
      </c>
    </row>
    <row r="198" spans="1:13" s="4" customFormat="1" ht="15.2" customHeight="1">
      <c r="A198" s="660" t="s">
        <v>3429</v>
      </c>
      <c r="B198" s="693" t="s">
        <v>3962</v>
      </c>
      <c r="C198" s="658">
        <v>1</v>
      </c>
      <c r="D198" s="679" t="s">
        <v>1026</v>
      </c>
      <c r="E198" s="725">
        <v>708</v>
      </c>
      <c r="F198" s="726">
        <v>3200</v>
      </c>
      <c r="G198" s="745">
        <v>741</v>
      </c>
      <c r="H198" s="746">
        <v>3200</v>
      </c>
      <c r="I198" s="725">
        <v>562</v>
      </c>
      <c r="J198" s="726">
        <v>3200</v>
      </c>
      <c r="K198" s="681">
        <v>534</v>
      </c>
      <c r="L198" s="682"/>
      <c r="M198" s="685">
        <f t="shared" si="13"/>
        <v>3200</v>
      </c>
    </row>
    <row r="199" spans="1:13" ht="15.2" customHeight="1">
      <c r="A199" s="660" t="s">
        <v>3429</v>
      </c>
      <c r="B199" s="693" t="s">
        <v>3963</v>
      </c>
      <c r="C199" s="658">
        <v>1</v>
      </c>
      <c r="D199" s="679" t="s">
        <v>1026</v>
      </c>
      <c r="E199" s="725">
        <v>708</v>
      </c>
      <c r="F199" s="726">
        <v>9980</v>
      </c>
      <c r="G199" s="745">
        <v>741</v>
      </c>
      <c r="H199" s="746">
        <v>9980</v>
      </c>
      <c r="I199" s="725">
        <v>562</v>
      </c>
      <c r="J199" s="726">
        <v>9980</v>
      </c>
      <c r="K199" s="681">
        <v>534</v>
      </c>
      <c r="L199" s="682"/>
      <c r="M199" s="685">
        <f t="shared" si="13"/>
        <v>9980</v>
      </c>
    </row>
    <row r="200" spans="1:13" ht="15.2" customHeight="1">
      <c r="A200" s="660" t="s">
        <v>3430</v>
      </c>
      <c r="B200" s="660" t="s">
        <v>3964</v>
      </c>
      <c r="C200" s="658">
        <v>1</v>
      </c>
      <c r="D200" s="679" t="s">
        <v>2503</v>
      </c>
      <c r="E200" s="725">
        <v>712</v>
      </c>
      <c r="F200" s="726">
        <v>3950</v>
      </c>
      <c r="G200" s="745">
        <v>736</v>
      </c>
      <c r="H200" s="746">
        <v>3250</v>
      </c>
      <c r="I200" s="725">
        <v>559</v>
      </c>
      <c r="J200" s="726">
        <v>3480</v>
      </c>
      <c r="K200" s="681">
        <v>524</v>
      </c>
      <c r="L200" s="682"/>
      <c r="M200" s="685">
        <f t="shared" si="13"/>
        <v>3250</v>
      </c>
    </row>
    <row r="201" spans="1:13" ht="15.2" customHeight="1">
      <c r="A201" s="660" t="s">
        <v>3430</v>
      </c>
      <c r="B201" s="660" t="s">
        <v>3965</v>
      </c>
      <c r="C201" s="658">
        <v>1</v>
      </c>
      <c r="D201" s="679" t="s">
        <v>2503</v>
      </c>
      <c r="E201" s="725">
        <v>712</v>
      </c>
      <c r="F201" s="726">
        <v>7690</v>
      </c>
      <c r="G201" s="745">
        <v>736</v>
      </c>
      <c r="H201" s="746">
        <v>6490</v>
      </c>
      <c r="I201" s="725">
        <v>559</v>
      </c>
      <c r="J201" s="726">
        <v>6770</v>
      </c>
      <c r="K201" s="681">
        <v>524</v>
      </c>
      <c r="L201" s="682"/>
      <c r="M201" s="685">
        <f t="shared" si="13"/>
        <v>6490</v>
      </c>
    </row>
    <row r="202" spans="1:13" ht="15.2" customHeight="1">
      <c r="A202" s="660" t="s">
        <v>3966</v>
      </c>
      <c r="B202" s="660" t="s">
        <v>3431</v>
      </c>
      <c r="C202" s="658">
        <v>1</v>
      </c>
      <c r="D202" s="679" t="s">
        <v>2465</v>
      </c>
      <c r="E202" s="725">
        <v>137</v>
      </c>
      <c r="F202" s="726">
        <v>6100</v>
      </c>
      <c r="G202" s="745">
        <v>150</v>
      </c>
      <c r="H202" s="746">
        <v>6100</v>
      </c>
      <c r="I202" s="725">
        <v>104</v>
      </c>
      <c r="J202" s="726">
        <v>6710</v>
      </c>
      <c r="K202" s="681"/>
      <c r="L202" s="682"/>
      <c r="M202" s="685">
        <f t="shared" si="13"/>
        <v>6100</v>
      </c>
    </row>
    <row r="203" spans="1:13" ht="15.2" customHeight="1">
      <c r="A203" s="660" t="s">
        <v>3432</v>
      </c>
      <c r="B203" s="660" t="s">
        <v>3433</v>
      </c>
      <c r="C203" s="658">
        <v>1</v>
      </c>
      <c r="D203" s="679" t="s">
        <v>3967</v>
      </c>
      <c r="E203" s="670"/>
      <c r="F203" s="671"/>
      <c r="G203" s="745">
        <v>293</v>
      </c>
      <c r="H203" s="746">
        <v>46900</v>
      </c>
      <c r="I203" s="670"/>
      <c r="J203" s="671"/>
      <c r="K203" s="740">
        <v>383</v>
      </c>
      <c r="L203" s="741">
        <v>46900</v>
      </c>
      <c r="M203" s="685">
        <f t="shared" si="13"/>
        <v>46900</v>
      </c>
    </row>
    <row r="204" spans="1:13" ht="15.2" customHeight="1">
      <c r="A204" s="678" t="s">
        <v>3968</v>
      </c>
      <c r="B204" s="678" t="s">
        <v>3969</v>
      </c>
      <c r="C204" s="658">
        <v>1</v>
      </c>
      <c r="D204" s="679" t="s">
        <v>3970</v>
      </c>
      <c r="E204" s="670"/>
      <c r="F204" s="671"/>
      <c r="G204" s="745">
        <v>293</v>
      </c>
      <c r="H204" s="746">
        <v>121000</v>
      </c>
      <c r="I204" s="670"/>
      <c r="J204" s="671"/>
      <c r="K204" s="740">
        <v>383</v>
      </c>
      <c r="L204" s="741">
        <v>121000</v>
      </c>
      <c r="M204" s="685">
        <f t="shared" si="13"/>
        <v>121000</v>
      </c>
    </row>
    <row r="205" spans="1:13" ht="15.2" customHeight="1">
      <c r="A205" s="660" t="s">
        <v>3434</v>
      </c>
      <c r="B205" s="660" t="s">
        <v>3435</v>
      </c>
      <c r="C205" s="658">
        <v>1</v>
      </c>
      <c r="D205" s="679" t="s">
        <v>3436</v>
      </c>
      <c r="E205" s="670"/>
      <c r="F205" s="671"/>
      <c r="G205" s="670" t="s">
        <v>3437</v>
      </c>
      <c r="H205" s="671">
        <v>220</v>
      </c>
      <c r="I205" s="670"/>
      <c r="J205" s="671"/>
      <c r="K205" s="740">
        <v>932</v>
      </c>
      <c r="L205" s="741">
        <v>270</v>
      </c>
      <c r="M205" s="685">
        <f t="shared" si="13"/>
        <v>220</v>
      </c>
    </row>
    <row r="206" spans="1:13" ht="15.2" customHeight="1">
      <c r="A206" s="660" t="s">
        <v>3438</v>
      </c>
      <c r="B206" s="660" t="s">
        <v>3439</v>
      </c>
      <c r="C206" s="658">
        <v>1</v>
      </c>
      <c r="D206" s="679" t="s">
        <v>1026</v>
      </c>
      <c r="E206" s="725">
        <v>134</v>
      </c>
      <c r="F206" s="726">
        <v>40000</v>
      </c>
      <c r="G206" s="670">
        <v>149</v>
      </c>
      <c r="H206" s="671">
        <v>43000</v>
      </c>
      <c r="I206" s="725">
        <v>98</v>
      </c>
      <c r="J206" s="726">
        <v>40000</v>
      </c>
      <c r="K206" s="681">
        <v>169</v>
      </c>
      <c r="L206" s="682"/>
      <c r="M206" s="685">
        <f t="shared" si="13"/>
        <v>40000</v>
      </c>
    </row>
    <row r="207" spans="1:13" ht="15.2" customHeight="1">
      <c r="A207" s="660" t="s">
        <v>3438</v>
      </c>
      <c r="B207" s="660" t="s">
        <v>3440</v>
      </c>
      <c r="C207" s="658">
        <v>1</v>
      </c>
      <c r="D207" s="679" t="s">
        <v>1026</v>
      </c>
      <c r="E207" s="725">
        <v>134</v>
      </c>
      <c r="F207" s="726">
        <v>45000</v>
      </c>
      <c r="G207" s="670">
        <v>149</v>
      </c>
      <c r="H207" s="671">
        <v>49000</v>
      </c>
      <c r="I207" s="725">
        <v>98</v>
      </c>
      <c r="J207" s="726">
        <v>46000</v>
      </c>
      <c r="K207" s="681"/>
      <c r="L207" s="682"/>
      <c r="M207" s="685">
        <f t="shared" si="13"/>
        <v>45000</v>
      </c>
    </row>
    <row r="208" spans="1:13" ht="15.2" customHeight="1">
      <c r="A208" s="683" t="s">
        <v>804</v>
      </c>
      <c r="B208" s="660"/>
      <c r="C208" s="658">
        <v>1</v>
      </c>
      <c r="D208" s="679" t="s">
        <v>1026</v>
      </c>
      <c r="E208" s="725"/>
      <c r="F208" s="726"/>
      <c r="G208" s="670"/>
      <c r="H208" s="671"/>
      <c r="I208" s="670"/>
      <c r="J208" s="671"/>
      <c r="K208" s="740">
        <v>991</v>
      </c>
      <c r="L208" s="741">
        <v>19800</v>
      </c>
      <c r="M208" s="685">
        <f t="shared" si="13"/>
        <v>19800</v>
      </c>
    </row>
    <row r="209" spans="1:13" ht="15.2" customHeight="1">
      <c r="A209" s="683" t="s">
        <v>805</v>
      </c>
      <c r="B209" s="660" t="s">
        <v>3971</v>
      </c>
      <c r="C209" s="658">
        <v>1</v>
      </c>
      <c r="D209" s="679" t="s">
        <v>1026</v>
      </c>
      <c r="E209" s="725">
        <v>1311</v>
      </c>
      <c r="F209" s="726">
        <v>4242</v>
      </c>
      <c r="G209" s="745">
        <v>1428</v>
      </c>
      <c r="H209" s="746">
        <v>4242</v>
      </c>
      <c r="I209" s="725">
        <v>1205</v>
      </c>
      <c r="J209" s="726">
        <v>4242</v>
      </c>
      <c r="K209" s="681">
        <v>944</v>
      </c>
      <c r="L209" s="682"/>
      <c r="M209" s="685">
        <f t="shared" si="13"/>
        <v>4242</v>
      </c>
    </row>
    <row r="210" spans="1:13" ht="15.2" customHeight="1">
      <c r="A210" s="683" t="s">
        <v>806</v>
      </c>
      <c r="B210" s="660" t="s">
        <v>3972</v>
      </c>
      <c r="C210" s="658">
        <v>1</v>
      </c>
      <c r="D210" s="679" t="s">
        <v>1026</v>
      </c>
      <c r="E210" s="725">
        <v>1311</v>
      </c>
      <c r="F210" s="726">
        <v>10170</v>
      </c>
      <c r="G210" s="745">
        <v>1427</v>
      </c>
      <c r="H210" s="746">
        <v>10170</v>
      </c>
      <c r="I210" s="725">
        <v>1205</v>
      </c>
      <c r="J210" s="726">
        <v>10170</v>
      </c>
      <c r="K210" s="681">
        <v>944</v>
      </c>
      <c r="L210" s="682"/>
      <c r="M210" s="685">
        <f t="shared" si="13"/>
        <v>10170</v>
      </c>
    </row>
    <row r="211" spans="1:13" ht="15.2" customHeight="1">
      <c r="A211" s="683" t="s">
        <v>807</v>
      </c>
      <c r="B211" s="660"/>
      <c r="C211" s="658">
        <v>1</v>
      </c>
      <c r="D211" s="679" t="s">
        <v>1026</v>
      </c>
      <c r="E211" s="670"/>
      <c r="F211" s="671"/>
      <c r="G211" s="670"/>
      <c r="H211" s="671"/>
      <c r="I211" s="670"/>
      <c r="J211" s="671"/>
      <c r="K211" s="740">
        <v>991</v>
      </c>
      <c r="L211" s="741">
        <v>330</v>
      </c>
      <c r="M211" s="685">
        <f t="shared" si="13"/>
        <v>330</v>
      </c>
    </row>
    <row r="212" spans="1:13" ht="15.2" customHeight="1">
      <c r="A212" s="683" t="s">
        <v>808</v>
      </c>
      <c r="B212" s="660"/>
      <c r="C212" s="658">
        <v>1</v>
      </c>
      <c r="D212" s="679" t="s">
        <v>1026</v>
      </c>
      <c r="E212" s="670"/>
      <c r="F212" s="671"/>
      <c r="G212" s="670"/>
      <c r="H212" s="671"/>
      <c r="I212" s="670"/>
      <c r="J212" s="671"/>
      <c r="K212" s="740">
        <v>944</v>
      </c>
      <c r="L212" s="741">
        <v>2793</v>
      </c>
      <c r="M212" s="685">
        <f t="shared" si="13"/>
        <v>2793</v>
      </c>
    </row>
    <row r="213" spans="1:13" ht="15.2" customHeight="1">
      <c r="A213" s="683" t="s">
        <v>4055</v>
      </c>
      <c r="B213" s="752"/>
      <c r="C213" s="658">
        <v>1</v>
      </c>
      <c r="D213" s="679" t="s">
        <v>1026</v>
      </c>
      <c r="E213" s="670"/>
      <c r="F213" s="671"/>
      <c r="G213" s="670"/>
      <c r="H213" s="671"/>
      <c r="I213" s="670"/>
      <c r="J213" s="671"/>
      <c r="K213" s="740"/>
      <c r="L213" s="741">
        <v>80000</v>
      </c>
      <c r="M213" s="685">
        <f t="shared" ref="M213" si="14">MIN(F213,H213,J213,L213)</f>
        <v>80000</v>
      </c>
    </row>
    <row r="215" spans="1:13" ht="29.1" customHeight="1">
      <c r="A215" s="992" t="s">
        <v>3326</v>
      </c>
      <c r="B215" s="992"/>
      <c r="C215" s="992"/>
      <c r="D215" s="992"/>
      <c r="E215" s="992"/>
      <c r="F215" s="992"/>
      <c r="G215" s="992"/>
      <c r="H215" s="992"/>
      <c r="I215" s="992"/>
      <c r="J215" s="992"/>
      <c r="K215" s="992"/>
      <c r="L215" s="992"/>
      <c r="M215" s="992"/>
    </row>
    <row r="216" spans="1:13" ht="9.9499999999999993" customHeight="1">
      <c r="A216" s="5"/>
      <c r="B216" s="5"/>
      <c r="D216" s="3"/>
      <c r="E216" s="7"/>
      <c r="F216" s="3"/>
      <c r="G216" s="7"/>
      <c r="H216" s="3"/>
      <c r="I216" s="7"/>
      <c r="J216" s="3"/>
    </row>
    <row r="217" spans="1:13" s="515" customFormat="1" ht="14.25" customHeight="1">
      <c r="A217" s="511" t="s">
        <v>3336</v>
      </c>
      <c r="B217" s="511" t="s">
        <v>3337</v>
      </c>
      <c r="C217" s="510" t="s">
        <v>3338</v>
      </c>
      <c r="D217" s="513" t="s">
        <v>3339</v>
      </c>
      <c r="E217" s="990" t="s">
        <v>3340</v>
      </c>
      <c r="F217" s="991"/>
      <c r="G217" s="990" t="s">
        <v>3340</v>
      </c>
      <c r="H217" s="991"/>
      <c r="I217" s="990" t="s">
        <v>3340</v>
      </c>
      <c r="J217" s="991"/>
      <c r="K217" s="990" t="s">
        <v>3340</v>
      </c>
      <c r="L217" s="991"/>
      <c r="M217" s="507" t="s">
        <v>3341</v>
      </c>
    </row>
    <row r="218" spans="1:13" s="526" customFormat="1" ht="14.25" customHeight="1">
      <c r="A218" s="523" t="s">
        <v>3195</v>
      </c>
      <c r="B218" s="523" t="s">
        <v>3196</v>
      </c>
      <c r="C218" s="513">
        <v>1</v>
      </c>
      <c r="D218" s="524" t="s">
        <v>3194</v>
      </c>
      <c r="E218" s="558" t="s">
        <v>3197</v>
      </c>
      <c r="F218" s="522">
        <v>70000</v>
      </c>
      <c r="G218" s="558" t="s">
        <v>3198</v>
      </c>
      <c r="H218" s="522">
        <v>60000</v>
      </c>
      <c r="I218" s="558" t="s">
        <v>3199</v>
      </c>
      <c r="J218" s="522">
        <v>60000</v>
      </c>
      <c r="K218" s="521"/>
      <c r="L218" s="522"/>
      <c r="M218" s="525">
        <f>MIN(F218,H218,J218,L218)</f>
        <v>60000</v>
      </c>
    </row>
    <row r="219" spans="1:13" s="526" customFormat="1" ht="14.25" customHeight="1">
      <c r="A219" s="523" t="s">
        <v>3200</v>
      </c>
      <c r="B219" s="523" t="s">
        <v>3201</v>
      </c>
      <c r="C219" s="513">
        <v>1</v>
      </c>
      <c r="D219" s="524" t="s">
        <v>3194</v>
      </c>
      <c r="E219" s="558" t="s">
        <v>3197</v>
      </c>
      <c r="F219" s="522">
        <v>190000</v>
      </c>
      <c r="G219" s="558" t="s">
        <v>3198</v>
      </c>
      <c r="H219" s="522">
        <v>180000</v>
      </c>
      <c r="I219" s="558" t="s">
        <v>3199</v>
      </c>
      <c r="J219" s="522">
        <v>120000</v>
      </c>
      <c r="K219" s="521"/>
      <c r="L219" s="522">
        <v>105000</v>
      </c>
      <c r="M219" s="525">
        <f>MIN(F219,H219,J219,L219)</f>
        <v>105000</v>
      </c>
    </row>
    <row r="220" spans="1:13" s="526" customFormat="1" ht="14.25" customHeight="1">
      <c r="A220" s="523" t="s">
        <v>3202</v>
      </c>
      <c r="B220" s="523" t="s">
        <v>3203</v>
      </c>
      <c r="C220" s="513">
        <v>1</v>
      </c>
      <c r="D220" s="524" t="s">
        <v>3204</v>
      </c>
      <c r="E220" s="558" t="s">
        <v>3197</v>
      </c>
      <c r="F220" s="522">
        <v>4300</v>
      </c>
      <c r="G220" s="558" t="s">
        <v>3198</v>
      </c>
      <c r="H220" s="522">
        <v>6000</v>
      </c>
      <c r="I220" s="558" t="s">
        <v>3199</v>
      </c>
      <c r="J220" s="522">
        <v>4000</v>
      </c>
      <c r="K220" s="521"/>
      <c r="L220" s="522"/>
      <c r="M220" s="525">
        <f>MIN(F220,H220,J220,L220)</f>
        <v>4000</v>
      </c>
    </row>
    <row r="221" spans="1:13" s="526" customFormat="1" ht="14.25" customHeight="1">
      <c r="A221" s="523" t="s">
        <v>3202</v>
      </c>
      <c r="B221" s="523" t="s">
        <v>3205</v>
      </c>
      <c r="C221" s="513">
        <v>1</v>
      </c>
      <c r="D221" s="524" t="s">
        <v>3204</v>
      </c>
      <c r="E221" s="558" t="s">
        <v>3197</v>
      </c>
      <c r="F221" s="522">
        <v>15000</v>
      </c>
      <c r="G221" s="558" t="s">
        <v>3198</v>
      </c>
      <c r="H221" s="522">
        <v>7000</v>
      </c>
      <c r="I221" s="558" t="s">
        <v>3199</v>
      </c>
      <c r="J221" s="522">
        <v>5000</v>
      </c>
      <c r="K221" s="521"/>
      <c r="L221" s="522"/>
      <c r="M221" s="525">
        <f>MIN(F221,H221,J221,L221)</f>
        <v>5000</v>
      </c>
    </row>
    <row r="222" spans="1:13" ht="15.2" customHeight="1">
      <c r="A222" s="512" t="s">
        <v>3207</v>
      </c>
      <c r="B222" s="512" t="s">
        <v>3208</v>
      </c>
      <c r="C222" s="518"/>
      <c r="D222" s="518"/>
      <c r="E222" s="519"/>
      <c r="F222" s="518"/>
      <c r="G222" s="519"/>
      <c r="H222" s="518"/>
      <c r="I222" s="519"/>
      <c r="J222" s="518"/>
      <c r="K222" s="519"/>
      <c r="L222" s="509">
        <v>67020</v>
      </c>
      <c r="M222" s="514">
        <f>L222</f>
        <v>67020</v>
      </c>
    </row>
    <row r="223" spans="1:13" ht="15.2" customHeight="1">
      <c r="A223" s="512" t="s">
        <v>3207</v>
      </c>
      <c r="B223" s="512" t="s">
        <v>3209</v>
      </c>
      <c r="C223" s="518"/>
      <c r="D223" s="518"/>
      <c r="E223" s="519"/>
      <c r="F223" s="518"/>
      <c r="G223" s="519"/>
      <c r="H223" s="518"/>
      <c r="I223" s="519"/>
      <c r="J223" s="518"/>
      <c r="K223" s="519"/>
      <c r="L223" s="509">
        <v>88500</v>
      </c>
      <c r="M223" s="514">
        <f>L223</f>
        <v>88500</v>
      </c>
    </row>
    <row r="224" spans="1:13" ht="15.2" customHeight="1">
      <c r="A224" s="512" t="s">
        <v>3207</v>
      </c>
      <c r="B224" s="512" t="s">
        <v>3210</v>
      </c>
      <c r="C224" s="518"/>
      <c r="D224" s="518"/>
      <c r="E224" s="519"/>
      <c r="F224" s="518"/>
      <c r="G224" s="519"/>
      <c r="H224" s="518"/>
      <c r="I224" s="519"/>
      <c r="J224" s="518"/>
      <c r="K224" s="519"/>
      <c r="L224" s="509">
        <v>84020</v>
      </c>
      <c r="M224" s="514">
        <f>L224</f>
        <v>84020</v>
      </c>
    </row>
    <row r="225" spans="1:13" ht="15.2" customHeight="1">
      <c r="A225" s="512" t="s">
        <v>3207</v>
      </c>
      <c r="B225" s="512" t="s">
        <v>3211</v>
      </c>
      <c r="C225" s="518"/>
      <c r="D225" s="518"/>
      <c r="E225" s="519"/>
      <c r="F225" s="518"/>
      <c r="G225" s="519"/>
      <c r="H225" s="518"/>
      <c r="I225" s="519"/>
      <c r="J225" s="518"/>
      <c r="K225" s="519"/>
      <c r="L225" s="509">
        <v>107260</v>
      </c>
      <c r="M225" s="514">
        <f>L225</f>
        <v>107260</v>
      </c>
    </row>
    <row r="226" spans="1:13" ht="15.2" customHeight="1">
      <c r="A226" s="512" t="s">
        <v>3207</v>
      </c>
      <c r="B226" s="512" t="s">
        <v>3212</v>
      </c>
      <c r="C226" s="518"/>
      <c r="D226" s="518"/>
      <c r="E226" s="519"/>
      <c r="F226" s="518"/>
      <c r="G226" s="519"/>
      <c r="H226" s="518"/>
      <c r="I226" s="519"/>
      <c r="J226" s="518"/>
      <c r="K226" s="519"/>
      <c r="L226" s="509">
        <v>150540</v>
      </c>
      <c r="M226" s="514">
        <f>L226</f>
        <v>150540</v>
      </c>
    </row>
    <row r="227" spans="1:13" ht="15.2" customHeight="1"/>
    <row r="228" spans="1:13" ht="15.2" customHeight="1"/>
    <row r="229" spans="1:13" ht="15.2" customHeight="1"/>
    <row r="230" spans="1:13" ht="15.2" customHeight="1"/>
  </sheetData>
  <mergeCells count="74">
    <mergeCell ref="K217:L217"/>
    <mergeCell ref="A215:M215"/>
    <mergeCell ref="A180:M180"/>
    <mergeCell ref="A65:A66"/>
    <mergeCell ref="A79:A80"/>
    <mergeCell ref="A81:A82"/>
    <mergeCell ref="A119:M119"/>
    <mergeCell ref="E217:F217"/>
    <mergeCell ref="G217:H217"/>
    <mergeCell ref="I217:J217"/>
    <mergeCell ref="A184:A185"/>
    <mergeCell ref="B184:B185"/>
    <mergeCell ref="A183:M183"/>
    <mergeCell ref="A159:A160"/>
    <mergeCell ref="B159:B160"/>
    <mergeCell ref="A155:A156"/>
    <mergeCell ref="A38:M38"/>
    <mergeCell ref="B41:B42"/>
    <mergeCell ref="A61:A62"/>
    <mergeCell ref="A106:M106"/>
    <mergeCell ref="A33:M33"/>
    <mergeCell ref="A92:M92"/>
    <mergeCell ref="A99:M99"/>
    <mergeCell ref="B31:B32"/>
    <mergeCell ref="A17:A18"/>
    <mergeCell ref="B29:B30"/>
    <mergeCell ref="A31:A32"/>
    <mergeCell ref="A60:M60"/>
    <mergeCell ref="A29:A30"/>
    <mergeCell ref="A27:A28"/>
    <mergeCell ref="A19:A20"/>
    <mergeCell ref="A25:A26"/>
    <mergeCell ref="B43:B44"/>
    <mergeCell ref="A43:A44"/>
    <mergeCell ref="A46:M46"/>
    <mergeCell ref="A53:M53"/>
    <mergeCell ref="A39:A40"/>
    <mergeCell ref="B39:B40"/>
    <mergeCell ref="A41:A42"/>
    <mergeCell ref="A6:M6"/>
    <mergeCell ref="A23:A24"/>
    <mergeCell ref="B17:B18"/>
    <mergeCell ref="A22:M22"/>
    <mergeCell ref="A11:M11"/>
    <mergeCell ref="A13:M13"/>
    <mergeCell ref="B19:B20"/>
    <mergeCell ref="B23:B24"/>
    <mergeCell ref="A1:M1"/>
    <mergeCell ref="E3:L3"/>
    <mergeCell ref="E4:F4"/>
    <mergeCell ref="C3:C5"/>
    <mergeCell ref="I4:J4"/>
    <mergeCell ref="G4:H4"/>
    <mergeCell ref="K4:L4"/>
    <mergeCell ref="D3:D5"/>
    <mergeCell ref="L2:M2"/>
    <mergeCell ref="A3:A5"/>
    <mergeCell ref="B3:B5"/>
    <mergeCell ref="M3:M5"/>
    <mergeCell ref="B155:B156"/>
    <mergeCell ref="A157:A158"/>
    <mergeCell ref="B157:B158"/>
    <mergeCell ref="A178:M178"/>
    <mergeCell ref="B153:B154"/>
    <mergeCell ref="A153:A154"/>
    <mergeCell ref="A150:A151"/>
    <mergeCell ref="B150:B151"/>
    <mergeCell ref="A63:A64"/>
    <mergeCell ref="A67:A68"/>
    <mergeCell ref="A78:M78"/>
    <mergeCell ref="A73:A74"/>
    <mergeCell ref="A136:M136"/>
    <mergeCell ref="A121:M121"/>
    <mergeCell ref="A70:M70"/>
  </mergeCells>
  <phoneticPr fontId="5" type="noConversion"/>
  <printOptions horizontalCentered="1"/>
  <pageMargins left="0.59055118110236227" right="0.39370078740157483" top="0.59055118110236227" bottom="0.31496062992125984" header="0.27559055118110237" footer="0"/>
  <pageSetup paperSize="9" scale="95" fitToHeight="8" orientation="landscape" horizontalDpi="300" verticalDpi="300" r:id="rId1"/>
  <headerFooter alignWithMargins="0"/>
  <rowBreaks count="1" manualBreakCount="1">
    <brk id="15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87"/>
  <sheetViews>
    <sheetView view="pageBreakPreview" zoomScaleSheetLayoutView="100" workbookViewId="0">
      <selection activeCell="A3" sqref="A3"/>
    </sheetView>
  </sheetViews>
  <sheetFormatPr defaultRowHeight="12"/>
  <cols>
    <col min="1" max="1" width="11.33203125" style="425" customWidth="1"/>
    <col min="2" max="2" width="13.77734375" style="425" customWidth="1"/>
    <col min="3" max="4" width="11.33203125" style="425" customWidth="1"/>
    <col min="5" max="5" width="13.77734375" style="425" customWidth="1"/>
    <col min="6" max="6" width="11.33203125" style="425" customWidth="1"/>
    <col min="7" max="7" width="8.88671875" style="425"/>
    <col min="8" max="13" width="8.77734375" style="613" customWidth="1"/>
    <col min="14" max="16384" width="8.88671875" style="425"/>
  </cols>
  <sheetData>
    <row r="1" spans="1:13" ht="39.950000000000003" customHeight="1">
      <c r="A1" s="996" t="s">
        <v>4034</v>
      </c>
      <c r="B1" s="996"/>
      <c r="C1" s="996"/>
      <c r="D1" s="996"/>
      <c r="E1" s="996"/>
      <c r="F1" s="996"/>
      <c r="G1" s="422"/>
    </row>
    <row r="2" spans="1:13" ht="12.75">
      <c r="A2" s="527"/>
      <c r="B2" s="422"/>
      <c r="C2" s="424"/>
      <c r="D2" s="423"/>
      <c r="E2" s="422"/>
      <c r="F2" s="426" t="s">
        <v>3794</v>
      </c>
      <c r="G2" s="422"/>
    </row>
    <row r="3" spans="1:13" ht="20.25" customHeight="1">
      <c r="A3" s="533" t="s">
        <v>3143</v>
      </c>
      <c r="B3" s="534" t="s">
        <v>3144</v>
      </c>
      <c r="C3" s="697" t="s">
        <v>2033</v>
      </c>
      <c r="D3" s="533" t="s">
        <v>3143</v>
      </c>
      <c r="E3" s="534" t="s">
        <v>3144</v>
      </c>
      <c r="F3" s="535" t="s">
        <v>2033</v>
      </c>
      <c r="G3" s="422"/>
    </row>
    <row r="4" spans="1:13" ht="15.2" customHeight="1">
      <c r="A4" s="529">
        <v>1001</v>
      </c>
      <c r="B4" s="530" t="s">
        <v>3441</v>
      </c>
      <c r="C4" s="708">
        <v>111998</v>
      </c>
      <c r="D4" s="531">
        <v>1061</v>
      </c>
      <c r="E4" s="530" t="s">
        <v>3442</v>
      </c>
      <c r="F4" s="714">
        <v>131788</v>
      </c>
      <c r="G4" s="422"/>
      <c r="H4" s="425"/>
      <c r="I4" s="425"/>
      <c r="J4" s="425"/>
      <c r="K4" s="425"/>
      <c r="L4" s="425"/>
      <c r="M4" s="425"/>
    </row>
    <row r="5" spans="1:13" ht="15.2" customHeight="1">
      <c r="A5" s="430">
        <v>1002</v>
      </c>
      <c r="B5" s="431" t="s">
        <v>3443</v>
      </c>
      <c r="C5" s="708">
        <v>89566</v>
      </c>
      <c r="D5" s="528">
        <v>1062</v>
      </c>
      <c r="E5" s="431" t="s">
        <v>3444</v>
      </c>
      <c r="F5" s="714">
        <v>210066</v>
      </c>
      <c r="G5" s="422"/>
      <c r="H5" s="425"/>
      <c r="I5" s="425"/>
      <c r="J5" s="425"/>
      <c r="K5" s="425"/>
      <c r="L5" s="425"/>
      <c r="M5" s="425"/>
    </row>
    <row r="6" spans="1:13" ht="15.2" customHeight="1">
      <c r="A6" s="430">
        <v>1003</v>
      </c>
      <c r="B6" s="431" t="s">
        <v>3445</v>
      </c>
      <c r="C6" s="708">
        <v>111771</v>
      </c>
      <c r="D6" s="528" t="s">
        <v>3707</v>
      </c>
      <c r="E6" s="431" t="s">
        <v>3446</v>
      </c>
      <c r="F6" s="714">
        <v>165415</v>
      </c>
      <c r="G6" s="422"/>
      <c r="H6" s="425"/>
      <c r="I6" s="425"/>
      <c r="J6" s="425"/>
      <c r="K6" s="425"/>
      <c r="L6" s="425"/>
      <c r="M6" s="425"/>
    </row>
    <row r="7" spans="1:13" ht="15.2" customHeight="1">
      <c r="A7" s="430">
        <v>1004</v>
      </c>
      <c r="B7" s="431" t="s">
        <v>3447</v>
      </c>
      <c r="C7" s="708">
        <v>102144</v>
      </c>
      <c r="D7" s="528" t="s">
        <v>3708</v>
      </c>
      <c r="E7" s="431" t="s">
        <v>3448</v>
      </c>
      <c r="F7" s="714">
        <v>141804</v>
      </c>
      <c r="G7" s="422"/>
      <c r="H7" s="425"/>
      <c r="I7" s="425"/>
      <c r="J7" s="425"/>
      <c r="K7" s="425"/>
      <c r="L7" s="425"/>
      <c r="M7" s="425"/>
    </row>
    <row r="8" spans="1:13" ht="15.2" customHeight="1">
      <c r="A8" s="430">
        <v>1005</v>
      </c>
      <c r="B8" s="431" t="s">
        <v>3449</v>
      </c>
      <c r="C8" s="708">
        <v>117921</v>
      </c>
      <c r="D8" s="528" t="s">
        <v>3150</v>
      </c>
      <c r="E8" s="431" t="s">
        <v>3450</v>
      </c>
      <c r="F8" s="714">
        <v>199137</v>
      </c>
      <c r="G8" s="422"/>
      <c r="H8" s="425"/>
      <c r="I8" s="425"/>
      <c r="J8" s="425"/>
      <c r="K8" s="425"/>
      <c r="L8" s="425"/>
      <c r="M8" s="425"/>
    </row>
    <row r="9" spans="1:13" ht="15.2" customHeight="1">
      <c r="A9" s="430">
        <v>1006</v>
      </c>
      <c r="B9" s="431" t="s">
        <v>3451</v>
      </c>
      <c r="C9" s="708">
        <v>161990</v>
      </c>
      <c r="D9" s="430">
        <v>1066</v>
      </c>
      <c r="E9" s="431" t="s">
        <v>3452</v>
      </c>
      <c r="F9" s="714">
        <v>229812</v>
      </c>
      <c r="G9" s="422"/>
      <c r="H9" s="425"/>
      <c r="I9" s="425"/>
      <c r="J9" s="425"/>
      <c r="K9" s="425"/>
      <c r="L9" s="425"/>
      <c r="M9" s="425"/>
    </row>
    <row r="10" spans="1:13" ht="15.2" customHeight="1">
      <c r="A10" s="430">
        <v>1007</v>
      </c>
      <c r="B10" s="431" t="s">
        <v>3453</v>
      </c>
      <c r="C10" s="708">
        <v>152831</v>
      </c>
      <c r="D10" s="531">
        <v>1067</v>
      </c>
      <c r="E10" s="530" t="s">
        <v>3454</v>
      </c>
      <c r="F10" s="715">
        <v>218104</v>
      </c>
      <c r="G10" s="422"/>
      <c r="H10" s="425"/>
      <c r="I10" s="425"/>
      <c r="J10" s="425"/>
      <c r="K10" s="425"/>
      <c r="L10" s="425"/>
      <c r="M10" s="425"/>
    </row>
    <row r="11" spans="1:13" ht="15.2" customHeight="1">
      <c r="A11" s="430">
        <v>1008</v>
      </c>
      <c r="B11" s="431" t="s">
        <v>3455</v>
      </c>
      <c r="C11" s="708">
        <v>148057</v>
      </c>
      <c r="D11" s="531" t="s">
        <v>3153</v>
      </c>
      <c r="E11" s="530" t="s">
        <v>3456</v>
      </c>
      <c r="F11" s="715">
        <v>138407</v>
      </c>
      <c r="G11" s="422"/>
      <c r="H11" s="425"/>
      <c r="I11" s="425"/>
      <c r="J11" s="425"/>
      <c r="K11" s="425"/>
      <c r="L11" s="425"/>
      <c r="M11" s="425"/>
    </row>
    <row r="12" spans="1:13" ht="15.2" customHeight="1">
      <c r="A12" s="430">
        <v>1009</v>
      </c>
      <c r="B12" s="431" t="s">
        <v>3457</v>
      </c>
      <c r="C12" s="708">
        <v>138413</v>
      </c>
      <c r="D12" s="528" t="s">
        <v>3709</v>
      </c>
      <c r="E12" s="431" t="s">
        <v>3458</v>
      </c>
      <c r="F12" s="714">
        <v>114532</v>
      </c>
      <c r="G12" s="422"/>
      <c r="H12" s="425"/>
      <c r="I12" s="425"/>
      <c r="J12" s="425"/>
      <c r="K12" s="425"/>
      <c r="L12" s="425"/>
      <c r="M12" s="425"/>
    </row>
    <row r="13" spans="1:13" ht="15.2" customHeight="1">
      <c r="A13" s="430">
        <v>1010</v>
      </c>
      <c r="B13" s="431" t="s">
        <v>3459</v>
      </c>
      <c r="C13" s="708">
        <v>128022</v>
      </c>
      <c r="D13" s="528" t="s">
        <v>3710</v>
      </c>
      <c r="E13" s="431" t="s">
        <v>3460</v>
      </c>
      <c r="F13" s="714">
        <v>109937</v>
      </c>
      <c r="G13" s="422"/>
      <c r="H13" s="425"/>
      <c r="I13" s="425"/>
      <c r="J13" s="425"/>
      <c r="K13" s="425"/>
      <c r="L13" s="425"/>
      <c r="M13" s="425"/>
    </row>
    <row r="14" spans="1:13" ht="15.2" customHeight="1">
      <c r="A14" s="430">
        <v>1011</v>
      </c>
      <c r="B14" s="431" t="s">
        <v>3461</v>
      </c>
      <c r="C14" s="708">
        <v>138516</v>
      </c>
      <c r="D14" s="528" t="s">
        <v>3711</v>
      </c>
      <c r="E14" s="431" t="s">
        <v>3462</v>
      </c>
      <c r="F14" s="714">
        <v>94545</v>
      </c>
      <c r="G14" s="422"/>
      <c r="H14" s="425"/>
      <c r="I14" s="425"/>
      <c r="J14" s="425"/>
      <c r="K14" s="425"/>
      <c r="L14" s="425"/>
      <c r="M14" s="425"/>
    </row>
    <row r="15" spans="1:13" ht="15.2" customHeight="1">
      <c r="A15" s="430">
        <v>1012</v>
      </c>
      <c r="B15" s="431" t="s">
        <v>3463</v>
      </c>
      <c r="C15" s="708">
        <v>138252</v>
      </c>
      <c r="D15" s="528">
        <v>1072</v>
      </c>
      <c r="E15" s="431" t="s">
        <v>3464</v>
      </c>
      <c r="F15" s="714">
        <v>213060</v>
      </c>
      <c r="G15" s="422"/>
      <c r="H15" s="425"/>
      <c r="I15" s="425"/>
      <c r="J15" s="425"/>
      <c r="K15" s="425"/>
      <c r="L15" s="425"/>
      <c r="M15" s="425"/>
    </row>
    <row r="16" spans="1:13" ht="15.2" customHeight="1">
      <c r="A16" s="430">
        <v>1013</v>
      </c>
      <c r="B16" s="431" t="s">
        <v>3465</v>
      </c>
      <c r="C16" s="708">
        <v>142556</v>
      </c>
      <c r="D16" s="528">
        <v>1073</v>
      </c>
      <c r="E16" s="431" t="s">
        <v>3466</v>
      </c>
      <c r="F16" s="714">
        <v>189484</v>
      </c>
      <c r="G16" s="422"/>
      <c r="H16" s="425"/>
      <c r="I16" s="425"/>
      <c r="J16" s="425"/>
      <c r="K16" s="425"/>
      <c r="L16" s="425"/>
      <c r="M16" s="425"/>
    </row>
    <row r="17" spans="1:13" ht="15.2" customHeight="1">
      <c r="A17" s="430">
        <v>1014</v>
      </c>
      <c r="B17" s="431" t="s">
        <v>3467</v>
      </c>
      <c r="C17" s="708">
        <v>116234</v>
      </c>
      <c r="D17" s="528">
        <v>1074</v>
      </c>
      <c r="E17" s="431" t="s">
        <v>3468</v>
      </c>
      <c r="F17" s="714">
        <v>160774</v>
      </c>
      <c r="G17" s="422"/>
      <c r="H17" s="425"/>
      <c r="I17" s="425"/>
      <c r="J17" s="425"/>
      <c r="K17" s="425"/>
      <c r="L17" s="425"/>
      <c r="M17" s="425"/>
    </row>
    <row r="18" spans="1:13" ht="15.2" customHeight="1">
      <c r="A18" s="430">
        <v>1015</v>
      </c>
      <c r="B18" s="431" t="s">
        <v>3469</v>
      </c>
      <c r="C18" s="708">
        <v>106060</v>
      </c>
      <c r="D18" s="528">
        <v>1075</v>
      </c>
      <c r="E18" s="431" t="s">
        <v>3470</v>
      </c>
      <c r="F18" s="714">
        <v>160882</v>
      </c>
      <c r="G18" s="422"/>
      <c r="H18" s="425"/>
      <c r="I18" s="425"/>
      <c r="J18" s="425"/>
      <c r="K18" s="425"/>
      <c r="L18" s="425"/>
      <c r="M18" s="425"/>
    </row>
    <row r="19" spans="1:13" ht="15.2" customHeight="1">
      <c r="A19" s="430">
        <v>1016</v>
      </c>
      <c r="B19" s="431" t="s">
        <v>3471</v>
      </c>
      <c r="C19" s="708">
        <v>140738</v>
      </c>
      <c r="D19" s="528">
        <v>1076</v>
      </c>
      <c r="E19" s="431" t="s">
        <v>3472</v>
      </c>
      <c r="F19" s="714">
        <v>260975</v>
      </c>
      <c r="G19" s="422"/>
      <c r="H19" s="425"/>
      <c r="I19" s="425"/>
      <c r="J19" s="425"/>
      <c r="K19" s="425"/>
      <c r="L19" s="425"/>
      <c r="M19" s="425"/>
    </row>
    <row r="20" spans="1:13" ht="15.2" customHeight="1">
      <c r="A20" s="430">
        <v>1017</v>
      </c>
      <c r="B20" s="431" t="s">
        <v>3473</v>
      </c>
      <c r="C20" s="708">
        <v>124273</v>
      </c>
      <c r="D20" s="528">
        <v>1077</v>
      </c>
      <c r="E20" s="431" t="s">
        <v>3474</v>
      </c>
      <c r="F20" s="714">
        <v>235019</v>
      </c>
      <c r="G20" s="422"/>
      <c r="H20" s="425"/>
      <c r="I20" s="425"/>
      <c r="J20" s="425"/>
      <c r="K20" s="425"/>
      <c r="L20" s="425"/>
      <c r="M20" s="425"/>
    </row>
    <row r="21" spans="1:13" ht="15.2" customHeight="1">
      <c r="A21" s="430">
        <v>1018</v>
      </c>
      <c r="B21" s="431" t="s">
        <v>3475</v>
      </c>
      <c r="C21" s="708">
        <v>113795</v>
      </c>
      <c r="D21" s="528">
        <v>1078</v>
      </c>
      <c r="E21" s="431" t="s">
        <v>3476</v>
      </c>
      <c r="F21" s="714">
        <v>193986</v>
      </c>
      <c r="G21" s="422"/>
      <c r="H21" s="425"/>
      <c r="I21" s="425"/>
      <c r="J21" s="425"/>
      <c r="K21" s="425"/>
      <c r="L21" s="425"/>
      <c r="M21" s="425"/>
    </row>
    <row r="22" spans="1:13" ht="15.2" customHeight="1">
      <c r="A22" s="430">
        <v>1019</v>
      </c>
      <c r="B22" s="431" t="s">
        <v>3477</v>
      </c>
      <c r="C22" s="708">
        <v>126728</v>
      </c>
      <c r="D22" s="528">
        <v>1079</v>
      </c>
      <c r="E22" s="431" t="s">
        <v>3478</v>
      </c>
      <c r="F22" s="714">
        <v>358569</v>
      </c>
      <c r="G22" s="422"/>
      <c r="H22" s="425"/>
      <c r="I22" s="425"/>
      <c r="J22" s="425"/>
      <c r="K22" s="425"/>
      <c r="L22" s="425"/>
      <c r="M22" s="425"/>
    </row>
    <row r="23" spans="1:13" ht="15.2" customHeight="1">
      <c r="A23" s="430">
        <v>1020</v>
      </c>
      <c r="B23" s="431" t="s">
        <v>3479</v>
      </c>
      <c r="C23" s="708">
        <v>185057</v>
      </c>
      <c r="D23" s="528">
        <v>1080</v>
      </c>
      <c r="E23" s="431" t="s">
        <v>3480</v>
      </c>
      <c r="F23" s="714">
        <v>392819</v>
      </c>
      <c r="G23" s="422"/>
      <c r="H23" s="425"/>
      <c r="I23" s="425"/>
      <c r="J23" s="425"/>
      <c r="K23" s="425"/>
      <c r="L23" s="425"/>
      <c r="M23" s="425"/>
    </row>
    <row r="24" spans="1:13" ht="15.2" customHeight="1">
      <c r="A24" s="430">
        <v>1021</v>
      </c>
      <c r="B24" s="431" t="s">
        <v>3481</v>
      </c>
      <c r="C24" s="708">
        <v>126631</v>
      </c>
      <c r="D24" s="528">
        <v>1081</v>
      </c>
      <c r="E24" s="431" t="s">
        <v>3482</v>
      </c>
      <c r="F24" s="716">
        <v>254503</v>
      </c>
      <c r="G24" s="422"/>
      <c r="H24" s="425"/>
      <c r="I24" s="425"/>
      <c r="J24" s="425"/>
      <c r="K24" s="425"/>
      <c r="L24" s="425"/>
      <c r="M24" s="425"/>
    </row>
    <row r="25" spans="1:13" ht="15.2" customHeight="1">
      <c r="A25" s="430">
        <v>1022</v>
      </c>
      <c r="B25" s="431" t="s">
        <v>3483</v>
      </c>
      <c r="C25" s="708">
        <v>129962</v>
      </c>
      <c r="D25" s="528">
        <v>1082</v>
      </c>
      <c r="E25" s="431" t="s">
        <v>3484</v>
      </c>
      <c r="F25" s="716">
        <v>373173</v>
      </c>
      <c r="G25" s="422"/>
      <c r="H25" s="425"/>
      <c r="I25" s="425"/>
      <c r="J25" s="425"/>
      <c r="K25" s="425"/>
      <c r="L25" s="425"/>
      <c r="M25" s="425"/>
    </row>
    <row r="26" spans="1:13" ht="15.2" customHeight="1">
      <c r="A26" s="430">
        <v>1023</v>
      </c>
      <c r="B26" s="431" t="s">
        <v>3485</v>
      </c>
      <c r="C26" s="708">
        <v>142205</v>
      </c>
      <c r="D26" s="528">
        <v>1083</v>
      </c>
      <c r="E26" s="431" t="s">
        <v>3486</v>
      </c>
      <c r="F26" s="716">
        <v>183097</v>
      </c>
      <c r="G26" s="422"/>
      <c r="H26" s="425"/>
      <c r="I26" s="425"/>
      <c r="J26" s="425"/>
      <c r="K26" s="425"/>
      <c r="L26" s="425"/>
      <c r="M26" s="425"/>
    </row>
    <row r="27" spans="1:13" ht="15.2" customHeight="1">
      <c r="A27" s="430">
        <v>1024</v>
      </c>
      <c r="B27" s="431" t="s">
        <v>3487</v>
      </c>
      <c r="C27" s="708">
        <v>133792</v>
      </c>
      <c r="D27" s="528">
        <v>1084</v>
      </c>
      <c r="E27" s="431" t="s">
        <v>3488</v>
      </c>
      <c r="F27" s="716">
        <v>171877</v>
      </c>
      <c r="G27" s="422"/>
      <c r="H27" s="425"/>
      <c r="I27" s="425"/>
      <c r="J27" s="425"/>
      <c r="K27" s="425"/>
      <c r="L27" s="425"/>
      <c r="M27" s="425"/>
    </row>
    <row r="28" spans="1:13" ht="15.2" customHeight="1">
      <c r="A28" s="430">
        <v>1025</v>
      </c>
      <c r="B28" s="431" t="s">
        <v>3489</v>
      </c>
      <c r="C28" s="708">
        <v>129263</v>
      </c>
      <c r="D28" s="528">
        <v>1085</v>
      </c>
      <c r="E28" s="431" t="s">
        <v>3490</v>
      </c>
      <c r="F28" s="716">
        <v>203649</v>
      </c>
      <c r="G28" s="422"/>
      <c r="H28" s="425"/>
      <c r="I28" s="425"/>
      <c r="J28" s="425"/>
      <c r="K28" s="425"/>
      <c r="L28" s="425"/>
      <c r="M28" s="425"/>
    </row>
    <row r="29" spans="1:13" ht="15.2" customHeight="1">
      <c r="A29" s="430">
        <v>1026</v>
      </c>
      <c r="B29" s="431" t="s">
        <v>3491</v>
      </c>
      <c r="C29" s="708">
        <v>105008</v>
      </c>
      <c r="D29" s="528">
        <v>1086</v>
      </c>
      <c r="E29" s="431" t="s">
        <v>3492</v>
      </c>
      <c r="F29" s="716">
        <v>152692</v>
      </c>
      <c r="G29" s="422"/>
      <c r="H29" s="425"/>
      <c r="I29" s="425"/>
      <c r="J29" s="425"/>
      <c r="K29" s="425"/>
      <c r="L29" s="425"/>
      <c r="M29" s="425"/>
    </row>
    <row r="30" spans="1:13" ht="15.2" customHeight="1">
      <c r="A30" s="529">
        <v>1027</v>
      </c>
      <c r="B30" s="530" t="s">
        <v>3493</v>
      </c>
      <c r="C30" s="709">
        <v>141989</v>
      </c>
      <c r="D30" s="528">
        <v>1087</v>
      </c>
      <c r="E30" s="431" t="s">
        <v>3494</v>
      </c>
      <c r="F30" s="716">
        <v>165682</v>
      </c>
      <c r="G30" s="422"/>
      <c r="H30" s="425"/>
      <c r="I30" s="425"/>
      <c r="J30" s="425"/>
      <c r="K30" s="425"/>
      <c r="L30" s="425"/>
      <c r="M30" s="425"/>
    </row>
    <row r="31" spans="1:13" ht="15.2" customHeight="1">
      <c r="A31" s="529">
        <v>1028</v>
      </c>
      <c r="B31" s="530" t="s">
        <v>3495</v>
      </c>
      <c r="C31" s="709">
        <v>141147</v>
      </c>
      <c r="D31" s="528">
        <v>1088</v>
      </c>
      <c r="E31" s="431" t="s">
        <v>3496</v>
      </c>
      <c r="F31" s="716">
        <v>206221</v>
      </c>
      <c r="G31" s="422"/>
      <c r="H31" s="425"/>
      <c r="I31" s="425"/>
      <c r="J31" s="425"/>
      <c r="K31" s="425"/>
      <c r="L31" s="425"/>
      <c r="M31" s="425"/>
    </row>
    <row r="32" spans="1:13" ht="15.2" customHeight="1">
      <c r="A32" s="430">
        <v>1029</v>
      </c>
      <c r="B32" s="431" t="s">
        <v>3497</v>
      </c>
      <c r="C32" s="708">
        <v>127681</v>
      </c>
      <c r="D32" s="528">
        <v>1089</v>
      </c>
      <c r="E32" s="431" t="s">
        <v>3498</v>
      </c>
      <c r="F32" s="716">
        <v>247227</v>
      </c>
      <c r="G32" s="422"/>
      <c r="H32" s="425"/>
      <c r="I32" s="425"/>
      <c r="J32" s="425"/>
      <c r="K32" s="425"/>
      <c r="L32" s="425"/>
      <c r="M32" s="425"/>
    </row>
    <row r="33" spans="1:13" ht="15.2" customHeight="1">
      <c r="A33" s="430">
        <v>1030</v>
      </c>
      <c r="B33" s="431" t="s">
        <v>3499</v>
      </c>
      <c r="C33" s="708">
        <v>137611</v>
      </c>
      <c r="D33" s="528">
        <v>1090</v>
      </c>
      <c r="E33" s="431" t="s">
        <v>3500</v>
      </c>
      <c r="F33" s="716">
        <v>189061</v>
      </c>
      <c r="G33" s="422"/>
      <c r="H33" s="425"/>
      <c r="I33" s="425"/>
      <c r="J33" s="425"/>
      <c r="K33" s="425"/>
      <c r="L33" s="425"/>
      <c r="M33" s="425"/>
    </row>
    <row r="34" spans="1:13" ht="15.2" customHeight="1">
      <c r="A34" s="430">
        <v>1031</v>
      </c>
      <c r="B34" s="431" t="s">
        <v>3501</v>
      </c>
      <c r="C34" s="708">
        <v>116463</v>
      </c>
      <c r="D34" s="528" t="s">
        <v>3712</v>
      </c>
      <c r="E34" s="431" t="s">
        <v>3502</v>
      </c>
      <c r="F34" s="716">
        <v>117550</v>
      </c>
      <c r="G34" s="422"/>
      <c r="H34" s="425"/>
      <c r="I34" s="425"/>
      <c r="J34" s="425"/>
      <c r="K34" s="425"/>
      <c r="L34" s="425"/>
      <c r="M34" s="425"/>
    </row>
    <row r="35" spans="1:13" ht="15.2" customHeight="1">
      <c r="A35" s="430" t="s">
        <v>3698</v>
      </c>
      <c r="B35" s="431" t="s">
        <v>3503</v>
      </c>
      <c r="C35" s="708">
        <v>116489</v>
      </c>
      <c r="D35" s="528"/>
      <c r="E35" s="431" t="s">
        <v>3146</v>
      </c>
      <c r="F35" s="701"/>
      <c r="G35" s="422"/>
      <c r="H35" s="425"/>
      <c r="I35" s="425"/>
      <c r="J35" s="425"/>
      <c r="K35" s="425"/>
      <c r="L35" s="425"/>
      <c r="M35" s="425"/>
    </row>
    <row r="36" spans="1:13" ht="15.2" customHeight="1">
      <c r="A36" s="430">
        <v>1033</v>
      </c>
      <c r="B36" s="431" t="s">
        <v>3504</v>
      </c>
      <c r="C36" s="708">
        <v>143609</v>
      </c>
      <c r="D36" s="528"/>
      <c r="E36" s="431" t="s">
        <v>3146</v>
      </c>
      <c r="F36" s="701"/>
      <c r="G36" s="422"/>
      <c r="H36" s="425"/>
      <c r="I36" s="425"/>
      <c r="J36" s="425"/>
      <c r="K36" s="425"/>
      <c r="L36" s="425"/>
      <c r="M36" s="425"/>
    </row>
    <row r="37" spans="1:13" ht="15.2" customHeight="1">
      <c r="A37" s="430">
        <v>1034</v>
      </c>
      <c r="B37" s="431" t="s">
        <v>3505</v>
      </c>
      <c r="C37" s="708">
        <v>109670</v>
      </c>
      <c r="D37" s="528"/>
      <c r="E37" s="431" t="s">
        <v>3146</v>
      </c>
      <c r="F37" s="701"/>
      <c r="G37" s="422"/>
      <c r="H37" s="425"/>
      <c r="I37" s="425"/>
      <c r="J37" s="425"/>
      <c r="K37" s="425"/>
      <c r="L37" s="425"/>
      <c r="M37" s="425"/>
    </row>
    <row r="38" spans="1:13" ht="15.2" customHeight="1">
      <c r="A38" s="430">
        <v>1035</v>
      </c>
      <c r="B38" s="431" t="s">
        <v>3506</v>
      </c>
      <c r="C38" s="708">
        <v>127665</v>
      </c>
      <c r="D38" s="528">
        <v>2001</v>
      </c>
      <c r="E38" s="431" t="s">
        <v>3507</v>
      </c>
      <c r="F38" s="716">
        <v>246430</v>
      </c>
      <c r="G38" s="422"/>
      <c r="H38" s="425"/>
      <c r="I38" s="425"/>
      <c r="J38" s="425"/>
      <c r="K38" s="425"/>
      <c r="L38" s="425"/>
      <c r="M38" s="425"/>
    </row>
    <row r="39" spans="1:13" ht="15.2" customHeight="1">
      <c r="A39" s="430">
        <v>1036</v>
      </c>
      <c r="B39" s="431" t="s">
        <v>3508</v>
      </c>
      <c r="C39" s="708">
        <v>127218</v>
      </c>
      <c r="D39" s="528">
        <v>2002</v>
      </c>
      <c r="E39" s="431" t="s">
        <v>3509</v>
      </c>
      <c r="F39" s="716">
        <v>210314</v>
      </c>
      <c r="G39" s="422"/>
      <c r="H39" s="425"/>
      <c r="I39" s="425"/>
      <c r="J39" s="425"/>
      <c r="K39" s="425"/>
      <c r="L39" s="425"/>
      <c r="M39" s="425"/>
    </row>
    <row r="40" spans="1:13" ht="15.2" customHeight="1">
      <c r="A40" s="430" t="s">
        <v>3699</v>
      </c>
      <c r="B40" s="431" t="s">
        <v>3510</v>
      </c>
      <c r="C40" s="708">
        <v>126094</v>
      </c>
      <c r="D40" s="528">
        <v>2003</v>
      </c>
      <c r="E40" s="431" t="s">
        <v>3511</v>
      </c>
      <c r="F40" s="716">
        <v>228481</v>
      </c>
      <c r="G40" s="422"/>
      <c r="H40" s="425"/>
      <c r="I40" s="425"/>
      <c r="J40" s="425"/>
      <c r="K40" s="425"/>
      <c r="L40" s="425"/>
      <c r="M40" s="425"/>
    </row>
    <row r="41" spans="1:13" ht="15.2" customHeight="1">
      <c r="A41" s="430">
        <v>1038</v>
      </c>
      <c r="B41" s="431" t="s">
        <v>3512</v>
      </c>
      <c r="C41" s="708">
        <v>128487</v>
      </c>
      <c r="D41" s="528">
        <v>3001</v>
      </c>
      <c r="E41" s="431" t="s">
        <v>3513</v>
      </c>
      <c r="F41" s="716">
        <v>292427</v>
      </c>
      <c r="G41" s="422"/>
      <c r="H41" s="425"/>
      <c r="I41" s="425"/>
      <c r="J41" s="425"/>
      <c r="K41" s="425"/>
      <c r="L41" s="425"/>
      <c r="M41" s="425"/>
    </row>
    <row r="42" spans="1:13" ht="15.2" customHeight="1">
      <c r="A42" s="430">
        <v>1039</v>
      </c>
      <c r="B42" s="431" t="s">
        <v>3514</v>
      </c>
      <c r="C42" s="708">
        <v>123333</v>
      </c>
      <c r="D42" s="528" t="s">
        <v>3696</v>
      </c>
      <c r="E42" s="431" t="s">
        <v>3515</v>
      </c>
      <c r="F42" s="716">
        <v>232345</v>
      </c>
      <c r="G42" s="422"/>
      <c r="H42" s="425"/>
      <c r="I42" s="425"/>
      <c r="J42" s="425"/>
      <c r="K42" s="425"/>
      <c r="L42" s="425"/>
      <c r="M42" s="425"/>
    </row>
    <row r="43" spans="1:13" ht="15.2" customHeight="1">
      <c r="A43" s="430">
        <v>1040</v>
      </c>
      <c r="B43" s="431" t="s">
        <v>3516</v>
      </c>
      <c r="C43" s="708">
        <v>136044</v>
      </c>
      <c r="D43" s="528">
        <v>3003</v>
      </c>
      <c r="E43" s="431" t="s">
        <v>3517</v>
      </c>
      <c r="F43" s="716">
        <v>193133</v>
      </c>
      <c r="G43" s="422"/>
      <c r="H43" s="425"/>
      <c r="I43" s="425"/>
      <c r="J43" s="425"/>
      <c r="K43" s="425"/>
      <c r="L43" s="425"/>
      <c r="M43" s="425"/>
    </row>
    <row r="44" spans="1:13" ht="15.2" customHeight="1">
      <c r="A44" s="430" t="s">
        <v>3700</v>
      </c>
      <c r="B44" s="431" t="s">
        <v>3518</v>
      </c>
      <c r="C44" s="710">
        <v>118057</v>
      </c>
      <c r="D44" s="528" t="s">
        <v>3697</v>
      </c>
      <c r="E44" s="431" t="s">
        <v>3519</v>
      </c>
      <c r="F44" s="716">
        <v>138734</v>
      </c>
      <c r="G44" s="422"/>
      <c r="H44" s="425"/>
      <c r="I44" s="425"/>
      <c r="J44" s="425"/>
      <c r="K44" s="425"/>
      <c r="L44" s="425"/>
      <c r="M44" s="425"/>
    </row>
    <row r="45" spans="1:13" ht="15.2" customHeight="1">
      <c r="A45" s="430">
        <v>1042</v>
      </c>
      <c r="B45" s="431" t="s">
        <v>3701</v>
      </c>
      <c r="C45" s="710">
        <v>116013</v>
      </c>
      <c r="D45" s="528">
        <v>3005</v>
      </c>
      <c r="E45" s="431" t="s">
        <v>3520</v>
      </c>
      <c r="F45" s="716">
        <v>218163</v>
      </c>
      <c r="G45" s="422"/>
      <c r="H45" s="425"/>
      <c r="I45" s="425"/>
      <c r="J45" s="425"/>
      <c r="K45" s="425"/>
      <c r="L45" s="425"/>
      <c r="M45" s="425"/>
    </row>
    <row r="46" spans="1:13" ht="15.2" customHeight="1">
      <c r="A46" s="430">
        <v>1043</v>
      </c>
      <c r="B46" s="431" t="s">
        <v>3521</v>
      </c>
      <c r="C46" s="710">
        <v>112186</v>
      </c>
      <c r="D46" s="528">
        <v>3006</v>
      </c>
      <c r="E46" s="431" t="s">
        <v>3522</v>
      </c>
      <c r="F46" s="716">
        <v>154122</v>
      </c>
      <c r="G46" s="422"/>
      <c r="H46" s="425"/>
      <c r="I46" s="425"/>
      <c r="J46" s="425"/>
      <c r="K46" s="425"/>
      <c r="L46" s="425"/>
      <c r="M46" s="425"/>
    </row>
    <row r="47" spans="1:13" ht="15.2" customHeight="1">
      <c r="A47" s="430">
        <v>1044</v>
      </c>
      <c r="B47" s="431" t="s">
        <v>3523</v>
      </c>
      <c r="C47" s="711">
        <v>107826</v>
      </c>
      <c r="D47" s="528">
        <v>3007</v>
      </c>
      <c r="E47" s="431" t="s">
        <v>3524</v>
      </c>
      <c r="F47" s="717">
        <v>216076</v>
      </c>
      <c r="G47" s="422"/>
      <c r="H47" s="425"/>
      <c r="I47" s="425"/>
      <c r="J47" s="425"/>
      <c r="K47" s="425"/>
      <c r="L47" s="425"/>
      <c r="M47" s="425"/>
    </row>
    <row r="48" spans="1:13" ht="15.2" customHeight="1">
      <c r="A48" s="430" t="s">
        <v>3145</v>
      </c>
      <c r="B48" s="431" t="s">
        <v>3525</v>
      </c>
      <c r="C48" s="711">
        <v>98941</v>
      </c>
      <c r="D48" s="528" t="s">
        <v>3151</v>
      </c>
      <c r="E48" s="431" t="s">
        <v>3526</v>
      </c>
      <c r="F48" s="717">
        <v>163628</v>
      </c>
      <c r="G48" s="422"/>
      <c r="H48" s="425"/>
      <c r="I48" s="425"/>
      <c r="J48" s="425"/>
      <c r="K48" s="425"/>
      <c r="L48" s="425"/>
      <c r="M48" s="425"/>
    </row>
    <row r="49" spans="1:13" ht="15.2" customHeight="1">
      <c r="A49" s="430" t="s">
        <v>3702</v>
      </c>
      <c r="B49" s="431" t="s">
        <v>3527</v>
      </c>
      <c r="C49" s="712">
        <v>106163</v>
      </c>
      <c r="D49" s="430" t="s">
        <v>3713</v>
      </c>
      <c r="E49" s="431" t="s">
        <v>3528</v>
      </c>
      <c r="F49" s="717">
        <v>153936</v>
      </c>
      <c r="G49" s="422"/>
      <c r="H49" s="425"/>
      <c r="I49" s="425"/>
      <c r="J49" s="425"/>
      <c r="K49" s="425"/>
      <c r="L49" s="425"/>
      <c r="M49" s="425"/>
    </row>
    <row r="50" spans="1:13" ht="15.2" customHeight="1">
      <c r="A50" s="430" t="s">
        <v>3703</v>
      </c>
      <c r="B50" s="431" t="s">
        <v>3529</v>
      </c>
      <c r="C50" s="711">
        <v>108152</v>
      </c>
      <c r="D50" s="531" t="s">
        <v>3152</v>
      </c>
      <c r="E50" s="530" t="s">
        <v>3530</v>
      </c>
      <c r="F50" s="717">
        <v>190475</v>
      </c>
      <c r="G50" s="422"/>
      <c r="H50" s="425"/>
      <c r="I50" s="425"/>
      <c r="J50" s="425"/>
      <c r="K50" s="425"/>
      <c r="L50" s="425"/>
      <c r="M50" s="425"/>
    </row>
    <row r="51" spans="1:13" ht="15.2" customHeight="1">
      <c r="A51" s="430">
        <v>1048</v>
      </c>
      <c r="B51" s="431" t="s">
        <v>3531</v>
      </c>
      <c r="C51" s="711">
        <v>130411</v>
      </c>
      <c r="D51" s="531" t="s">
        <v>3714</v>
      </c>
      <c r="E51" s="530" t="s">
        <v>3532</v>
      </c>
      <c r="F51" s="717">
        <v>230344</v>
      </c>
      <c r="G51" s="422"/>
      <c r="H51" s="425"/>
      <c r="I51" s="425"/>
      <c r="J51" s="425"/>
      <c r="K51" s="425"/>
      <c r="L51" s="425"/>
      <c r="M51" s="425"/>
    </row>
    <row r="52" spans="1:13" ht="15.2" customHeight="1">
      <c r="A52" s="430">
        <v>1049</v>
      </c>
      <c r="B52" s="431" t="s">
        <v>3186</v>
      </c>
      <c r="C52" s="711">
        <v>117523</v>
      </c>
      <c r="D52" s="528" t="s">
        <v>3154</v>
      </c>
      <c r="E52" s="431" t="s">
        <v>3533</v>
      </c>
      <c r="F52" s="717">
        <v>184318</v>
      </c>
      <c r="G52" s="422"/>
      <c r="H52" s="425"/>
      <c r="I52" s="425"/>
      <c r="J52" s="425"/>
      <c r="K52" s="425"/>
      <c r="L52" s="425"/>
      <c r="M52" s="425"/>
    </row>
    <row r="53" spans="1:13" ht="15.2" customHeight="1">
      <c r="A53" s="430" t="s">
        <v>3704</v>
      </c>
      <c r="B53" s="431" t="s">
        <v>3534</v>
      </c>
      <c r="C53" s="712">
        <v>90909</v>
      </c>
      <c r="D53" s="528">
        <v>4001</v>
      </c>
      <c r="E53" s="431" t="s">
        <v>3675</v>
      </c>
      <c r="F53" s="717">
        <v>201150</v>
      </c>
      <c r="G53" s="422"/>
      <c r="H53" s="425"/>
      <c r="I53" s="425"/>
      <c r="J53" s="425"/>
      <c r="K53" s="425"/>
      <c r="L53" s="425"/>
      <c r="M53" s="425"/>
    </row>
    <row r="54" spans="1:13" ht="15.2" customHeight="1">
      <c r="A54" s="430">
        <v>1051</v>
      </c>
      <c r="B54" s="431" t="s">
        <v>3535</v>
      </c>
      <c r="C54" s="711">
        <v>120482</v>
      </c>
      <c r="D54" s="528">
        <v>4002</v>
      </c>
      <c r="E54" s="431" t="s">
        <v>3536</v>
      </c>
      <c r="F54" s="717">
        <v>208389</v>
      </c>
      <c r="G54" s="422"/>
      <c r="H54" s="425"/>
      <c r="I54" s="425"/>
      <c r="J54" s="425"/>
      <c r="K54" s="425"/>
      <c r="L54" s="425"/>
      <c r="M54" s="425"/>
    </row>
    <row r="55" spans="1:13" ht="15.2" customHeight="1">
      <c r="A55" s="430" t="s">
        <v>3705</v>
      </c>
      <c r="B55" s="431" t="s">
        <v>3537</v>
      </c>
      <c r="C55" s="712">
        <v>126060</v>
      </c>
      <c r="D55" s="528">
        <v>4003</v>
      </c>
      <c r="E55" s="431" t="s">
        <v>3538</v>
      </c>
      <c r="F55" s="717">
        <v>210619</v>
      </c>
      <c r="G55" s="422"/>
      <c r="H55" s="425"/>
      <c r="I55" s="425"/>
      <c r="J55" s="425"/>
      <c r="K55" s="425"/>
      <c r="L55" s="425"/>
      <c r="M55" s="425"/>
    </row>
    <row r="56" spans="1:13" ht="15.2" customHeight="1">
      <c r="A56" s="430" t="s">
        <v>3147</v>
      </c>
      <c r="B56" s="431" t="s">
        <v>3539</v>
      </c>
      <c r="C56" s="711">
        <v>120000</v>
      </c>
      <c r="D56" s="528">
        <v>4004</v>
      </c>
      <c r="E56" s="431" t="s">
        <v>3540</v>
      </c>
      <c r="F56" s="717">
        <v>233836</v>
      </c>
      <c r="G56" s="422"/>
      <c r="H56" s="425"/>
      <c r="I56" s="425"/>
      <c r="J56" s="425"/>
      <c r="K56" s="425"/>
      <c r="L56" s="425"/>
      <c r="M56" s="425"/>
    </row>
    <row r="57" spans="1:13" ht="15.2" customHeight="1">
      <c r="A57" s="430" t="s">
        <v>3706</v>
      </c>
      <c r="B57" s="431" t="s">
        <v>3541</v>
      </c>
      <c r="C57" s="712">
        <v>106774</v>
      </c>
      <c r="D57" s="528">
        <v>5001</v>
      </c>
      <c r="E57" s="431" t="s">
        <v>3542</v>
      </c>
      <c r="F57" s="717">
        <v>196575</v>
      </c>
      <c r="G57" s="422"/>
      <c r="H57" s="425"/>
      <c r="I57" s="425"/>
      <c r="J57" s="425"/>
      <c r="K57" s="425"/>
      <c r="L57" s="425"/>
      <c r="M57" s="425"/>
    </row>
    <row r="58" spans="1:13" ht="15.2" customHeight="1">
      <c r="A58" s="430" t="s">
        <v>3148</v>
      </c>
      <c r="B58" s="431" t="s">
        <v>3543</v>
      </c>
      <c r="C58" s="711">
        <v>107317</v>
      </c>
      <c r="D58" s="528">
        <v>5002</v>
      </c>
      <c r="E58" s="431" t="s">
        <v>3544</v>
      </c>
      <c r="F58" s="717">
        <v>174836</v>
      </c>
      <c r="G58" s="422"/>
      <c r="H58" s="425"/>
      <c r="I58" s="425"/>
      <c r="J58" s="425"/>
      <c r="K58" s="425"/>
      <c r="L58" s="425"/>
      <c r="M58" s="425"/>
    </row>
    <row r="59" spans="1:13" ht="15.2" customHeight="1">
      <c r="A59" s="430">
        <v>1056</v>
      </c>
      <c r="B59" s="431" t="s">
        <v>3545</v>
      </c>
      <c r="C59" s="711">
        <v>207691</v>
      </c>
      <c r="D59" s="528">
        <v>5003</v>
      </c>
      <c r="E59" s="431" t="s">
        <v>3546</v>
      </c>
      <c r="F59" s="717">
        <v>152766</v>
      </c>
      <c r="G59" s="422"/>
      <c r="H59" s="425"/>
      <c r="I59" s="425"/>
      <c r="J59" s="425"/>
      <c r="K59" s="425"/>
      <c r="L59" s="425"/>
      <c r="M59" s="425"/>
    </row>
    <row r="60" spans="1:13" ht="15.2" customHeight="1">
      <c r="A60" s="430">
        <v>1057</v>
      </c>
      <c r="B60" s="431" t="s">
        <v>3547</v>
      </c>
      <c r="C60" s="711">
        <v>174450</v>
      </c>
      <c r="D60" s="528">
        <v>5004</v>
      </c>
      <c r="E60" s="431" t="s">
        <v>3548</v>
      </c>
      <c r="F60" s="717">
        <v>164207</v>
      </c>
      <c r="G60" s="422"/>
      <c r="H60" s="425"/>
      <c r="I60" s="425"/>
      <c r="J60" s="425"/>
      <c r="K60" s="425"/>
      <c r="L60" s="425"/>
      <c r="M60" s="425"/>
    </row>
    <row r="61" spans="1:13" ht="15.2" customHeight="1">
      <c r="A61" s="430">
        <v>1058</v>
      </c>
      <c r="B61" s="431" t="s">
        <v>3549</v>
      </c>
      <c r="C61" s="711">
        <v>198280</v>
      </c>
      <c r="D61" s="528">
        <v>5005</v>
      </c>
      <c r="E61" s="431" t="s">
        <v>3550</v>
      </c>
      <c r="F61" s="717">
        <v>141478</v>
      </c>
      <c r="G61" s="422"/>
      <c r="H61" s="425"/>
      <c r="I61" s="425"/>
      <c r="J61" s="425"/>
      <c r="K61" s="425"/>
      <c r="L61" s="425"/>
      <c r="M61" s="425"/>
    </row>
    <row r="62" spans="1:13" ht="15.2" customHeight="1">
      <c r="A62" s="430" t="s">
        <v>3149</v>
      </c>
      <c r="B62" s="431" t="s">
        <v>3551</v>
      </c>
      <c r="C62" s="711">
        <v>231482</v>
      </c>
      <c r="D62" s="528">
        <v>5006</v>
      </c>
      <c r="E62" s="431" t="s">
        <v>3552</v>
      </c>
      <c r="F62" s="717">
        <v>219634</v>
      </c>
      <c r="G62" s="422"/>
      <c r="H62" s="425"/>
      <c r="I62" s="425"/>
      <c r="J62" s="425"/>
      <c r="K62" s="425"/>
      <c r="L62" s="425"/>
      <c r="M62" s="425"/>
    </row>
    <row r="63" spans="1:13" ht="15.2" customHeight="1">
      <c r="A63" s="432">
        <v>1060</v>
      </c>
      <c r="B63" s="433" t="s">
        <v>3553</v>
      </c>
      <c r="C63" s="713">
        <v>198390</v>
      </c>
      <c r="D63" s="532" t="s">
        <v>3155</v>
      </c>
      <c r="E63" s="433" t="s">
        <v>3554</v>
      </c>
      <c r="F63" s="718">
        <v>118066</v>
      </c>
      <c r="G63" s="422"/>
      <c r="H63" s="425"/>
      <c r="I63" s="425"/>
      <c r="J63" s="425"/>
      <c r="K63" s="425"/>
      <c r="L63" s="425"/>
      <c r="M63" s="425"/>
    </row>
    <row r="64" spans="1:13" ht="15.2" customHeight="1">
      <c r="A64" s="434"/>
      <c r="B64" s="435"/>
      <c r="C64" s="698"/>
      <c r="D64" s="434"/>
      <c r="E64" s="435"/>
      <c r="F64" s="702"/>
      <c r="G64" s="422"/>
    </row>
    <row r="65" spans="1:7" ht="15.2" customHeight="1">
      <c r="A65" s="434"/>
      <c r="B65" s="435"/>
      <c r="C65" s="698"/>
      <c r="D65" s="434"/>
      <c r="E65" s="435"/>
      <c r="F65" s="702"/>
      <c r="G65" s="422"/>
    </row>
    <row r="66" spans="1:7" ht="15.2" customHeight="1">
      <c r="A66" s="498" t="s">
        <v>3327</v>
      </c>
      <c r="B66" s="436"/>
      <c r="C66" s="426"/>
      <c r="D66" s="498" t="s">
        <v>3880</v>
      </c>
      <c r="E66" s="436"/>
      <c r="F66" s="426"/>
      <c r="G66" s="422"/>
    </row>
    <row r="67" spans="1:7" ht="15.2" customHeight="1">
      <c r="A67" s="427" t="s">
        <v>3143</v>
      </c>
      <c r="B67" s="428" t="s">
        <v>3156</v>
      </c>
      <c r="C67" s="699" t="s">
        <v>2033</v>
      </c>
      <c r="D67" s="427" t="s">
        <v>3143</v>
      </c>
      <c r="E67" s="428" t="s">
        <v>3157</v>
      </c>
      <c r="F67" s="699" t="s">
        <v>2033</v>
      </c>
      <c r="G67" s="422"/>
    </row>
    <row r="68" spans="1:7" ht="15.2" customHeight="1">
      <c r="A68" s="430">
        <v>1</v>
      </c>
      <c r="B68" s="431" t="s">
        <v>3159</v>
      </c>
      <c r="C68" s="614">
        <v>411642</v>
      </c>
      <c r="D68" s="430">
        <v>17</v>
      </c>
      <c r="E68" s="431" t="s">
        <v>3160</v>
      </c>
      <c r="F68" s="614">
        <v>340765</v>
      </c>
      <c r="G68" s="422"/>
    </row>
    <row r="69" spans="1:7" ht="15.2" customHeight="1">
      <c r="A69" s="430">
        <v>2</v>
      </c>
      <c r="B69" s="431" t="s">
        <v>3163</v>
      </c>
      <c r="C69" s="614">
        <v>373593</v>
      </c>
      <c r="D69" s="430">
        <v>18</v>
      </c>
      <c r="E69" s="431" t="s">
        <v>3164</v>
      </c>
      <c r="F69" s="614">
        <v>249900</v>
      </c>
      <c r="G69" s="422"/>
    </row>
    <row r="70" spans="1:7" ht="15.2" customHeight="1">
      <c r="A70" s="430">
        <v>3</v>
      </c>
      <c r="B70" s="431" t="s">
        <v>3166</v>
      </c>
      <c r="C70" s="614">
        <v>276160</v>
      </c>
      <c r="D70" s="430">
        <v>19</v>
      </c>
      <c r="E70" s="431" t="s">
        <v>3167</v>
      </c>
      <c r="F70" s="614">
        <v>208973</v>
      </c>
      <c r="G70" s="422"/>
    </row>
    <row r="71" spans="1:7" ht="15.2" customHeight="1">
      <c r="A71" s="430">
        <v>4</v>
      </c>
      <c r="B71" s="431" t="s">
        <v>3191</v>
      </c>
      <c r="C71" s="614">
        <v>221375</v>
      </c>
      <c r="D71" s="430">
        <v>20</v>
      </c>
      <c r="E71" s="431" t="s">
        <v>3169</v>
      </c>
      <c r="F71" s="614">
        <v>181229</v>
      </c>
      <c r="G71" s="422"/>
    </row>
    <row r="72" spans="1:7" ht="15.2" customHeight="1">
      <c r="A72" s="430">
        <v>5</v>
      </c>
      <c r="B72" s="431" t="s">
        <v>3171</v>
      </c>
      <c r="C72" s="614">
        <v>190787</v>
      </c>
      <c r="D72" s="430">
        <v>21</v>
      </c>
      <c r="E72" s="431" t="s">
        <v>3172</v>
      </c>
      <c r="F72" s="614">
        <v>140862</v>
      </c>
      <c r="G72" s="422"/>
    </row>
    <row r="73" spans="1:7" ht="15.2" customHeight="1">
      <c r="A73" s="430">
        <v>6</v>
      </c>
      <c r="B73" s="431" t="s">
        <v>3174</v>
      </c>
      <c r="C73" s="614">
        <v>177337</v>
      </c>
      <c r="D73" s="430">
        <v>22</v>
      </c>
      <c r="E73" s="431" t="s">
        <v>3175</v>
      </c>
      <c r="F73" s="614">
        <v>163029</v>
      </c>
      <c r="G73" s="422"/>
    </row>
    <row r="74" spans="1:7" ht="15.2" customHeight="1">
      <c r="A74" s="430">
        <v>7</v>
      </c>
      <c r="B74" s="431" t="s">
        <v>3178</v>
      </c>
      <c r="C74" s="614">
        <v>141168</v>
      </c>
      <c r="D74" s="430">
        <v>23</v>
      </c>
      <c r="E74" s="431" t="s">
        <v>3179</v>
      </c>
      <c r="F74" s="614">
        <v>141768</v>
      </c>
      <c r="G74" s="422"/>
    </row>
    <row r="75" spans="1:7" ht="15.2" customHeight="1">
      <c r="A75" s="432">
        <v>8</v>
      </c>
      <c r="B75" s="433" t="s">
        <v>3181</v>
      </c>
      <c r="C75" s="615">
        <v>118732</v>
      </c>
      <c r="D75" s="432">
        <v>24</v>
      </c>
      <c r="E75" s="433" t="s">
        <v>3182</v>
      </c>
      <c r="F75" s="615">
        <v>123044</v>
      </c>
      <c r="G75" s="422"/>
    </row>
    <row r="76" spans="1:7" ht="15.2" customHeight="1">
      <c r="A76" s="423"/>
      <c r="B76" s="422"/>
      <c r="C76" s="700"/>
      <c r="D76" s="423"/>
      <c r="E76" s="422"/>
      <c r="F76" s="424"/>
      <c r="G76" s="422"/>
    </row>
    <row r="77" spans="1:7" ht="15.2" customHeight="1">
      <c r="A77" s="423"/>
      <c r="B77" s="422"/>
      <c r="C77" s="424"/>
      <c r="D77" s="423"/>
      <c r="E77" s="422"/>
      <c r="F77" s="424"/>
      <c r="G77" s="422"/>
    </row>
    <row r="78" spans="1:7" ht="15.2" customHeight="1">
      <c r="A78" s="498" t="s">
        <v>3328</v>
      </c>
      <c r="B78" s="436"/>
      <c r="C78" s="424"/>
      <c r="D78" s="498" t="s">
        <v>3979</v>
      </c>
      <c r="E78" s="436"/>
      <c r="F78" s="424"/>
    </row>
    <row r="79" spans="1:7" ht="15.2" customHeight="1">
      <c r="A79" s="427" t="s">
        <v>3143</v>
      </c>
      <c r="B79" s="428" t="s">
        <v>3158</v>
      </c>
      <c r="C79" s="699" t="s">
        <v>2033</v>
      </c>
      <c r="D79" s="427" t="s">
        <v>3143</v>
      </c>
      <c r="E79" s="428" t="s">
        <v>3158</v>
      </c>
      <c r="F79" s="429" t="s">
        <v>2033</v>
      </c>
    </row>
    <row r="80" spans="1:7" ht="15.2" customHeight="1">
      <c r="A80" s="993" t="s">
        <v>3161</v>
      </c>
      <c r="B80" s="431" t="s">
        <v>3162</v>
      </c>
      <c r="C80" s="614">
        <v>286636</v>
      </c>
      <c r="D80" s="445">
        <v>1</v>
      </c>
      <c r="E80" s="431" t="s">
        <v>3975</v>
      </c>
      <c r="F80" s="614">
        <v>288548</v>
      </c>
    </row>
    <row r="81" spans="1:6" ht="15.2" customHeight="1">
      <c r="A81" s="994"/>
      <c r="B81" s="431" t="s">
        <v>3165</v>
      </c>
      <c r="C81" s="614">
        <v>207803</v>
      </c>
      <c r="D81" s="445">
        <v>2</v>
      </c>
      <c r="E81" s="431" t="s">
        <v>3976</v>
      </c>
      <c r="F81" s="614">
        <v>244972</v>
      </c>
    </row>
    <row r="82" spans="1:6" ht="15.2" customHeight="1">
      <c r="A82" s="994"/>
      <c r="B82" s="431" t="s">
        <v>3168</v>
      </c>
      <c r="C82" s="614">
        <v>169966</v>
      </c>
      <c r="D82" s="445">
        <v>3</v>
      </c>
      <c r="E82" s="431" t="s">
        <v>3977</v>
      </c>
      <c r="F82" s="614">
        <v>196572</v>
      </c>
    </row>
    <row r="83" spans="1:6" ht="15.2" customHeight="1">
      <c r="A83" s="994"/>
      <c r="B83" s="431" t="s">
        <v>3170</v>
      </c>
      <c r="C83" s="614">
        <v>151075</v>
      </c>
      <c r="D83" s="445">
        <v>4</v>
      </c>
      <c r="E83" s="431" t="s">
        <v>3978</v>
      </c>
      <c r="F83" s="614">
        <v>150400</v>
      </c>
    </row>
    <row r="84" spans="1:6" ht="15.2" customHeight="1">
      <c r="A84" s="994"/>
      <c r="B84" s="431" t="s">
        <v>3173</v>
      </c>
      <c r="C84" s="614">
        <v>127013</v>
      </c>
      <c r="D84" s="440"/>
      <c r="E84" s="435"/>
      <c r="F84" s="441"/>
    </row>
    <row r="85" spans="1:6" ht="15.2" customHeight="1">
      <c r="A85" s="993" t="s">
        <v>3176</v>
      </c>
      <c r="B85" s="431" t="s">
        <v>3177</v>
      </c>
      <c r="C85" s="614">
        <v>150971</v>
      </c>
      <c r="D85" s="440"/>
      <c r="E85" s="435"/>
      <c r="F85" s="441"/>
    </row>
    <row r="86" spans="1:6" ht="15.2" customHeight="1">
      <c r="A86" s="994"/>
      <c r="B86" s="431" t="s">
        <v>3180</v>
      </c>
      <c r="C86" s="614">
        <v>128657</v>
      </c>
      <c r="D86" s="440"/>
      <c r="E86" s="435"/>
      <c r="F86" s="441"/>
    </row>
    <row r="87" spans="1:6" ht="15.2" customHeight="1">
      <c r="A87" s="995"/>
      <c r="B87" s="433" t="s">
        <v>3183</v>
      </c>
      <c r="C87" s="615">
        <v>106608</v>
      </c>
      <c r="D87" s="442"/>
      <c r="E87" s="443"/>
      <c r="F87" s="444"/>
    </row>
  </sheetData>
  <mergeCells count="3">
    <mergeCell ref="A80:A84"/>
    <mergeCell ref="A85:A87"/>
    <mergeCell ref="A1:F1"/>
  </mergeCells>
  <phoneticPr fontId="2" type="noConversion"/>
  <printOptions horizontalCentered="1"/>
  <pageMargins left="0.70866141732283472" right="0.70866141732283472" top="0.98425196850393704" bottom="0.69" header="0.51181102362204722" footer="0.5118110236220472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K627"/>
  <sheetViews>
    <sheetView view="pageBreakPreview" zoomScaleSheetLayoutView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3.5"/>
  <cols>
    <col min="1" max="1" width="17.21875" style="420" customWidth="1"/>
    <col min="2" max="2" width="8.6640625" style="421" customWidth="1"/>
    <col min="3" max="3" width="19.6640625" style="420" customWidth="1"/>
    <col min="4" max="4" width="9.5546875" style="338" bestFit="1" customWidth="1"/>
    <col min="5" max="5" width="9.33203125" style="338" bestFit="1" customWidth="1"/>
    <col min="6" max="6" width="9.5546875" style="338" bestFit="1" customWidth="1"/>
    <col min="7" max="7" width="10.109375" style="338" customWidth="1"/>
    <col min="8" max="8" width="9" style="338" customWidth="1"/>
    <col min="9" max="10" width="5.21875" style="338" bestFit="1" customWidth="1"/>
    <col min="11" max="11" width="9.33203125" style="338" customWidth="1"/>
    <col min="12" max="16384" width="8.88671875" style="338"/>
  </cols>
  <sheetData>
    <row r="1" spans="1:11">
      <c r="A1" s="333"/>
      <c r="B1" s="334"/>
      <c r="C1" s="335"/>
      <c r="D1" s="336"/>
      <c r="E1" s="336"/>
      <c r="F1" s="336"/>
      <c r="G1" s="336"/>
      <c r="H1" s="336"/>
      <c r="I1" s="336"/>
      <c r="J1" s="337" t="s">
        <v>1209</v>
      </c>
      <c r="K1" s="616">
        <v>1157.7</v>
      </c>
    </row>
    <row r="2" spans="1:11">
      <c r="A2" s="1008" t="s">
        <v>715</v>
      </c>
      <c r="B2" s="1010" t="s">
        <v>1210</v>
      </c>
      <c r="C2" s="1010" t="s">
        <v>1211</v>
      </c>
      <c r="D2" s="339" t="s">
        <v>1212</v>
      </c>
      <c r="E2" s="339"/>
      <c r="F2" s="1004" t="s">
        <v>3113</v>
      </c>
      <c r="G2" s="1006" t="s">
        <v>1213</v>
      </c>
      <c r="H2" s="1006" t="s">
        <v>1214</v>
      </c>
      <c r="I2" s="1006" t="s">
        <v>1215</v>
      </c>
      <c r="J2" s="1006"/>
      <c r="K2" s="1002"/>
    </row>
    <row r="3" spans="1:11" ht="24">
      <c r="A3" s="1009"/>
      <c r="B3" s="1011"/>
      <c r="C3" s="1011"/>
      <c r="D3" s="340" t="s">
        <v>1216</v>
      </c>
      <c r="E3" s="341" t="s">
        <v>1217</v>
      </c>
      <c r="F3" s="1005"/>
      <c r="G3" s="1007"/>
      <c r="H3" s="1007"/>
      <c r="I3" s="1007"/>
      <c r="J3" s="1007"/>
      <c r="K3" s="1003"/>
    </row>
    <row r="4" spans="1:11">
      <c r="A4" s="342" t="s">
        <v>1218</v>
      </c>
      <c r="B4" s="703" t="s">
        <v>1219</v>
      </c>
      <c r="C4" s="343" t="s">
        <v>1220</v>
      </c>
      <c r="D4" s="344"/>
      <c r="E4" s="345">
        <v>56484</v>
      </c>
      <c r="F4" s="346">
        <f>TRUNC(D4*$K$1/1000)</f>
        <v>0</v>
      </c>
      <c r="G4" s="347">
        <v>9</v>
      </c>
      <c r="H4" s="348">
        <v>16</v>
      </c>
      <c r="I4" s="349">
        <v>1</v>
      </c>
      <c r="J4" s="349"/>
      <c r="K4" s="350"/>
    </row>
    <row r="5" spans="1:11">
      <c r="A5" s="342" t="s">
        <v>1222</v>
      </c>
      <c r="B5" s="351" t="s">
        <v>1223</v>
      </c>
      <c r="C5" s="352">
        <v>10</v>
      </c>
      <c r="D5" s="353">
        <v>109599</v>
      </c>
      <c r="E5" s="345">
        <f>F5</f>
        <v>126882</v>
      </c>
      <c r="F5" s="346">
        <f t="shared" ref="F5:F40" si="0">TRUNC(D5*$K$1/1000)</f>
        <v>126882</v>
      </c>
      <c r="G5" s="354">
        <v>12.5</v>
      </c>
      <c r="H5" s="355">
        <v>16</v>
      </c>
      <c r="I5" s="356">
        <v>1</v>
      </c>
      <c r="J5" s="356"/>
      <c r="K5" s="357"/>
    </row>
    <row r="6" spans="1:11">
      <c r="A6" s="358" t="s">
        <v>1224</v>
      </c>
      <c r="B6" s="351" t="s">
        <v>1225</v>
      </c>
      <c r="C6" s="352">
        <v>12</v>
      </c>
      <c r="D6" s="353">
        <v>129289</v>
      </c>
      <c r="E6" s="345">
        <f>F6</f>
        <v>149677</v>
      </c>
      <c r="F6" s="346">
        <f t="shared" si="0"/>
        <v>149677</v>
      </c>
      <c r="G6" s="356">
        <v>14.6</v>
      </c>
      <c r="H6" s="355">
        <v>16</v>
      </c>
      <c r="I6" s="356">
        <v>1</v>
      </c>
      <c r="J6" s="356"/>
      <c r="K6" s="357"/>
    </row>
    <row r="7" spans="1:11">
      <c r="A7" s="358"/>
      <c r="B7" s="351" t="s">
        <v>1226</v>
      </c>
      <c r="C7" s="352">
        <v>19</v>
      </c>
      <c r="D7" s="353"/>
      <c r="E7" s="345">
        <v>145207</v>
      </c>
      <c r="F7" s="346">
        <f t="shared" si="0"/>
        <v>0</v>
      </c>
      <c r="G7" s="356">
        <v>25</v>
      </c>
      <c r="H7" s="355">
        <v>16</v>
      </c>
      <c r="I7" s="356">
        <v>1</v>
      </c>
      <c r="J7" s="356"/>
      <c r="K7" s="357"/>
    </row>
    <row r="8" spans="1:11">
      <c r="A8" s="359"/>
      <c r="B8" s="351" t="s">
        <v>1227</v>
      </c>
      <c r="C8" s="352">
        <v>32</v>
      </c>
      <c r="D8" s="353"/>
      <c r="E8" s="345">
        <v>192853</v>
      </c>
      <c r="F8" s="346">
        <f t="shared" si="0"/>
        <v>0</v>
      </c>
      <c r="G8" s="356">
        <v>41.6</v>
      </c>
      <c r="H8" s="355">
        <v>16</v>
      </c>
      <c r="I8" s="356">
        <v>1</v>
      </c>
      <c r="J8" s="356"/>
      <c r="K8" s="357"/>
    </row>
    <row r="9" spans="1:11">
      <c r="A9" s="360" t="s">
        <v>1228</v>
      </c>
      <c r="B9" s="351" t="s">
        <v>1229</v>
      </c>
      <c r="C9" s="352" t="s">
        <v>1230</v>
      </c>
      <c r="D9" s="353">
        <v>109531</v>
      </c>
      <c r="E9" s="345">
        <f>F9</f>
        <v>126804</v>
      </c>
      <c r="F9" s="346">
        <f t="shared" si="0"/>
        <v>126804</v>
      </c>
      <c r="G9" s="356">
        <v>19.2</v>
      </c>
      <c r="H9" s="355">
        <v>50</v>
      </c>
      <c r="I9" s="356">
        <v>1</v>
      </c>
      <c r="J9" s="356"/>
      <c r="K9" s="357"/>
    </row>
    <row r="10" spans="1:11">
      <c r="A10" s="342" t="s">
        <v>1222</v>
      </c>
      <c r="B10" s="351" t="s">
        <v>1231</v>
      </c>
      <c r="C10" s="352">
        <v>28</v>
      </c>
      <c r="D10" s="353">
        <v>202390</v>
      </c>
      <c r="E10" s="345">
        <f t="shared" ref="E10:E18" si="1">F10</f>
        <v>234306</v>
      </c>
      <c r="F10" s="346">
        <f t="shared" si="0"/>
        <v>234306</v>
      </c>
      <c r="G10" s="356">
        <v>36</v>
      </c>
      <c r="H10" s="355">
        <v>50</v>
      </c>
      <c r="I10" s="356">
        <v>1</v>
      </c>
      <c r="J10" s="356"/>
      <c r="K10" s="357"/>
    </row>
    <row r="11" spans="1:11">
      <c r="A11" s="359" t="s">
        <v>1232</v>
      </c>
      <c r="B11" s="351" t="s">
        <v>1233</v>
      </c>
      <c r="C11" s="352">
        <v>33</v>
      </c>
      <c r="D11" s="353">
        <v>256562</v>
      </c>
      <c r="E11" s="345">
        <f t="shared" si="1"/>
        <v>297021</v>
      </c>
      <c r="F11" s="346">
        <f t="shared" si="0"/>
        <v>297021</v>
      </c>
      <c r="G11" s="356">
        <v>42.4</v>
      </c>
      <c r="H11" s="355">
        <v>50</v>
      </c>
      <c r="I11" s="356">
        <v>1</v>
      </c>
      <c r="J11" s="356"/>
      <c r="K11" s="357"/>
    </row>
    <row r="12" spans="1:11">
      <c r="A12" s="360" t="s">
        <v>1234</v>
      </c>
      <c r="B12" s="351" t="s">
        <v>1235</v>
      </c>
      <c r="C12" s="352" t="s">
        <v>1236</v>
      </c>
      <c r="D12" s="353">
        <v>9737</v>
      </c>
      <c r="E12" s="345">
        <f t="shared" si="1"/>
        <v>11272</v>
      </c>
      <c r="F12" s="346">
        <f t="shared" si="0"/>
        <v>11272</v>
      </c>
      <c r="G12" s="356"/>
      <c r="H12" s="355"/>
      <c r="I12" s="356"/>
      <c r="J12" s="356"/>
      <c r="K12" s="357"/>
    </row>
    <row r="13" spans="1:11">
      <c r="A13" s="358" t="s">
        <v>1237</v>
      </c>
      <c r="B13" s="351" t="s">
        <v>1238</v>
      </c>
      <c r="C13" s="352">
        <v>19</v>
      </c>
      <c r="D13" s="353">
        <v>12305</v>
      </c>
      <c r="E13" s="345">
        <f t="shared" si="1"/>
        <v>14245</v>
      </c>
      <c r="F13" s="346">
        <f t="shared" si="0"/>
        <v>14245</v>
      </c>
      <c r="G13" s="356" t="s">
        <v>1221</v>
      </c>
      <c r="H13" s="355"/>
      <c r="I13" s="356"/>
      <c r="J13" s="356"/>
      <c r="K13" s="357"/>
    </row>
    <row r="14" spans="1:11">
      <c r="A14" s="358"/>
      <c r="B14" s="351" t="s">
        <v>1239</v>
      </c>
      <c r="C14" s="352">
        <v>23</v>
      </c>
      <c r="D14" s="353">
        <v>13639</v>
      </c>
      <c r="E14" s="345">
        <f t="shared" si="1"/>
        <v>15789</v>
      </c>
      <c r="F14" s="346">
        <f t="shared" si="0"/>
        <v>15789</v>
      </c>
      <c r="G14" s="356"/>
      <c r="H14" s="355"/>
      <c r="I14" s="356"/>
      <c r="J14" s="356"/>
      <c r="K14" s="357"/>
    </row>
    <row r="15" spans="1:11">
      <c r="A15" s="358"/>
      <c r="B15" s="351" t="s">
        <v>1240</v>
      </c>
      <c r="C15" s="352">
        <v>27</v>
      </c>
      <c r="D15" s="353">
        <v>15884</v>
      </c>
      <c r="E15" s="345">
        <f t="shared" si="1"/>
        <v>18388</v>
      </c>
      <c r="F15" s="346">
        <f t="shared" si="0"/>
        <v>18388</v>
      </c>
      <c r="G15" s="356"/>
      <c r="H15" s="355"/>
      <c r="I15" s="356"/>
      <c r="J15" s="356"/>
      <c r="K15" s="357"/>
    </row>
    <row r="16" spans="1:11">
      <c r="A16" s="359"/>
      <c r="B16" s="351" t="s">
        <v>1241</v>
      </c>
      <c r="C16" s="352">
        <v>32</v>
      </c>
      <c r="D16" s="353">
        <v>19291</v>
      </c>
      <c r="E16" s="345">
        <f t="shared" si="1"/>
        <v>22333</v>
      </c>
      <c r="F16" s="346">
        <f t="shared" si="0"/>
        <v>22333</v>
      </c>
      <c r="G16" s="356"/>
      <c r="H16" s="355"/>
      <c r="I16" s="356"/>
      <c r="J16" s="356"/>
      <c r="K16" s="357"/>
    </row>
    <row r="17" spans="1:11">
      <c r="A17" s="360" t="s">
        <v>1242</v>
      </c>
      <c r="B17" s="361" t="s">
        <v>1243</v>
      </c>
      <c r="C17" s="352" t="s">
        <v>1244</v>
      </c>
      <c r="D17" s="353"/>
      <c r="E17" s="345">
        <v>30130</v>
      </c>
      <c r="F17" s="346">
        <f t="shared" si="0"/>
        <v>0</v>
      </c>
      <c r="G17" s="356">
        <v>5.4</v>
      </c>
      <c r="H17" s="355">
        <v>23</v>
      </c>
      <c r="I17" s="356">
        <v>1</v>
      </c>
      <c r="J17" s="356"/>
      <c r="K17" s="357"/>
    </row>
    <row r="18" spans="1:11">
      <c r="A18" s="359" t="s">
        <v>1245</v>
      </c>
      <c r="B18" s="351" t="s">
        <v>1246</v>
      </c>
      <c r="C18" s="352">
        <v>13</v>
      </c>
      <c r="D18" s="353">
        <v>106110</v>
      </c>
      <c r="E18" s="345">
        <f t="shared" si="1"/>
        <v>122843</v>
      </c>
      <c r="F18" s="346">
        <f t="shared" si="0"/>
        <v>122843</v>
      </c>
      <c r="G18" s="356">
        <v>14.6</v>
      </c>
      <c r="H18" s="355">
        <v>23</v>
      </c>
      <c r="I18" s="356">
        <v>1</v>
      </c>
      <c r="J18" s="356"/>
      <c r="K18" s="357"/>
    </row>
    <row r="19" spans="1:11">
      <c r="A19" s="360" t="s">
        <v>1247</v>
      </c>
      <c r="B19" s="361" t="s">
        <v>567</v>
      </c>
      <c r="C19" s="362" t="s">
        <v>568</v>
      </c>
      <c r="D19" s="353"/>
      <c r="E19" s="363">
        <v>35485</v>
      </c>
      <c r="F19" s="346">
        <f t="shared" si="0"/>
        <v>0</v>
      </c>
      <c r="G19" s="356">
        <v>3.2</v>
      </c>
      <c r="H19" s="355">
        <v>21</v>
      </c>
      <c r="I19" s="356">
        <v>1</v>
      </c>
      <c r="J19" s="356"/>
      <c r="K19" s="357"/>
    </row>
    <row r="20" spans="1:11">
      <c r="A20" s="342" t="s">
        <v>569</v>
      </c>
      <c r="B20" s="351" t="s">
        <v>570</v>
      </c>
      <c r="C20" s="352">
        <v>0.2</v>
      </c>
      <c r="D20" s="353"/>
      <c r="E20" s="363">
        <v>55208</v>
      </c>
      <c r="F20" s="346">
        <f t="shared" si="0"/>
        <v>0</v>
      </c>
      <c r="G20" s="356">
        <v>5</v>
      </c>
      <c r="H20" s="355">
        <v>21</v>
      </c>
      <c r="I20" s="356">
        <v>1</v>
      </c>
      <c r="J20" s="356"/>
      <c r="K20" s="357"/>
    </row>
    <row r="21" spans="1:11">
      <c r="A21" s="358" t="s">
        <v>1224</v>
      </c>
      <c r="B21" s="351" t="s">
        <v>571</v>
      </c>
      <c r="C21" s="352">
        <v>0.4</v>
      </c>
      <c r="D21" s="353"/>
      <c r="E21" s="363">
        <v>61405</v>
      </c>
      <c r="F21" s="346">
        <f t="shared" si="0"/>
        <v>0</v>
      </c>
      <c r="G21" s="356">
        <v>9.9</v>
      </c>
      <c r="H21" s="355">
        <v>22</v>
      </c>
      <c r="I21" s="356">
        <v>1</v>
      </c>
      <c r="J21" s="356"/>
      <c r="K21" s="357"/>
    </row>
    <row r="22" spans="1:11">
      <c r="A22" s="358"/>
      <c r="B22" s="351" t="s">
        <v>716</v>
      </c>
      <c r="C22" s="352">
        <v>0.6</v>
      </c>
      <c r="D22" s="353"/>
      <c r="E22" s="363">
        <v>88667</v>
      </c>
      <c r="F22" s="346">
        <f>TRUNC(D22*$K$1/1000)</f>
        <v>0</v>
      </c>
      <c r="G22" s="356">
        <v>10.199999999999999</v>
      </c>
      <c r="H22" s="355">
        <v>22</v>
      </c>
      <c r="I22" s="356">
        <v>1</v>
      </c>
      <c r="J22" s="356"/>
      <c r="K22" s="357"/>
    </row>
    <row r="23" spans="1:11">
      <c r="A23" s="358"/>
      <c r="B23" s="351" t="s">
        <v>572</v>
      </c>
      <c r="C23" s="352">
        <v>0.7</v>
      </c>
      <c r="D23" s="353"/>
      <c r="E23" s="363">
        <v>96703</v>
      </c>
      <c r="F23" s="346">
        <f t="shared" si="0"/>
        <v>0</v>
      </c>
      <c r="G23" s="356">
        <v>11.6</v>
      </c>
      <c r="H23" s="355">
        <v>22</v>
      </c>
      <c r="I23" s="356">
        <v>1</v>
      </c>
      <c r="J23" s="356"/>
      <c r="K23" s="357"/>
    </row>
    <row r="24" spans="1:11">
      <c r="A24" s="358"/>
      <c r="B24" s="351" t="s">
        <v>573</v>
      </c>
      <c r="C24" s="364">
        <v>1</v>
      </c>
      <c r="D24" s="353"/>
      <c r="E24" s="363">
        <v>115600</v>
      </c>
      <c r="F24" s="346">
        <f t="shared" si="0"/>
        <v>0</v>
      </c>
      <c r="G24" s="356">
        <v>19.5</v>
      </c>
      <c r="H24" s="355">
        <v>22</v>
      </c>
      <c r="I24" s="356">
        <v>1</v>
      </c>
      <c r="J24" s="356"/>
      <c r="K24" s="357"/>
    </row>
    <row r="25" spans="1:11">
      <c r="A25" s="359"/>
      <c r="B25" s="351" t="s">
        <v>574</v>
      </c>
      <c r="C25" s="364">
        <v>2</v>
      </c>
      <c r="D25" s="353"/>
      <c r="E25" s="363">
        <v>238238</v>
      </c>
      <c r="F25" s="346">
        <f t="shared" si="0"/>
        <v>0</v>
      </c>
      <c r="G25" s="356">
        <v>32.799999999999997</v>
      </c>
      <c r="H25" s="355">
        <v>22</v>
      </c>
      <c r="I25" s="356">
        <v>1</v>
      </c>
      <c r="J25" s="356"/>
      <c r="K25" s="357"/>
    </row>
    <row r="26" spans="1:11" s="366" customFormat="1">
      <c r="A26" s="997" t="s">
        <v>3644</v>
      </c>
      <c r="B26" s="394" t="s">
        <v>575</v>
      </c>
      <c r="C26" s="554" t="s">
        <v>576</v>
      </c>
      <c r="D26" s="379"/>
      <c r="E26" s="363">
        <v>58508</v>
      </c>
      <c r="F26" s="396">
        <f t="shared" si="0"/>
        <v>0</v>
      </c>
      <c r="G26" s="356">
        <v>5.6</v>
      </c>
      <c r="H26" s="355">
        <v>24</v>
      </c>
      <c r="I26" s="356">
        <v>1</v>
      </c>
      <c r="J26" s="356"/>
      <c r="K26" s="357"/>
    </row>
    <row r="27" spans="1:11" s="366" customFormat="1">
      <c r="A27" s="998"/>
      <c r="B27" s="394" t="s">
        <v>3670</v>
      </c>
      <c r="C27" s="554">
        <v>0.6</v>
      </c>
      <c r="D27" s="379"/>
      <c r="E27" s="363">
        <v>97708</v>
      </c>
      <c r="F27" s="396">
        <f t="shared" si="0"/>
        <v>0</v>
      </c>
      <c r="G27" s="356">
        <v>11.6</v>
      </c>
      <c r="H27" s="355">
        <v>24</v>
      </c>
      <c r="I27" s="356">
        <v>1</v>
      </c>
      <c r="J27" s="356"/>
      <c r="K27" s="357"/>
    </row>
    <row r="28" spans="1:11" s="366" customFormat="1">
      <c r="A28" s="998"/>
      <c r="B28" s="394" t="s">
        <v>3672</v>
      </c>
      <c r="C28" s="554">
        <v>0.8</v>
      </c>
      <c r="D28" s="379"/>
      <c r="E28" s="363">
        <v>115371</v>
      </c>
      <c r="F28" s="396">
        <f t="shared" si="0"/>
        <v>0</v>
      </c>
      <c r="G28" s="356">
        <v>16.3</v>
      </c>
      <c r="H28" s="355">
        <v>24</v>
      </c>
      <c r="I28" s="356">
        <v>1</v>
      </c>
      <c r="J28" s="356"/>
      <c r="K28" s="357"/>
    </row>
    <row r="29" spans="1:11" s="366" customFormat="1">
      <c r="A29" s="999"/>
      <c r="B29" s="394" t="s">
        <v>3673</v>
      </c>
      <c r="C29" s="555">
        <v>1</v>
      </c>
      <c r="D29" s="379"/>
      <c r="E29" s="363">
        <v>121717</v>
      </c>
      <c r="F29" s="396">
        <f t="shared" si="0"/>
        <v>0</v>
      </c>
      <c r="G29" s="356">
        <v>20.5</v>
      </c>
      <c r="H29" s="355">
        <v>24</v>
      </c>
      <c r="I29" s="356">
        <v>1</v>
      </c>
      <c r="J29" s="356"/>
      <c r="K29" s="357"/>
    </row>
    <row r="30" spans="1:11">
      <c r="A30" s="360" t="s">
        <v>577</v>
      </c>
      <c r="B30" s="351" t="s">
        <v>578</v>
      </c>
      <c r="C30" s="362" t="s">
        <v>579</v>
      </c>
      <c r="D30" s="353"/>
      <c r="E30" s="345">
        <v>73754</v>
      </c>
      <c r="F30" s="346">
        <f t="shared" si="0"/>
        <v>0</v>
      </c>
      <c r="G30" s="356">
        <v>9.5</v>
      </c>
      <c r="H30" s="355">
        <v>15</v>
      </c>
      <c r="I30" s="356">
        <v>1</v>
      </c>
      <c r="J30" s="356"/>
      <c r="K30" s="357"/>
    </row>
    <row r="31" spans="1:11">
      <c r="A31" s="367" t="s">
        <v>2325</v>
      </c>
      <c r="B31" s="351" t="s">
        <v>580</v>
      </c>
      <c r="C31" s="352">
        <v>0.7</v>
      </c>
      <c r="D31" s="353"/>
      <c r="E31" s="345">
        <v>96577</v>
      </c>
      <c r="F31" s="346">
        <f t="shared" si="0"/>
        <v>0</v>
      </c>
      <c r="G31" s="356">
        <v>11</v>
      </c>
      <c r="H31" s="355">
        <v>15</v>
      </c>
      <c r="I31" s="356">
        <v>1</v>
      </c>
      <c r="J31" s="356"/>
      <c r="K31" s="357"/>
    </row>
    <row r="32" spans="1:11">
      <c r="A32" s="360" t="s">
        <v>581</v>
      </c>
      <c r="B32" s="351" t="s">
        <v>582</v>
      </c>
      <c r="C32" s="362" t="s">
        <v>583</v>
      </c>
      <c r="D32" s="353"/>
      <c r="E32" s="345">
        <v>3300</v>
      </c>
      <c r="F32" s="346">
        <f t="shared" si="0"/>
        <v>0</v>
      </c>
      <c r="G32" s="368"/>
      <c r="H32" s="369"/>
      <c r="I32" s="368"/>
      <c r="J32" s="368"/>
      <c r="K32" s="370"/>
    </row>
    <row r="33" spans="1:11">
      <c r="A33" s="342" t="s">
        <v>1208</v>
      </c>
      <c r="B33" s="351" t="s">
        <v>584</v>
      </c>
      <c r="C33" s="352">
        <v>0.4</v>
      </c>
      <c r="D33" s="353"/>
      <c r="E33" s="345">
        <v>6050</v>
      </c>
      <c r="F33" s="346">
        <f t="shared" si="0"/>
        <v>0</v>
      </c>
      <c r="G33" s="368"/>
      <c r="H33" s="369"/>
      <c r="I33" s="368"/>
      <c r="J33" s="368"/>
      <c r="K33" s="370"/>
    </row>
    <row r="34" spans="1:11">
      <c r="A34" s="342"/>
      <c r="B34" s="556" t="s">
        <v>3657</v>
      </c>
      <c r="C34" s="557">
        <v>0.6</v>
      </c>
      <c r="D34" s="379"/>
      <c r="E34" s="363">
        <v>11060</v>
      </c>
      <c r="F34" s="396">
        <v>0</v>
      </c>
      <c r="G34" s="368"/>
      <c r="H34" s="369"/>
      <c r="I34" s="368"/>
      <c r="J34" s="368"/>
      <c r="K34" s="370"/>
    </row>
    <row r="35" spans="1:11">
      <c r="A35" s="367"/>
      <c r="B35" s="351" t="s">
        <v>2266</v>
      </c>
      <c r="C35" s="352">
        <v>0.7</v>
      </c>
      <c r="D35" s="353"/>
      <c r="E35" s="345">
        <v>13750</v>
      </c>
      <c r="F35" s="346">
        <f t="shared" si="0"/>
        <v>0</v>
      </c>
      <c r="G35" s="368"/>
      <c r="H35" s="369"/>
      <c r="I35" s="368"/>
      <c r="J35" s="368"/>
      <c r="K35" s="370"/>
    </row>
    <row r="36" spans="1:11">
      <c r="A36" s="360" t="s">
        <v>2536</v>
      </c>
      <c r="B36" s="351" t="s">
        <v>2537</v>
      </c>
      <c r="C36" s="362" t="s">
        <v>579</v>
      </c>
      <c r="D36" s="353"/>
      <c r="E36" s="345">
        <v>63</v>
      </c>
      <c r="F36" s="346">
        <f t="shared" si="0"/>
        <v>0</v>
      </c>
      <c r="G36" s="356"/>
      <c r="H36" s="355"/>
      <c r="I36" s="356"/>
      <c r="J36" s="356"/>
      <c r="K36" s="357"/>
    </row>
    <row r="37" spans="1:11">
      <c r="A37" s="367" t="s">
        <v>2326</v>
      </c>
      <c r="B37" s="351" t="s">
        <v>2538</v>
      </c>
      <c r="C37" s="352">
        <v>0.7</v>
      </c>
      <c r="D37" s="353"/>
      <c r="E37" s="345">
        <v>252</v>
      </c>
      <c r="F37" s="346">
        <f t="shared" si="0"/>
        <v>0</v>
      </c>
      <c r="G37" s="356"/>
      <c r="H37" s="355"/>
      <c r="I37" s="356"/>
      <c r="J37" s="356"/>
      <c r="K37" s="357"/>
    </row>
    <row r="38" spans="1:11">
      <c r="A38" s="365" t="s">
        <v>2327</v>
      </c>
      <c r="B38" s="351" t="s">
        <v>2539</v>
      </c>
      <c r="C38" s="362" t="s">
        <v>2540</v>
      </c>
      <c r="D38" s="353"/>
      <c r="E38" s="345">
        <v>13751</v>
      </c>
      <c r="F38" s="346">
        <f t="shared" si="0"/>
        <v>0</v>
      </c>
      <c r="G38" s="356"/>
      <c r="H38" s="355"/>
      <c r="I38" s="356"/>
      <c r="J38" s="356"/>
      <c r="K38" s="357"/>
    </row>
    <row r="39" spans="1:11">
      <c r="A39" s="365" t="s">
        <v>2328</v>
      </c>
      <c r="B39" s="351" t="s">
        <v>2541</v>
      </c>
      <c r="C39" s="352" t="s">
        <v>2542</v>
      </c>
      <c r="D39" s="353"/>
      <c r="E39" s="345">
        <v>23000</v>
      </c>
      <c r="F39" s="346">
        <f t="shared" si="0"/>
        <v>0</v>
      </c>
      <c r="G39" s="356"/>
      <c r="H39" s="355"/>
      <c r="I39" s="356"/>
      <c r="J39" s="356"/>
      <c r="K39" s="357"/>
    </row>
    <row r="40" spans="1:11">
      <c r="A40" s="365" t="s">
        <v>2329</v>
      </c>
      <c r="B40" s="351" t="s">
        <v>2543</v>
      </c>
      <c r="C40" s="352" t="s">
        <v>2544</v>
      </c>
      <c r="D40" s="353">
        <v>197117</v>
      </c>
      <c r="E40" s="345">
        <f t="shared" ref="E40:E47" si="2">F40</f>
        <v>228202</v>
      </c>
      <c r="F40" s="346">
        <f t="shared" si="0"/>
        <v>228202</v>
      </c>
      <c r="G40" s="356">
        <v>6.7</v>
      </c>
      <c r="H40" s="355">
        <v>34</v>
      </c>
      <c r="I40" s="356">
        <v>1</v>
      </c>
      <c r="J40" s="356"/>
      <c r="K40" s="357"/>
    </row>
    <row r="41" spans="1:11">
      <c r="A41" s="360" t="s">
        <v>2545</v>
      </c>
      <c r="B41" s="351" t="s">
        <v>2546</v>
      </c>
      <c r="C41" s="362" t="s">
        <v>2547</v>
      </c>
      <c r="D41" s="353">
        <v>42309</v>
      </c>
      <c r="E41" s="345">
        <f t="shared" si="2"/>
        <v>48981</v>
      </c>
      <c r="F41" s="346">
        <f>TRUNC(D41*$K$1/1000)</f>
        <v>48981</v>
      </c>
      <c r="G41" s="356">
        <v>4.8</v>
      </c>
      <c r="H41" s="355">
        <v>21</v>
      </c>
      <c r="I41" s="356">
        <v>1</v>
      </c>
      <c r="J41" s="356"/>
      <c r="K41" s="357"/>
    </row>
    <row r="42" spans="1:11">
      <c r="A42" s="358" t="s">
        <v>3795</v>
      </c>
      <c r="B42" s="351" t="s">
        <v>2548</v>
      </c>
      <c r="C42" s="352">
        <v>0.76</v>
      </c>
      <c r="D42" s="353">
        <v>55318</v>
      </c>
      <c r="E42" s="345">
        <f t="shared" si="2"/>
        <v>64041</v>
      </c>
      <c r="F42" s="346">
        <f t="shared" ref="F42:F107" si="3">TRUNC(D42*$K$1/1000)</f>
        <v>64041</v>
      </c>
      <c r="G42" s="356">
        <v>6.3</v>
      </c>
      <c r="H42" s="355">
        <v>21</v>
      </c>
      <c r="I42" s="356">
        <v>1</v>
      </c>
      <c r="J42" s="356"/>
      <c r="K42" s="357"/>
    </row>
    <row r="43" spans="1:11">
      <c r="A43" s="358" t="s">
        <v>1224</v>
      </c>
      <c r="B43" s="351" t="s">
        <v>2549</v>
      </c>
      <c r="C43" s="352">
        <v>0.95</v>
      </c>
      <c r="D43" s="353">
        <v>67784</v>
      </c>
      <c r="E43" s="345">
        <f t="shared" si="2"/>
        <v>78473</v>
      </c>
      <c r="F43" s="346">
        <f t="shared" si="3"/>
        <v>78473</v>
      </c>
      <c r="G43" s="356">
        <v>7.4</v>
      </c>
      <c r="H43" s="355">
        <v>21</v>
      </c>
      <c r="I43" s="356">
        <v>1</v>
      </c>
      <c r="J43" s="356"/>
      <c r="K43" s="357"/>
    </row>
    <row r="44" spans="1:11">
      <c r="A44" s="358"/>
      <c r="B44" s="351" t="s">
        <v>2550</v>
      </c>
      <c r="C44" s="352">
        <v>1.1499999999999999</v>
      </c>
      <c r="D44" s="353">
        <v>80318</v>
      </c>
      <c r="E44" s="345">
        <f t="shared" si="2"/>
        <v>92984</v>
      </c>
      <c r="F44" s="346">
        <f t="shared" si="3"/>
        <v>92984</v>
      </c>
      <c r="G44" s="356">
        <v>9.5</v>
      </c>
      <c r="H44" s="355">
        <v>21</v>
      </c>
      <c r="I44" s="356">
        <v>1</v>
      </c>
      <c r="J44" s="356"/>
      <c r="K44" s="357"/>
    </row>
    <row r="45" spans="1:11">
      <c r="A45" s="358"/>
      <c r="B45" s="351" t="s">
        <v>2551</v>
      </c>
      <c r="C45" s="352">
        <v>1.34</v>
      </c>
      <c r="D45" s="353">
        <v>91663</v>
      </c>
      <c r="E45" s="345">
        <f t="shared" si="2"/>
        <v>106118</v>
      </c>
      <c r="F45" s="346">
        <f t="shared" si="3"/>
        <v>106118</v>
      </c>
      <c r="G45" s="356">
        <v>11.3</v>
      </c>
      <c r="H45" s="355">
        <v>21</v>
      </c>
      <c r="I45" s="356">
        <v>1</v>
      </c>
      <c r="J45" s="356"/>
      <c r="K45" s="357"/>
    </row>
    <row r="46" spans="1:11">
      <c r="A46" s="358"/>
      <c r="B46" s="351" t="s">
        <v>2552</v>
      </c>
      <c r="C46" s="352">
        <v>1.53</v>
      </c>
      <c r="D46" s="353">
        <v>102470</v>
      </c>
      <c r="E46" s="345">
        <f t="shared" si="2"/>
        <v>118629</v>
      </c>
      <c r="F46" s="346">
        <f t="shared" si="3"/>
        <v>118629</v>
      </c>
      <c r="G46" s="356">
        <v>13.3</v>
      </c>
      <c r="H46" s="355">
        <v>21</v>
      </c>
      <c r="I46" s="356">
        <v>1</v>
      </c>
      <c r="J46" s="356"/>
      <c r="K46" s="357"/>
    </row>
    <row r="47" spans="1:11">
      <c r="A47" s="359"/>
      <c r="B47" s="351" t="s">
        <v>2553</v>
      </c>
      <c r="C47" s="352">
        <v>1.72</v>
      </c>
      <c r="D47" s="353">
        <v>112391</v>
      </c>
      <c r="E47" s="345">
        <f t="shared" si="2"/>
        <v>130115</v>
      </c>
      <c r="F47" s="346">
        <f t="shared" si="3"/>
        <v>130115</v>
      </c>
      <c r="G47" s="356">
        <v>14.6</v>
      </c>
      <c r="H47" s="355">
        <v>21</v>
      </c>
      <c r="I47" s="356">
        <v>1</v>
      </c>
      <c r="J47" s="356"/>
      <c r="K47" s="357"/>
    </row>
    <row r="48" spans="1:11">
      <c r="A48" s="360" t="s">
        <v>2554</v>
      </c>
      <c r="B48" s="351" t="s">
        <v>2555</v>
      </c>
      <c r="C48" s="362" t="s">
        <v>2556</v>
      </c>
      <c r="D48" s="353"/>
      <c r="E48" s="345">
        <v>23640</v>
      </c>
      <c r="F48" s="346">
        <f t="shared" si="3"/>
        <v>0</v>
      </c>
      <c r="G48" s="356">
        <v>3.3</v>
      </c>
      <c r="H48" s="355">
        <v>44</v>
      </c>
      <c r="I48" s="356">
        <v>1</v>
      </c>
      <c r="J48" s="356"/>
      <c r="K48" s="357"/>
    </row>
    <row r="49" spans="1:11">
      <c r="A49" s="358" t="s">
        <v>3795</v>
      </c>
      <c r="B49" s="351" t="s">
        <v>2557</v>
      </c>
      <c r="C49" s="352">
        <v>0.56999999999999995</v>
      </c>
      <c r="D49" s="353"/>
      <c r="E49" s="345">
        <v>28300</v>
      </c>
      <c r="F49" s="346">
        <f t="shared" si="3"/>
        <v>0</v>
      </c>
      <c r="G49" s="356">
        <v>3.5</v>
      </c>
      <c r="H49" s="355">
        <v>44</v>
      </c>
      <c r="I49" s="356">
        <v>1</v>
      </c>
      <c r="J49" s="356"/>
      <c r="K49" s="357"/>
    </row>
    <row r="50" spans="1:11">
      <c r="A50" s="358" t="s">
        <v>1232</v>
      </c>
      <c r="B50" s="351" t="s">
        <v>2558</v>
      </c>
      <c r="C50" s="352">
        <v>0.95</v>
      </c>
      <c r="D50" s="353"/>
      <c r="E50" s="345">
        <v>37939</v>
      </c>
      <c r="F50" s="346">
        <f t="shared" si="3"/>
        <v>0</v>
      </c>
      <c r="G50" s="356">
        <v>6.2</v>
      </c>
      <c r="H50" s="355">
        <v>44</v>
      </c>
      <c r="I50" s="356">
        <v>1</v>
      </c>
      <c r="J50" s="356"/>
      <c r="K50" s="357"/>
    </row>
    <row r="51" spans="1:11">
      <c r="A51" s="358"/>
      <c r="B51" s="351" t="s">
        <v>2559</v>
      </c>
      <c r="C51" s="352">
        <v>1.34</v>
      </c>
      <c r="D51" s="353"/>
      <c r="E51" s="345">
        <v>74680</v>
      </c>
      <c r="F51" s="346">
        <f t="shared" si="3"/>
        <v>0</v>
      </c>
      <c r="G51" s="356">
        <v>7.7</v>
      </c>
      <c r="H51" s="355">
        <v>44</v>
      </c>
      <c r="I51" s="356">
        <v>1</v>
      </c>
      <c r="J51" s="356"/>
      <c r="K51" s="357"/>
    </row>
    <row r="52" spans="1:11">
      <c r="A52" s="358"/>
      <c r="B52" s="351" t="s">
        <v>2560</v>
      </c>
      <c r="C52" s="352">
        <v>1.72</v>
      </c>
      <c r="D52" s="353"/>
      <c r="E52" s="345">
        <v>95229</v>
      </c>
      <c r="F52" s="346">
        <f t="shared" si="3"/>
        <v>0</v>
      </c>
      <c r="G52" s="356">
        <v>9.8000000000000007</v>
      </c>
      <c r="H52" s="355">
        <v>44</v>
      </c>
      <c r="I52" s="356">
        <v>1</v>
      </c>
      <c r="J52" s="356"/>
      <c r="K52" s="357"/>
    </row>
    <row r="53" spans="1:11">
      <c r="A53" s="358"/>
      <c r="B53" s="351" t="s">
        <v>2561</v>
      </c>
      <c r="C53" s="352">
        <v>2.29</v>
      </c>
      <c r="D53" s="353"/>
      <c r="E53" s="345">
        <v>105432</v>
      </c>
      <c r="F53" s="346">
        <f t="shared" si="3"/>
        <v>0</v>
      </c>
      <c r="G53" s="356">
        <v>13.3</v>
      </c>
      <c r="H53" s="355">
        <v>44</v>
      </c>
      <c r="I53" s="356">
        <v>1</v>
      </c>
      <c r="J53" s="356"/>
      <c r="K53" s="357"/>
    </row>
    <row r="54" spans="1:11">
      <c r="A54" s="358"/>
      <c r="B54" s="351" t="s">
        <v>2562</v>
      </c>
      <c r="C54" s="352">
        <v>2.87</v>
      </c>
      <c r="D54" s="353"/>
      <c r="E54" s="345">
        <v>123864</v>
      </c>
      <c r="F54" s="346">
        <f t="shared" si="3"/>
        <v>0</v>
      </c>
      <c r="G54" s="356">
        <v>16.399999999999999</v>
      </c>
      <c r="H54" s="355">
        <v>44</v>
      </c>
      <c r="I54" s="356">
        <v>1</v>
      </c>
      <c r="J54" s="356"/>
      <c r="K54" s="357"/>
    </row>
    <row r="55" spans="1:11">
      <c r="A55" s="358"/>
      <c r="B55" s="351" t="s">
        <v>476</v>
      </c>
      <c r="C55" s="352">
        <v>3.5</v>
      </c>
      <c r="D55" s="353"/>
      <c r="E55" s="345">
        <v>157905</v>
      </c>
      <c r="F55" s="346">
        <f t="shared" si="3"/>
        <v>0</v>
      </c>
      <c r="G55" s="356">
        <v>19.899999999999999</v>
      </c>
      <c r="H55" s="355">
        <v>44</v>
      </c>
      <c r="I55" s="356">
        <v>1</v>
      </c>
      <c r="J55" s="356"/>
      <c r="K55" s="357"/>
    </row>
    <row r="56" spans="1:11">
      <c r="A56" s="359"/>
      <c r="B56" s="351" t="s">
        <v>477</v>
      </c>
      <c r="C56" s="364">
        <v>5</v>
      </c>
      <c r="D56" s="353"/>
      <c r="E56" s="345">
        <v>262494</v>
      </c>
      <c r="F56" s="346">
        <f t="shared" si="3"/>
        <v>0</v>
      </c>
      <c r="G56" s="356">
        <v>29.4</v>
      </c>
      <c r="H56" s="355">
        <v>44</v>
      </c>
      <c r="I56" s="356">
        <v>1</v>
      </c>
      <c r="J56" s="356"/>
      <c r="K56" s="357"/>
    </row>
    <row r="57" spans="1:11">
      <c r="A57" s="360" t="s">
        <v>478</v>
      </c>
      <c r="B57" s="351" t="s">
        <v>479</v>
      </c>
      <c r="C57" s="362" t="s">
        <v>480</v>
      </c>
      <c r="D57" s="353">
        <v>89083</v>
      </c>
      <c r="E57" s="345">
        <f t="shared" ref="E57:E65" si="4">F57</f>
        <v>103131</v>
      </c>
      <c r="F57" s="346">
        <f t="shared" si="3"/>
        <v>103131</v>
      </c>
      <c r="G57" s="356">
        <v>19.5</v>
      </c>
      <c r="H57" s="355">
        <v>22</v>
      </c>
      <c r="I57" s="356">
        <v>1</v>
      </c>
      <c r="J57" s="356"/>
      <c r="K57" s="357"/>
    </row>
    <row r="58" spans="1:11">
      <c r="A58" s="358" t="s">
        <v>481</v>
      </c>
      <c r="B58" s="351" t="s">
        <v>482</v>
      </c>
      <c r="C58" s="352">
        <v>11.5</v>
      </c>
      <c r="D58" s="353">
        <v>165718</v>
      </c>
      <c r="E58" s="345">
        <f t="shared" si="4"/>
        <v>191851</v>
      </c>
      <c r="F58" s="346">
        <f t="shared" si="3"/>
        <v>191851</v>
      </c>
      <c r="G58" s="356">
        <v>41.6</v>
      </c>
      <c r="H58" s="355">
        <v>22</v>
      </c>
      <c r="I58" s="356">
        <v>1</v>
      </c>
      <c r="J58" s="356"/>
      <c r="K58" s="357"/>
    </row>
    <row r="59" spans="1:11">
      <c r="A59" s="358" t="s">
        <v>483</v>
      </c>
      <c r="B59" s="351" t="s">
        <v>484</v>
      </c>
      <c r="C59" s="352">
        <v>16.100000000000001</v>
      </c>
      <c r="D59" s="353">
        <v>219356</v>
      </c>
      <c r="E59" s="345">
        <f t="shared" si="4"/>
        <v>253948</v>
      </c>
      <c r="F59" s="346">
        <f t="shared" si="3"/>
        <v>253948</v>
      </c>
      <c r="G59" s="356">
        <v>53.6</v>
      </c>
      <c r="H59" s="355">
        <v>22</v>
      </c>
      <c r="I59" s="356">
        <v>1</v>
      </c>
      <c r="J59" s="356"/>
      <c r="K59" s="357"/>
    </row>
    <row r="60" spans="1:11">
      <c r="A60" s="359"/>
      <c r="B60" s="351" t="s">
        <v>485</v>
      </c>
      <c r="C60" s="352">
        <v>20.6</v>
      </c>
      <c r="D60" s="353">
        <v>277553</v>
      </c>
      <c r="E60" s="345">
        <f t="shared" si="4"/>
        <v>321323</v>
      </c>
      <c r="F60" s="346">
        <f t="shared" si="3"/>
        <v>321323</v>
      </c>
      <c r="G60" s="356">
        <v>63</v>
      </c>
      <c r="H60" s="355">
        <v>22</v>
      </c>
      <c r="I60" s="356">
        <v>1</v>
      </c>
      <c r="J60" s="356"/>
      <c r="K60" s="357"/>
    </row>
    <row r="61" spans="1:11">
      <c r="A61" s="360" t="s">
        <v>486</v>
      </c>
      <c r="B61" s="351" t="s">
        <v>487</v>
      </c>
      <c r="C61" s="362" t="s">
        <v>480</v>
      </c>
      <c r="D61" s="353">
        <v>27767</v>
      </c>
      <c r="E61" s="345">
        <f t="shared" si="4"/>
        <v>32145</v>
      </c>
      <c r="F61" s="346">
        <f t="shared" si="3"/>
        <v>32145</v>
      </c>
      <c r="G61" s="356"/>
      <c r="H61" s="355"/>
      <c r="I61" s="356"/>
      <c r="J61" s="356"/>
      <c r="K61" s="357"/>
    </row>
    <row r="62" spans="1:11">
      <c r="A62" s="358" t="s">
        <v>481</v>
      </c>
      <c r="B62" s="351" t="s">
        <v>488</v>
      </c>
      <c r="C62" s="352">
        <v>9.1999999999999993</v>
      </c>
      <c r="D62" s="353">
        <v>36140</v>
      </c>
      <c r="E62" s="345">
        <f t="shared" si="4"/>
        <v>41839</v>
      </c>
      <c r="F62" s="346">
        <f t="shared" si="3"/>
        <v>41839</v>
      </c>
      <c r="G62" s="356"/>
      <c r="H62" s="355"/>
      <c r="I62" s="356"/>
      <c r="J62" s="356"/>
      <c r="K62" s="357"/>
    </row>
    <row r="63" spans="1:11">
      <c r="A63" s="358" t="s">
        <v>489</v>
      </c>
      <c r="B63" s="351" t="s">
        <v>490</v>
      </c>
      <c r="C63" s="352">
        <v>10.7</v>
      </c>
      <c r="D63" s="353">
        <v>48398</v>
      </c>
      <c r="E63" s="345">
        <f t="shared" si="4"/>
        <v>56030</v>
      </c>
      <c r="F63" s="346">
        <f t="shared" si="3"/>
        <v>56030</v>
      </c>
      <c r="G63" s="356"/>
      <c r="H63" s="355"/>
      <c r="I63" s="356"/>
      <c r="J63" s="356"/>
      <c r="K63" s="357"/>
    </row>
    <row r="64" spans="1:11">
      <c r="A64" s="358"/>
      <c r="B64" s="351" t="s">
        <v>1961</v>
      </c>
      <c r="C64" s="352" t="s">
        <v>1962</v>
      </c>
      <c r="D64" s="353">
        <v>67250</v>
      </c>
      <c r="E64" s="345">
        <f t="shared" si="4"/>
        <v>77855</v>
      </c>
      <c r="F64" s="346">
        <f t="shared" si="3"/>
        <v>77855</v>
      </c>
      <c r="G64" s="356"/>
      <c r="H64" s="355"/>
      <c r="I64" s="356"/>
      <c r="J64" s="356"/>
      <c r="K64" s="357"/>
    </row>
    <row r="65" spans="1:11">
      <c r="A65" s="359"/>
      <c r="B65" s="351" t="s">
        <v>1963</v>
      </c>
      <c r="C65" s="352">
        <v>20.6</v>
      </c>
      <c r="D65" s="353">
        <v>95533</v>
      </c>
      <c r="E65" s="345">
        <f t="shared" si="4"/>
        <v>110598</v>
      </c>
      <c r="F65" s="346">
        <f t="shared" si="3"/>
        <v>110598</v>
      </c>
      <c r="G65" s="356"/>
      <c r="H65" s="355"/>
      <c r="I65" s="356"/>
      <c r="J65" s="356"/>
      <c r="K65" s="357"/>
    </row>
    <row r="66" spans="1:11">
      <c r="A66" s="360" t="s">
        <v>3114</v>
      </c>
      <c r="B66" s="351" t="s">
        <v>1955</v>
      </c>
      <c r="C66" s="362" t="s">
        <v>2394</v>
      </c>
      <c r="D66" s="353"/>
      <c r="E66" s="345">
        <v>232010</v>
      </c>
      <c r="F66" s="346">
        <f t="shared" si="3"/>
        <v>0</v>
      </c>
      <c r="G66" s="356">
        <v>16.2</v>
      </c>
      <c r="H66" s="355">
        <v>39</v>
      </c>
      <c r="I66" s="356">
        <v>1</v>
      </c>
      <c r="J66" s="356"/>
      <c r="K66" s="357"/>
    </row>
    <row r="67" spans="1:11">
      <c r="A67" s="612" t="s">
        <v>3796</v>
      </c>
      <c r="B67" s="351" t="s">
        <v>1956</v>
      </c>
      <c r="C67" s="362" t="s">
        <v>2395</v>
      </c>
      <c r="D67" s="353"/>
      <c r="E67" s="345">
        <v>146720</v>
      </c>
      <c r="F67" s="346">
        <f t="shared" si="3"/>
        <v>0</v>
      </c>
      <c r="G67" s="356">
        <v>16.2</v>
      </c>
      <c r="H67" s="355">
        <v>113</v>
      </c>
      <c r="I67" s="356">
        <v>1</v>
      </c>
      <c r="J67" s="356"/>
      <c r="K67" s="357"/>
    </row>
    <row r="68" spans="1:11">
      <c r="A68" s="360" t="s">
        <v>1957</v>
      </c>
      <c r="B68" s="351" t="s">
        <v>1958</v>
      </c>
      <c r="C68" s="352" t="s">
        <v>1959</v>
      </c>
      <c r="D68" s="353"/>
      <c r="E68" s="345">
        <v>19192</v>
      </c>
      <c r="F68" s="346">
        <f t="shared" si="3"/>
        <v>0</v>
      </c>
      <c r="G68" s="356">
        <v>2.9</v>
      </c>
      <c r="H68" s="355">
        <v>38</v>
      </c>
      <c r="I68" s="356">
        <v>1</v>
      </c>
      <c r="J68" s="356"/>
      <c r="K68" s="357"/>
    </row>
    <row r="69" spans="1:11">
      <c r="A69" s="358" t="s">
        <v>1960</v>
      </c>
      <c r="B69" s="351" t="s">
        <v>1330</v>
      </c>
      <c r="C69" s="352">
        <v>4.5</v>
      </c>
      <c r="D69" s="353"/>
      <c r="E69" s="345">
        <v>22406</v>
      </c>
      <c r="F69" s="346">
        <f t="shared" si="3"/>
        <v>0</v>
      </c>
      <c r="G69" s="356">
        <v>5</v>
      </c>
      <c r="H69" s="355">
        <v>38</v>
      </c>
      <c r="I69" s="356">
        <v>1</v>
      </c>
      <c r="J69" s="356"/>
      <c r="K69" s="357"/>
    </row>
    <row r="70" spans="1:11">
      <c r="A70" s="358"/>
      <c r="B70" s="351" t="s">
        <v>1331</v>
      </c>
      <c r="C70" s="364">
        <v>6</v>
      </c>
      <c r="D70" s="353"/>
      <c r="E70" s="345">
        <v>24484</v>
      </c>
      <c r="F70" s="346">
        <f t="shared" si="3"/>
        <v>0</v>
      </c>
      <c r="G70" s="356">
        <v>8</v>
      </c>
      <c r="H70" s="355">
        <v>38</v>
      </c>
      <c r="I70" s="356">
        <v>1</v>
      </c>
      <c r="J70" s="356"/>
      <c r="K70" s="357"/>
    </row>
    <row r="71" spans="1:11">
      <c r="A71" s="358"/>
      <c r="B71" s="351" t="s">
        <v>1332</v>
      </c>
      <c r="C71" s="364">
        <v>8</v>
      </c>
      <c r="D71" s="353"/>
      <c r="E71" s="345">
        <v>32646</v>
      </c>
      <c r="F71" s="346">
        <f t="shared" si="3"/>
        <v>0</v>
      </c>
      <c r="G71" s="356">
        <v>9.3000000000000007</v>
      </c>
      <c r="H71" s="355">
        <v>38</v>
      </c>
      <c r="I71" s="356">
        <v>1</v>
      </c>
      <c r="J71" s="356"/>
      <c r="K71" s="357"/>
    </row>
    <row r="72" spans="1:11">
      <c r="A72" s="358"/>
      <c r="B72" s="351" t="s">
        <v>1333</v>
      </c>
      <c r="C72" s="352">
        <v>10.5</v>
      </c>
      <c r="D72" s="353"/>
      <c r="E72" s="345">
        <v>46125</v>
      </c>
      <c r="F72" s="346">
        <f t="shared" si="3"/>
        <v>0</v>
      </c>
      <c r="G72" s="356">
        <v>14.1</v>
      </c>
      <c r="H72" s="355">
        <v>38</v>
      </c>
      <c r="I72" s="356">
        <v>1</v>
      </c>
      <c r="J72" s="356"/>
      <c r="K72" s="357"/>
    </row>
    <row r="73" spans="1:11">
      <c r="A73" s="358"/>
      <c r="B73" s="351" t="s">
        <v>1334</v>
      </c>
      <c r="C73" s="364">
        <v>15</v>
      </c>
      <c r="D73" s="353"/>
      <c r="E73" s="345">
        <v>78101</v>
      </c>
      <c r="F73" s="346">
        <f t="shared" si="3"/>
        <v>0</v>
      </c>
      <c r="G73" s="356">
        <v>15.9</v>
      </c>
      <c r="H73" s="355">
        <v>38</v>
      </c>
      <c r="I73" s="356">
        <v>1</v>
      </c>
      <c r="J73" s="356"/>
      <c r="K73" s="357"/>
    </row>
    <row r="74" spans="1:11">
      <c r="A74" s="358"/>
      <c r="B74" s="351" t="s">
        <v>1335</v>
      </c>
      <c r="C74" s="364">
        <v>20</v>
      </c>
      <c r="D74" s="353"/>
      <c r="E74" s="345">
        <v>111177</v>
      </c>
      <c r="F74" s="346">
        <f t="shared" si="3"/>
        <v>0</v>
      </c>
      <c r="G74" s="356">
        <v>20</v>
      </c>
      <c r="H74" s="355">
        <v>38</v>
      </c>
      <c r="I74" s="356">
        <v>1</v>
      </c>
      <c r="J74" s="356"/>
      <c r="K74" s="357"/>
    </row>
    <row r="75" spans="1:11">
      <c r="A75" s="358"/>
      <c r="B75" s="351" t="s">
        <v>1336</v>
      </c>
      <c r="C75" s="364">
        <v>24</v>
      </c>
      <c r="D75" s="353"/>
      <c r="E75" s="345">
        <v>130937</v>
      </c>
      <c r="F75" s="346">
        <f t="shared" si="3"/>
        <v>0</v>
      </c>
      <c r="G75" s="356">
        <v>23</v>
      </c>
      <c r="H75" s="355">
        <v>38</v>
      </c>
      <c r="I75" s="356">
        <v>1</v>
      </c>
      <c r="J75" s="356"/>
      <c r="K75" s="357"/>
    </row>
    <row r="76" spans="1:11">
      <c r="A76" s="359"/>
      <c r="B76" s="351" t="s">
        <v>1337</v>
      </c>
      <c r="C76" s="364">
        <v>32</v>
      </c>
      <c r="D76" s="353"/>
      <c r="E76" s="345">
        <v>184276</v>
      </c>
      <c r="F76" s="346">
        <v>0</v>
      </c>
      <c r="G76" s="356">
        <v>29.1</v>
      </c>
      <c r="H76" s="355">
        <v>38</v>
      </c>
      <c r="I76" s="356">
        <v>1</v>
      </c>
      <c r="J76" s="356"/>
      <c r="K76" s="357"/>
    </row>
    <row r="77" spans="1:11">
      <c r="A77" s="360" t="s">
        <v>3223</v>
      </c>
      <c r="B77" s="371" t="s">
        <v>1338</v>
      </c>
      <c r="C77" s="364" t="s">
        <v>1339</v>
      </c>
      <c r="D77" s="353"/>
      <c r="E77" s="345">
        <v>1250</v>
      </c>
      <c r="F77" s="346">
        <f t="shared" si="3"/>
        <v>0</v>
      </c>
      <c r="G77" s="356"/>
      <c r="H77" s="355"/>
      <c r="I77" s="356"/>
      <c r="J77" s="356"/>
      <c r="K77" s="357"/>
    </row>
    <row r="78" spans="1:11">
      <c r="A78" s="342" t="s">
        <v>3224</v>
      </c>
      <c r="B78" s="371" t="s">
        <v>3226</v>
      </c>
      <c r="C78" s="364" t="s">
        <v>3227</v>
      </c>
      <c r="D78" s="353"/>
      <c r="E78" s="345">
        <v>1350</v>
      </c>
      <c r="F78" s="346">
        <f t="shared" si="3"/>
        <v>0</v>
      </c>
      <c r="G78" s="356"/>
      <c r="H78" s="355"/>
      <c r="I78" s="356"/>
      <c r="J78" s="356"/>
      <c r="K78" s="357"/>
    </row>
    <row r="79" spans="1:11">
      <c r="A79" s="367"/>
      <c r="B79" s="371" t="s">
        <v>3225</v>
      </c>
      <c r="C79" s="364" t="s">
        <v>3228</v>
      </c>
      <c r="D79" s="353"/>
      <c r="E79" s="345">
        <v>1450</v>
      </c>
      <c r="F79" s="346">
        <f t="shared" si="3"/>
        <v>0</v>
      </c>
      <c r="G79" s="356"/>
      <c r="H79" s="355"/>
      <c r="I79" s="356"/>
      <c r="J79" s="356"/>
      <c r="K79" s="357"/>
    </row>
    <row r="80" spans="1:11">
      <c r="A80" s="372">
        <v>1106</v>
      </c>
      <c r="B80" s="351" t="s">
        <v>1340</v>
      </c>
      <c r="C80" s="352" t="s">
        <v>1344</v>
      </c>
      <c r="D80" s="353">
        <v>43456</v>
      </c>
      <c r="E80" s="345">
        <f t="shared" ref="E80:E92" si="5">F80</f>
        <v>50309</v>
      </c>
      <c r="F80" s="346">
        <f t="shared" si="3"/>
        <v>50309</v>
      </c>
      <c r="G80" s="356">
        <v>7.6</v>
      </c>
      <c r="H80" s="355">
        <v>18</v>
      </c>
      <c r="I80" s="356">
        <v>1</v>
      </c>
      <c r="J80" s="356"/>
      <c r="K80" s="357"/>
    </row>
    <row r="81" spans="1:11">
      <c r="A81" s="358" t="s">
        <v>3797</v>
      </c>
      <c r="B81" s="351" t="s">
        <v>1441</v>
      </c>
      <c r="C81" s="373">
        <v>35715</v>
      </c>
      <c r="D81" s="353">
        <v>54255</v>
      </c>
      <c r="E81" s="345">
        <f t="shared" si="5"/>
        <v>62811</v>
      </c>
      <c r="F81" s="346">
        <f t="shared" si="3"/>
        <v>62811</v>
      </c>
      <c r="G81" s="356">
        <v>9.3000000000000007</v>
      </c>
      <c r="H81" s="355">
        <v>18</v>
      </c>
      <c r="I81" s="356">
        <v>1</v>
      </c>
      <c r="J81" s="356"/>
      <c r="K81" s="357"/>
    </row>
    <row r="82" spans="1:11">
      <c r="A82" s="359" t="s">
        <v>483</v>
      </c>
      <c r="B82" s="351" t="s">
        <v>1442</v>
      </c>
      <c r="C82" s="373">
        <v>35779</v>
      </c>
      <c r="D82" s="353">
        <v>60853</v>
      </c>
      <c r="E82" s="345">
        <f t="shared" si="5"/>
        <v>70449</v>
      </c>
      <c r="F82" s="346">
        <f t="shared" si="3"/>
        <v>70449</v>
      </c>
      <c r="G82" s="356">
        <v>10.9</v>
      </c>
      <c r="H82" s="355">
        <v>18</v>
      </c>
      <c r="I82" s="356">
        <v>1</v>
      </c>
      <c r="J82" s="356"/>
      <c r="K82" s="357"/>
    </row>
    <row r="83" spans="1:11">
      <c r="A83" s="372">
        <v>1206</v>
      </c>
      <c r="B83" s="351" t="s">
        <v>1443</v>
      </c>
      <c r="C83" s="352" t="s">
        <v>1444</v>
      </c>
      <c r="D83" s="353">
        <v>35617</v>
      </c>
      <c r="E83" s="345">
        <f t="shared" si="5"/>
        <v>41233</v>
      </c>
      <c r="F83" s="346">
        <f t="shared" si="3"/>
        <v>41233</v>
      </c>
      <c r="G83" s="356">
        <v>5</v>
      </c>
      <c r="H83" s="355">
        <v>18</v>
      </c>
      <c r="I83" s="356">
        <v>1</v>
      </c>
      <c r="J83" s="356"/>
      <c r="K83" s="357"/>
    </row>
    <row r="84" spans="1:11">
      <c r="A84" s="358" t="s">
        <v>3798</v>
      </c>
      <c r="B84" s="351" t="s">
        <v>1445</v>
      </c>
      <c r="C84" s="374">
        <v>35652</v>
      </c>
      <c r="D84" s="353">
        <v>42970</v>
      </c>
      <c r="E84" s="345">
        <f t="shared" si="5"/>
        <v>49746</v>
      </c>
      <c r="F84" s="346">
        <f t="shared" si="3"/>
        <v>49746</v>
      </c>
      <c r="G84" s="356">
        <v>6.8</v>
      </c>
      <c r="H84" s="355">
        <v>18</v>
      </c>
      <c r="I84" s="356">
        <v>1</v>
      </c>
      <c r="J84" s="356"/>
      <c r="K84" s="357"/>
    </row>
    <row r="85" spans="1:11">
      <c r="A85" s="367" t="s">
        <v>483</v>
      </c>
      <c r="B85" s="351" t="s">
        <v>1446</v>
      </c>
      <c r="C85" s="374">
        <v>35717</v>
      </c>
      <c r="D85" s="353">
        <v>49555</v>
      </c>
      <c r="E85" s="345">
        <f t="shared" si="5"/>
        <v>57369</v>
      </c>
      <c r="F85" s="346">
        <f t="shared" si="3"/>
        <v>57369</v>
      </c>
      <c r="G85" s="356">
        <v>8.4</v>
      </c>
      <c r="H85" s="355">
        <v>18</v>
      </c>
      <c r="I85" s="356">
        <v>1</v>
      </c>
      <c r="J85" s="356"/>
      <c r="K85" s="357"/>
    </row>
    <row r="86" spans="1:11">
      <c r="A86" s="372">
        <v>1209</v>
      </c>
      <c r="B86" s="361" t="s">
        <v>1447</v>
      </c>
      <c r="C86" s="374" t="s">
        <v>1448</v>
      </c>
      <c r="D86" s="353">
        <v>8400</v>
      </c>
      <c r="E86" s="345">
        <f t="shared" si="5"/>
        <v>9724</v>
      </c>
      <c r="F86" s="346">
        <f t="shared" si="3"/>
        <v>9724</v>
      </c>
      <c r="G86" s="356">
        <v>2.5</v>
      </c>
      <c r="H86" s="355">
        <v>8</v>
      </c>
      <c r="I86" s="356">
        <v>1</v>
      </c>
      <c r="J86" s="356"/>
      <c r="K86" s="357"/>
    </row>
    <row r="87" spans="1:11">
      <c r="A87" s="358" t="s">
        <v>3798</v>
      </c>
      <c r="B87" s="351" t="s">
        <v>1449</v>
      </c>
      <c r="C87" s="375">
        <v>2</v>
      </c>
      <c r="D87" s="353">
        <v>15157</v>
      </c>
      <c r="E87" s="345">
        <f t="shared" si="5"/>
        <v>17547</v>
      </c>
      <c r="F87" s="346">
        <f t="shared" si="3"/>
        <v>17547</v>
      </c>
      <c r="G87" s="356">
        <v>4.0999999999999996</v>
      </c>
      <c r="H87" s="355">
        <v>8</v>
      </c>
      <c r="I87" s="356">
        <v>1</v>
      </c>
      <c r="J87" s="356"/>
      <c r="K87" s="357"/>
    </row>
    <row r="88" spans="1:11">
      <c r="A88" s="358" t="s">
        <v>1450</v>
      </c>
      <c r="B88" s="351" t="s">
        <v>1451</v>
      </c>
      <c r="C88" s="375">
        <v>4</v>
      </c>
      <c r="D88" s="353">
        <v>32382</v>
      </c>
      <c r="E88" s="345">
        <f t="shared" si="5"/>
        <v>37488</v>
      </c>
      <c r="F88" s="346">
        <f t="shared" si="3"/>
        <v>37488</v>
      </c>
      <c r="G88" s="356">
        <v>8.1999999999999993</v>
      </c>
      <c r="H88" s="355">
        <v>8</v>
      </c>
      <c r="I88" s="356">
        <v>1</v>
      </c>
      <c r="J88" s="356"/>
      <c r="K88" s="357"/>
    </row>
    <row r="89" spans="1:11">
      <c r="A89" s="358"/>
      <c r="B89" s="351" t="s">
        <v>1452</v>
      </c>
      <c r="C89" s="375">
        <v>6</v>
      </c>
      <c r="D89" s="353">
        <v>51926</v>
      </c>
      <c r="E89" s="345">
        <f t="shared" si="5"/>
        <v>60114</v>
      </c>
      <c r="F89" s="346">
        <f t="shared" si="3"/>
        <v>60114</v>
      </c>
      <c r="G89" s="356">
        <v>10.199999999999999</v>
      </c>
      <c r="H89" s="355">
        <v>8</v>
      </c>
      <c r="I89" s="356">
        <v>1</v>
      </c>
      <c r="J89" s="356"/>
      <c r="K89" s="357"/>
    </row>
    <row r="90" spans="1:11">
      <c r="A90" s="358"/>
      <c r="B90" s="351" t="s">
        <v>2115</v>
      </c>
      <c r="C90" s="375">
        <v>7</v>
      </c>
      <c r="D90" s="353">
        <v>61144</v>
      </c>
      <c r="E90" s="345">
        <f t="shared" si="5"/>
        <v>70786</v>
      </c>
      <c r="F90" s="346">
        <f t="shared" si="3"/>
        <v>70786</v>
      </c>
      <c r="G90" s="356">
        <v>11.2</v>
      </c>
      <c r="H90" s="355">
        <v>8</v>
      </c>
      <c r="I90" s="356">
        <v>1</v>
      </c>
      <c r="J90" s="356"/>
      <c r="K90" s="357"/>
    </row>
    <row r="91" spans="1:11">
      <c r="A91" s="358"/>
      <c r="B91" s="351" t="s">
        <v>2116</v>
      </c>
      <c r="C91" s="375">
        <v>8</v>
      </c>
      <c r="D91" s="353">
        <v>64768</v>
      </c>
      <c r="E91" s="345">
        <f t="shared" si="5"/>
        <v>74981</v>
      </c>
      <c r="F91" s="346">
        <f t="shared" si="3"/>
        <v>74981</v>
      </c>
      <c r="G91" s="356">
        <v>11.2</v>
      </c>
      <c r="H91" s="355">
        <v>8</v>
      </c>
      <c r="I91" s="356">
        <v>1</v>
      </c>
      <c r="J91" s="356"/>
      <c r="K91" s="357"/>
    </row>
    <row r="92" spans="1:11">
      <c r="A92" s="359"/>
      <c r="B92" s="351" t="s">
        <v>2117</v>
      </c>
      <c r="C92" s="375">
        <v>13</v>
      </c>
      <c r="D92" s="353">
        <v>108180</v>
      </c>
      <c r="E92" s="345">
        <f t="shared" si="5"/>
        <v>125239</v>
      </c>
      <c r="F92" s="346">
        <f t="shared" si="3"/>
        <v>125239</v>
      </c>
      <c r="G92" s="356">
        <v>16.8</v>
      </c>
      <c r="H92" s="355">
        <v>8</v>
      </c>
      <c r="I92" s="356">
        <v>1</v>
      </c>
      <c r="J92" s="356"/>
      <c r="K92" s="357"/>
    </row>
    <row r="93" spans="1:11">
      <c r="A93" s="365" t="s">
        <v>3799</v>
      </c>
      <c r="B93" s="361" t="s">
        <v>2118</v>
      </c>
      <c r="C93" s="364" t="s">
        <v>2119</v>
      </c>
      <c r="D93" s="353"/>
      <c r="E93" s="345">
        <v>5670</v>
      </c>
      <c r="F93" s="346">
        <f t="shared" si="3"/>
        <v>0</v>
      </c>
      <c r="G93" s="356">
        <v>2.2000000000000002</v>
      </c>
      <c r="H93" s="355">
        <v>13</v>
      </c>
      <c r="I93" s="356">
        <v>1</v>
      </c>
      <c r="J93" s="356"/>
      <c r="K93" s="357"/>
    </row>
    <row r="94" spans="1:11">
      <c r="A94" s="360">
        <v>1306</v>
      </c>
      <c r="B94" s="361" t="s">
        <v>2120</v>
      </c>
      <c r="C94" s="364" t="s">
        <v>1959</v>
      </c>
      <c r="D94" s="353"/>
      <c r="E94" s="345">
        <v>14736</v>
      </c>
      <c r="F94" s="346">
        <f t="shared" si="3"/>
        <v>0</v>
      </c>
      <c r="G94" s="356">
        <v>2.2999999999999998</v>
      </c>
      <c r="H94" s="355">
        <v>13</v>
      </c>
      <c r="I94" s="356">
        <v>1</v>
      </c>
      <c r="J94" s="356"/>
      <c r="K94" s="357"/>
    </row>
    <row r="95" spans="1:11">
      <c r="A95" s="358" t="s">
        <v>3800</v>
      </c>
      <c r="B95" s="351" t="s">
        <v>2122</v>
      </c>
      <c r="C95" s="364">
        <v>4.4000000000000004</v>
      </c>
      <c r="D95" s="353"/>
      <c r="E95" s="345">
        <v>17242</v>
      </c>
      <c r="F95" s="346">
        <f t="shared" si="3"/>
        <v>0</v>
      </c>
      <c r="G95" s="356">
        <v>3.2</v>
      </c>
      <c r="H95" s="355">
        <v>13</v>
      </c>
      <c r="I95" s="356">
        <v>1</v>
      </c>
      <c r="J95" s="356"/>
      <c r="K95" s="357"/>
    </row>
    <row r="96" spans="1:11">
      <c r="A96" s="358" t="s">
        <v>483</v>
      </c>
      <c r="B96" s="351" t="s">
        <v>2123</v>
      </c>
      <c r="C96" s="375">
        <v>6</v>
      </c>
      <c r="D96" s="376">
        <v>46577</v>
      </c>
      <c r="E96" s="345">
        <f t="shared" ref="E96:E155" si="6">F96</f>
        <v>53922</v>
      </c>
      <c r="F96" s="346">
        <f t="shared" si="3"/>
        <v>53922</v>
      </c>
      <c r="G96" s="356">
        <v>11.6</v>
      </c>
      <c r="H96" s="355">
        <v>30</v>
      </c>
      <c r="I96" s="356">
        <v>1</v>
      </c>
      <c r="J96" s="356"/>
      <c r="K96" s="357"/>
    </row>
    <row r="97" spans="1:11">
      <c r="A97" s="359"/>
      <c r="B97" s="351" t="s">
        <v>2124</v>
      </c>
      <c r="C97" s="375">
        <v>10</v>
      </c>
      <c r="D97" s="376">
        <v>71553</v>
      </c>
      <c r="E97" s="345">
        <f t="shared" si="6"/>
        <v>82836</v>
      </c>
      <c r="F97" s="346">
        <f t="shared" si="3"/>
        <v>82836</v>
      </c>
      <c r="G97" s="356">
        <v>14.4</v>
      </c>
      <c r="H97" s="355">
        <v>30</v>
      </c>
      <c r="I97" s="356">
        <v>1</v>
      </c>
      <c r="J97" s="356"/>
      <c r="K97" s="357"/>
    </row>
    <row r="98" spans="1:11" ht="14.25">
      <c r="A98" s="372">
        <v>1307</v>
      </c>
      <c r="B98" s="351" t="s">
        <v>2125</v>
      </c>
      <c r="C98" s="364" t="s">
        <v>1448</v>
      </c>
      <c r="D98" s="353">
        <v>11940</v>
      </c>
      <c r="E98" s="345">
        <f t="shared" si="6"/>
        <v>13822</v>
      </c>
      <c r="F98" s="346">
        <f t="shared" si="3"/>
        <v>13822</v>
      </c>
      <c r="G98" s="355"/>
      <c r="H98" s="356"/>
      <c r="I98" s="377"/>
      <c r="J98" s="356"/>
      <c r="K98" s="357"/>
    </row>
    <row r="99" spans="1:11">
      <c r="A99" s="358" t="s">
        <v>3800</v>
      </c>
      <c r="B99" s="351" t="s">
        <v>1477</v>
      </c>
      <c r="C99" s="375">
        <v>2</v>
      </c>
      <c r="D99" s="353">
        <v>13818</v>
      </c>
      <c r="E99" s="345">
        <f t="shared" si="6"/>
        <v>15997</v>
      </c>
      <c r="F99" s="346">
        <f t="shared" si="3"/>
        <v>15997</v>
      </c>
      <c r="G99" s="356"/>
      <c r="H99" s="355"/>
      <c r="I99" s="356"/>
      <c r="J99" s="356"/>
      <c r="K99" s="357"/>
    </row>
    <row r="100" spans="1:11">
      <c r="A100" s="378" t="s">
        <v>489</v>
      </c>
      <c r="B100" s="351" t="s">
        <v>1478</v>
      </c>
      <c r="C100" s="375">
        <v>3</v>
      </c>
      <c r="D100" s="353">
        <v>24549</v>
      </c>
      <c r="E100" s="345">
        <f t="shared" si="6"/>
        <v>28420</v>
      </c>
      <c r="F100" s="346">
        <f t="shared" si="3"/>
        <v>28420</v>
      </c>
      <c r="G100" s="379"/>
      <c r="H100" s="355"/>
      <c r="I100" s="379"/>
      <c r="J100" s="379"/>
      <c r="K100" s="380"/>
    </row>
    <row r="101" spans="1:11">
      <c r="A101" s="378"/>
      <c r="B101" s="351" t="s">
        <v>1479</v>
      </c>
      <c r="C101" s="375">
        <v>4</v>
      </c>
      <c r="D101" s="353">
        <v>26016</v>
      </c>
      <c r="E101" s="345">
        <f t="shared" si="6"/>
        <v>30118</v>
      </c>
      <c r="F101" s="346">
        <f t="shared" si="3"/>
        <v>30118</v>
      </c>
      <c r="G101" s="379"/>
      <c r="H101" s="355"/>
      <c r="I101" s="379"/>
      <c r="J101" s="379"/>
      <c r="K101" s="380"/>
    </row>
    <row r="102" spans="1:11">
      <c r="A102" s="378"/>
      <c r="B102" s="351" t="s">
        <v>1480</v>
      </c>
      <c r="C102" s="375">
        <v>5</v>
      </c>
      <c r="D102" s="353">
        <v>31603</v>
      </c>
      <c r="E102" s="345">
        <f t="shared" si="6"/>
        <v>36586</v>
      </c>
      <c r="F102" s="346">
        <f t="shared" si="3"/>
        <v>36586</v>
      </c>
      <c r="G102" s="379"/>
      <c r="H102" s="355"/>
      <c r="I102" s="379"/>
      <c r="J102" s="379"/>
      <c r="K102" s="380"/>
    </row>
    <row r="103" spans="1:11">
      <c r="A103" s="378"/>
      <c r="B103" s="351" t="s">
        <v>1481</v>
      </c>
      <c r="C103" s="375">
        <v>6</v>
      </c>
      <c r="D103" s="353">
        <v>33714</v>
      </c>
      <c r="E103" s="345">
        <f t="shared" si="6"/>
        <v>39030</v>
      </c>
      <c r="F103" s="346">
        <f t="shared" si="3"/>
        <v>39030</v>
      </c>
      <c r="G103" s="379"/>
      <c r="H103" s="355"/>
      <c r="I103" s="379"/>
      <c r="J103" s="379"/>
      <c r="K103" s="380"/>
    </row>
    <row r="104" spans="1:11">
      <c r="A104" s="378"/>
      <c r="B104" s="351" t="s">
        <v>1482</v>
      </c>
      <c r="C104" s="375">
        <v>8</v>
      </c>
      <c r="D104" s="353">
        <v>48069</v>
      </c>
      <c r="E104" s="345">
        <f t="shared" si="6"/>
        <v>55649</v>
      </c>
      <c r="F104" s="346">
        <f t="shared" si="3"/>
        <v>55649</v>
      </c>
      <c r="G104" s="379"/>
      <c r="H104" s="355"/>
      <c r="I104" s="379"/>
      <c r="J104" s="379"/>
      <c r="K104" s="380"/>
    </row>
    <row r="105" spans="1:11">
      <c r="A105" s="378"/>
      <c r="B105" s="351" t="s">
        <v>1483</v>
      </c>
      <c r="C105" s="375">
        <v>9</v>
      </c>
      <c r="D105" s="353">
        <v>56778</v>
      </c>
      <c r="E105" s="345">
        <f t="shared" si="6"/>
        <v>65731</v>
      </c>
      <c r="F105" s="346">
        <f t="shared" si="3"/>
        <v>65731</v>
      </c>
      <c r="G105" s="379"/>
      <c r="H105" s="355"/>
      <c r="I105" s="379"/>
      <c r="J105" s="379"/>
      <c r="K105" s="380"/>
    </row>
    <row r="106" spans="1:11">
      <c r="A106" s="378"/>
      <c r="B106" s="351" t="s">
        <v>1484</v>
      </c>
      <c r="C106" s="375">
        <v>10</v>
      </c>
      <c r="D106" s="353">
        <v>59840</v>
      </c>
      <c r="E106" s="345">
        <f t="shared" si="6"/>
        <v>69276</v>
      </c>
      <c r="F106" s="346">
        <f t="shared" si="3"/>
        <v>69276</v>
      </c>
      <c r="G106" s="379"/>
      <c r="H106" s="355"/>
      <c r="I106" s="379"/>
      <c r="J106" s="379"/>
      <c r="K106" s="380"/>
    </row>
    <row r="107" spans="1:11">
      <c r="A107" s="381"/>
      <c r="B107" s="351" t="s">
        <v>1485</v>
      </c>
      <c r="C107" s="375">
        <v>11</v>
      </c>
      <c r="D107" s="353">
        <v>67794</v>
      </c>
      <c r="E107" s="345">
        <f t="shared" si="6"/>
        <v>78485</v>
      </c>
      <c r="F107" s="346">
        <f t="shared" si="3"/>
        <v>78485</v>
      </c>
      <c r="G107" s="379"/>
      <c r="H107" s="355"/>
      <c r="I107" s="379"/>
      <c r="J107" s="379"/>
      <c r="K107" s="380"/>
    </row>
    <row r="108" spans="1:11">
      <c r="A108" s="360" t="s">
        <v>1486</v>
      </c>
      <c r="B108" s="351" t="s">
        <v>1487</v>
      </c>
      <c r="C108" s="375" t="s">
        <v>1444</v>
      </c>
      <c r="D108" s="353">
        <v>44816</v>
      </c>
      <c r="E108" s="345">
        <f t="shared" si="6"/>
        <v>51883</v>
      </c>
      <c r="F108" s="346">
        <f t="shared" ref="F108:F171" si="7">TRUNC(D108*$K$1/1000)</f>
        <v>51883</v>
      </c>
      <c r="G108" s="356">
        <v>4.9000000000000004</v>
      </c>
      <c r="H108" s="355">
        <v>23</v>
      </c>
      <c r="I108" s="356">
        <v>1</v>
      </c>
      <c r="J108" s="382"/>
      <c r="K108" s="357"/>
    </row>
    <row r="109" spans="1:11">
      <c r="A109" s="378" t="s">
        <v>3801</v>
      </c>
      <c r="B109" s="351" t="s">
        <v>1488</v>
      </c>
      <c r="C109" s="383" t="s">
        <v>1489</v>
      </c>
      <c r="D109" s="353">
        <v>70122</v>
      </c>
      <c r="E109" s="345">
        <f t="shared" si="6"/>
        <v>81180</v>
      </c>
      <c r="F109" s="346">
        <f t="shared" si="7"/>
        <v>81180</v>
      </c>
      <c r="G109" s="356">
        <v>8</v>
      </c>
      <c r="H109" s="355">
        <v>23</v>
      </c>
      <c r="I109" s="356">
        <v>1</v>
      </c>
      <c r="J109" s="382"/>
      <c r="K109" s="357"/>
    </row>
    <row r="110" spans="1:11">
      <c r="A110" s="381" t="s">
        <v>483</v>
      </c>
      <c r="B110" s="351" t="s">
        <v>1490</v>
      </c>
      <c r="C110" s="375" t="s">
        <v>1491</v>
      </c>
      <c r="D110" s="353">
        <v>98901</v>
      </c>
      <c r="E110" s="345">
        <f t="shared" si="6"/>
        <v>114497</v>
      </c>
      <c r="F110" s="346">
        <f t="shared" si="7"/>
        <v>114497</v>
      </c>
      <c r="G110" s="356">
        <v>10</v>
      </c>
      <c r="H110" s="355">
        <v>23</v>
      </c>
      <c r="I110" s="356">
        <v>1</v>
      </c>
      <c r="J110" s="382"/>
      <c r="K110" s="357"/>
    </row>
    <row r="111" spans="1:11">
      <c r="A111" s="360" t="s">
        <v>1492</v>
      </c>
      <c r="B111" s="351" t="s">
        <v>1493</v>
      </c>
      <c r="C111" s="375" t="s">
        <v>1448</v>
      </c>
      <c r="D111" s="353">
        <v>6800</v>
      </c>
      <c r="E111" s="345">
        <f t="shared" si="6"/>
        <v>7872</v>
      </c>
      <c r="F111" s="346">
        <f t="shared" si="7"/>
        <v>7872</v>
      </c>
      <c r="G111" s="382"/>
      <c r="H111" s="355"/>
      <c r="I111" s="356"/>
      <c r="J111" s="382"/>
      <c r="K111" s="357"/>
    </row>
    <row r="112" spans="1:11">
      <c r="A112" s="610" t="s">
        <v>3801</v>
      </c>
      <c r="B112" s="351" t="s">
        <v>1494</v>
      </c>
      <c r="C112" s="383">
        <v>2</v>
      </c>
      <c r="D112" s="353">
        <v>8384</v>
      </c>
      <c r="E112" s="345">
        <f t="shared" si="6"/>
        <v>9706</v>
      </c>
      <c r="F112" s="346">
        <f t="shared" si="7"/>
        <v>9706</v>
      </c>
      <c r="G112" s="382"/>
      <c r="H112" s="355"/>
      <c r="I112" s="356"/>
      <c r="J112" s="382"/>
      <c r="K112" s="357"/>
    </row>
    <row r="113" spans="1:11">
      <c r="A113" s="358" t="s">
        <v>489</v>
      </c>
      <c r="B113" s="351" t="s">
        <v>1495</v>
      </c>
      <c r="C113" s="375">
        <v>7</v>
      </c>
      <c r="D113" s="353">
        <v>24128</v>
      </c>
      <c r="E113" s="345">
        <f t="shared" si="6"/>
        <v>27932</v>
      </c>
      <c r="F113" s="346">
        <f t="shared" si="7"/>
        <v>27932</v>
      </c>
      <c r="G113" s="382"/>
      <c r="H113" s="355"/>
      <c r="I113" s="356"/>
      <c r="J113" s="382"/>
      <c r="K113" s="357"/>
    </row>
    <row r="114" spans="1:11">
      <c r="A114" s="358"/>
      <c r="B114" s="351" t="s">
        <v>1496</v>
      </c>
      <c r="C114" s="375">
        <v>8</v>
      </c>
      <c r="D114" s="353">
        <v>34620</v>
      </c>
      <c r="E114" s="345">
        <f t="shared" si="6"/>
        <v>40079</v>
      </c>
      <c r="F114" s="346">
        <f t="shared" si="7"/>
        <v>40079</v>
      </c>
      <c r="G114" s="382"/>
      <c r="H114" s="355"/>
      <c r="I114" s="356"/>
      <c r="J114" s="382"/>
      <c r="K114" s="357"/>
    </row>
    <row r="115" spans="1:11">
      <c r="A115" s="358"/>
      <c r="B115" s="351" t="s">
        <v>1497</v>
      </c>
      <c r="C115" s="375">
        <v>10</v>
      </c>
      <c r="D115" s="353">
        <v>38794</v>
      </c>
      <c r="E115" s="345">
        <f t="shared" si="6"/>
        <v>44911</v>
      </c>
      <c r="F115" s="346">
        <f t="shared" si="7"/>
        <v>44911</v>
      </c>
      <c r="G115" s="382"/>
      <c r="H115" s="355"/>
      <c r="I115" s="356"/>
      <c r="J115" s="382"/>
      <c r="K115" s="357"/>
    </row>
    <row r="116" spans="1:11">
      <c r="A116" s="358"/>
      <c r="B116" s="351" t="s">
        <v>1498</v>
      </c>
      <c r="C116" s="375">
        <v>14</v>
      </c>
      <c r="D116" s="353">
        <v>60876</v>
      </c>
      <c r="E116" s="345">
        <f t="shared" si="6"/>
        <v>70476</v>
      </c>
      <c r="F116" s="346">
        <f t="shared" si="7"/>
        <v>70476</v>
      </c>
      <c r="G116" s="382"/>
      <c r="H116" s="355"/>
      <c r="I116" s="356"/>
      <c r="J116" s="382"/>
      <c r="K116" s="357"/>
    </row>
    <row r="117" spans="1:11">
      <c r="A117" s="358"/>
      <c r="B117" s="351" t="s">
        <v>1499</v>
      </c>
      <c r="C117" s="375">
        <v>17</v>
      </c>
      <c r="D117" s="353">
        <v>65166</v>
      </c>
      <c r="E117" s="345">
        <f t="shared" si="6"/>
        <v>75442</v>
      </c>
      <c r="F117" s="346">
        <f t="shared" si="7"/>
        <v>75442</v>
      </c>
      <c r="G117" s="382"/>
      <c r="H117" s="355"/>
      <c r="I117" s="356"/>
      <c r="J117" s="382"/>
      <c r="K117" s="357"/>
    </row>
    <row r="118" spans="1:11">
      <c r="A118" s="358"/>
      <c r="B118" s="351" t="s">
        <v>1500</v>
      </c>
      <c r="C118" s="375">
        <v>18</v>
      </c>
      <c r="D118" s="353">
        <v>75002</v>
      </c>
      <c r="E118" s="345">
        <f t="shared" si="6"/>
        <v>86829</v>
      </c>
      <c r="F118" s="346">
        <f t="shared" si="7"/>
        <v>86829</v>
      </c>
      <c r="G118" s="382"/>
      <c r="H118" s="355"/>
      <c r="I118" s="356"/>
      <c r="J118" s="382"/>
      <c r="K118" s="357"/>
    </row>
    <row r="119" spans="1:11">
      <c r="A119" s="358"/>
      <c r="B119" s="351" t="s">
        <v>1501</v>
      </c>
      <c r="C119" s="375">
        <v>19</v>
      </c>
      <c r="D119" s="353">
        <v>82551</v>
      </c>
      <c r="E119" s="345">
        <f t="shared" si="6"/>
        <v>95569</v>
      </c>
      <c r="F119" s="346">
        <f t="shared" si="7"/>
        <v>95569</v>
      </c>
      <c r="G119" s="382"/>
      <c r="H119" s="355"/>
      <c r="I119" s="356"/>
      <c r="J119" s="382"/>
      <c r="K119" s="357"/>
    </row>
    <row r="120" spans="1:11">
      <c r="A120" s="359"/>
      <c r="B120" s="351" t="s">
        <v>1502</v>
      </c>
      <c r="C120" s="375">
        <v>34</v>
      </c>
      <c r="D120" s="353">
        <v>159366</v>
      </c>
      <c r="E120" s="345">
        <f t="shared" si="6"/>
        <v>184498</v>
      </c>
      <c r="F120" s="346">
        <f t="shared" si="7"/>
        <v>184498</v>
      </c>
      <c r="G120" s="382"/>
      <c r="H120" s="355"/>
      <c r="I120" s="356"/>
      <c r="J120" s="382"/>
      <c r="K120" s="357"/>
    </row>
    <row r="121" spans="1:11">
      <c r="A121" s="360" t="s">
        <v>1503</v>
      </c>
      <c r="B121" s="361" t="s">
        <v>1504</v>
      </c>
      <c r="C121" s="375" t="s">
        <v>1505</v>
      </c>
      <c r="D121" s="353">
        <v>84123</v>
      </c>
      <c r="E121" s="345">
        <f t="shared" si="6"/>
        <v>97389</v>
      </c>
      <c r="F121" s="346">
        <f t="shared" si="7"/>
        <v>97389</v>
      </c>
      <c r="G121" s="356">
        <v>11.3</v>
      </c>
      <c r="H121" s="355">
        <v>18</v>
      </c>
      <c r="I121" s="356">
        <v>1</v>
      </c>
      <c r="J121" s="382"/>
      <c r="K121" s="357"/>
    </row>
    <row r="122" spans="1:11">
      <c r="A122" s="358" t="s">
        <v>1506</v>
      </c>
      <c r="B122" s="351" t="s">
        <v>1507</v>
      </c>
      <c r="C122" s="375">
        <v>12</v>
      </c>
      <c r="D122" s="353">
        <v>95056</v>
      </c>
      <c r="E122" s="345">
        <f t="shared" si="6"/>
        <v>110046</v>
      </c>
      <c r="F122" s="346">
        <f t="shared" si="7"/>
        <v>110046</v>
      </c>
      <c r="G122" s="356">
        <v>13.7</v>
      </c>
      <c r="H122" s="355">
        <v>18</v>
      </c>
      <c r="I122" s="356">
        <v>1</v>
      </c>
      <c r="J122" s="382"/>
      <c r="K122" s="357"/>
    </row>
    <row r="123" spans="1:11">
      <c r="A123" s="358" t="s">
        <v>483</v>
      </c>
      <c r="B123" s="351" t="s">
        <v>1508</v>
      </c>
      <c r="C123" s="375">
        <v>15</v>
      </c>
      <c r="D123" s="353">
        <v>109452</v>
      </c>
      <c r="E123" s="345">
        <f t="shared" si="6"/>
        <v>126712</v>
      </c>
      <c r="F123" s="346">
        <f t="shared" si="7"/>
        <v>126712</v>
      </c>
      <c r="G123" s="356">
        <v>22.5</v>
      </c>
      <c r="H123" s="355">
        <v>18</v>
      </c>
      <c r="I123" s="356">
        <v>1</v>
      </c>
      <c r="J123" s="382"/>
      <c r="K123" s="357"/>
    </row>
    <row r="124" spans="1:11">
      <c r="A124" s="358"/>
      <c r="B124" s="351" t="s">
        <v>1509</v>
      </c>
      <c r="C124" s="375">
        <v>19</v>
      </c>
      <c r="D124" s="353">
        <v>157613</v>
      </c>
      <c r="E124" s="345">
        <f t="shared" si="6"/>
        <v>182468</v>
      </c>
      <c r="F124" s="346">
        <f t="shared" si="7"/>
        <v>182468</v>
      </c>
      <c r="G124" s="356">
        <v>27.2</v>
      </c>
      <c r="H124" s="355">
        <v>18</v>
      </c>
      <c r="I124" s="356">
        <v>1</v>
      </c>
      <c r="J124" s="382"/>
      <c r="K124" s="357"/>
    </row>
    <row r="125" spans="1:11">
      <c r="A125" s="358"/>
      <c r="B125" s="351" t="s">
        <v>1510</v>
      </c>
      <c r="C125" s="375">
        <v>25</v>
      </c>
      <c r="D125" s="353">
        <v>199012</v>
      </c>
      <c r="E125" s="345">
        <f t="shared" si="6"/>
        <v>230396</v>
      </c>
      <c r="F125" s="346">
        <f t="shared" si="7"/>
        <v>230396</v>
      </c>
      <c r="G125" s="356">
        <v>27.2</v>
      </c>
      <c r="H125" s="355">
        <v>18</v>
      </c>
      <c r="I125" s="356">
        <v>1</v>
      </c>
      <c r="J125" s="382"/>
      <c r="K125" s="357"/>
    </row>
    <row r="126" spans="1:11">
      <c r="A126" s="358"/>
      <c r="B126" s="351" t="s">
        <v>1511</v>
      </c>
      <c r="C126" s="375">
        <v>30</v>
      </c>
      <c r="D126" s="353">
        <v>238803</v>
      </c>
      <c r="E126" s="345">
        <f t="shared" si="6"/>
        <v>276462</v>
      </c>
      <c r="F126" s="346">
        <f t="shared" si="7"/>
        <v>276462</v>
      </c>
      <c r="G126" s="356">
        <v>32.6</v>
      </c>
      <c r="H126" s="355">
        <v>18</v>
      </c>
      <c r="I126" s="356">
        <v>1</v>
      </c>
      <c r="J126" s="382"/>
      <c r="K126" s="357"/>
    </row>
    <row r="127" spans="1:11">
      <c r="A127" s="358"/>
      <c r="B127" s="351" t="s">
        <v>1512</v>
      </c>
      <c r="C127" s="375">
        <v>32</v>
      </c>
      <c r="D127" s="353">
        <v>255943</v>
      </c>
      <c r="E127" s="345">
        <f t="shared" si="6"/>
        <v>296305</v>
      </c>
      <c r="F127" s="346">
        <f t="shared" si="7"/>
        <v>296305</v>
      </c>
      <c r="G127" s="356">
        <v>35.200000000000003</v>
      </c>
      <c r="H127" s="355">
        <v>18</v>
      </c>
      <c r="I127" s="356">
        <v>1</v>
      </c>
      <c r="J127" s="382"/>
      <c r="K127" s="357"/>
    </row>
    <row r="128" spans="1:11">
      <c r="A128" s="359"/>
      <c r="B128" s="351" t="s">
        <v>1513</v>
      </c>
      <c r="C128" s="375">
        <v>37</v>
      </c>
      <c r="D128" s="353">
        <v>298793</v>
      </c>
      <c r="E128" s="345">
        <f t="shared" si="6"/>
        <v>345912</v>
      </c>
      <c r="F128" s="346">
        <f t="shared" si="7"/>
        <v>345912</v>
      </c>
      <c r="G128" s="356">
        <v>41.4</v>
      </c>
      <c r="H128" s="355">
        <v>18</v>
      </c>
      <c r="I128" s="356">
        <v>1</v>
      </c>
      <c r="J128" s="382"/>
      <c r="K128" s="357"/>
    </row>
    <row r="129" spans="1:11">
      <c r="A129" s="372">
        <v>1507</v>
      </c>
      <c r="B129" s="361" t="s">
        <v>1514</v>
      </c>
      <c r="C129" s="375" t="s">
        <v>1515</v>
      </c>
      <c r="D129" s="353">
        <v>8434</v>
      </c>
      <c r="E129" s="345">
        <f t="shared" si="6"/>
        <v>9764</v>
      </c>
      <c r="F129" s="346">
        <f t="shared" si="7"/>
        <v>9764</v>
      </c>
      <c r="G129" s="356"/>
      <c r="H129" s="355"/>
      <c r="I129" s="356"/>
      <c r="J129" s="382"/>
      <c r="K129" s="357"/>
    </row>
    <row r="130" spans="1:11">
      <c r="A130" s="358" t="s">
        <v>1506</v>
      </c>
      <c r="B130" s="351" t="s">
        <v>1516</v>
      </c>
      <c r="C130" s="375">
        <v>7</v>
      </c>
      <c r="D130" s="353">
        <v>19842</v>
      </c>
      <c r="E130" s="345">
        <f t="shared" si="6"/>
        <v>22971</v>
      </c>
      <c r="F130" s="346">
        <f t="shared" si="7"/>
        <v>22971</v>
      </c>
      <c r="G130" s="356"/>
      <c r="H130" s="355"/>
      <c r="I130" s="356"/>
      <c r="J130" s="382"/>
      <c r="K130" s="357"/>
    </row>
    <row r="131" spans="1:11">
      <c r="A131" s="358" t="s">
        <v>489</v>
      </c>
      <c r="B131" s="351" t="s">
        <v>1517</v>
      </c>
      <c r="C131" s="375">
        <v>9</v>
      </c>
      <c r="D131" s="353">
        <v>25544</v>
      </c>
      <c r="E131" s="345">
        <f t="shared" si="6"/>
        <v>29572</v>
      </c>
      <c r="F131" s="346">
        <f t="shared" si="7"/>
        <v>29572</v>
      </c>
      <c r="G131" s="356"/>
      <c r="H131" s="355"/>
      <c r="I131" s="356"/>
      <c r="J131" s="382"/>
      <c r="K131" s="357"/>
    </row>
    <row r="132" spans="1:11">
      <c r="A132" s="358"/>
      <c r="B132" s="351" t="s">
        <v>1518</v>
      </c>
      <c r="C132" s="375">
        <v>11</v>
      </c>
      <c r="D132" s="353">
        <v>28655</v>
      </c>
      <c r="E132" s="345">
        <f t="shared" si="6"/>
        <v>33173</v>
      </c>
      <c r="F132" s="346">
        <f t="shared" si="7"/>
        <v>33173</v>
      </c>
      <c r="G132" s="356"/>
      <c r="H132" s="355"/>
      <c r="I132" s="356"/>
      <c r="J132" s="382"/>
      <c r="K132" s="357"/>
    </row>
    <row r="133" spans="1:11">
      <c r="A133" s="358"/>
      <c r="B133" s="351" t="s">
        <v>1519</v>
      </c>
      <c r="C133" s="375">
        <v>13</v>
      </c>
      <c r="D133" s="353">
        <v>33545</v>
      </c>
      <c r="E133" s="345">
        <f t="shared" si="6"/>
        <v>38835</v>
      </c>
      <c r="F133" s="346">
        <f t="shared" si="7"/>
        <v>38835</v>
      </c>
      <c r="G133" s="356"/>
      <c r="H133" s="355"/>
      <c r="I133" s="356"/>
      <c r="J133" s="382"/>
      <c r="K133" s="357"/>
    </row>
    <row r="134" spans="1:11">
      <c r="A134" s="358"/>
      <c r="B134" s="351" t="s">
        <v>1520</v>
      </c>
      <c r="C134" s="375">
        <v>14</v>
      </c>
      <c r="D134" s="353">
        <v>41323</v>
      </c>
      <c r="E134" s="345">
        <f t="shared" si="6"/>
        <v>47839</v>
      </c>
      <c r="F134" s="346">
        <f t="shared" si="7"/>
        <v>47839</v>
      </c>
      <c r="G134" s="356"/>
      <c r="H134" s="355"/>
      <c r="I134" s="356"/>
      <c r="J134" s="382"/>
      <c r="K134" s="357"/>
    </row>
    <row r="135" spans="1:11">
      <c r="A135" s="359"/>
      <c r="B135" s="351" t="s">
        <v>1521</v>
      </c>
      <c r="C135" s="375">
        <v>20</v>
      </c>
      <c r="D135" s="353">
        <v>78063</v>
      </c>
      <c r="E135" s="345">
        <f t="shared" si="6"/>
        <v>90373</v>
      </c>
      <c r="F135" s="346">
        <f t="shared" si="7"/>
        <v>90373</v>
      </c>
      <c r="G135" s="356"/>
      <c r="H135" s="355"/>
      <c r="I135" s="356"/>
      <c r="J135" s="382"/>
      <c r="K135" s="357"/>
    </row>
    <row r="136" spans="1:11">
      <c r="A136" s="372">
        <v>1509</v>
      </c>
      <c r="B136" s="361" t="s">
        <v>1522</v>
      </c>
      <c r="C136" s="375" t="s">
        <v>1523</v>
      </c>
      <c r="D136" s="353">
        <v>17905</v>
      </c>
      <c r="E136" s="345">
        <f t="shared" si="6"/>
        <v>20728</v>
      </c>
      <c r="F136" s="346">
        <f t="shared" si="7"/>
        <v>20728</v>
      </c>
      <c r="G136" s="356">
        <v>4.3</v>
      </c>
      <c r="H136" s="355">
        <v>8</v>
      </c>
      <c r="I136" s="356"/>
      <c r="J136" s="382"/>
      <c r="K136" s="357"/>
    </row>
    <row r="137" spans="1:11">
      <c r="A137" s="358" t="s">
        <v>1524</v>
      </c>
      <c r="B137" s="351" t="s">
        <v>1525</v>
      </c>
      <c r="C137" s="375">
        <v>3</v>
      </c>
      <c r="D137" s="353">
        <v>25317</v>
      </c>
      <c r="E137" s="345">
        <f t="shared" si="6"/>
        <v>29309</v>
      </c>
      <c r="F137" s="346">
        <f t="shared" si="7"/>
        <v>29309</v>
      </c>
      <c r="G137" s="356">
        <v>4.8</v>
      </c>
      <c r="H137" s="355">
        <v>8</v>
      </c>
      <c r="I137" s="356"/>
      <c r="J137" s="382"/>
      <c r="K137" s="357"/>
    </row>
    <row r="138" spans="1:11">
      <c r="A138" s="358" t="s">
        <v>489</v>
      </c>
      <c r="B138" s="351" t="s">
        <v>1345</v>
      </c>
      <c r="C138" s="375">
        <v>4</v>
      </c>
      <c r="D138" s="353">
        <v>30269</v>
      </c>
      <c r="E138" s="345">
        <f t="shared" si="6"/>
        <v>35042</v>
      </c>
      <c r="F138" s="346">
        <f t="shared" si="7"/>
        <v>35042</v>
      </c>
      <c r="G138" s="356">
        <v>4.8</v>
      </c>
      <c r="H138" s="355">
        <v>8</v>
      </c>
      <c r="I138" s="356"/>
      <c r="J138" s="382"/>
      <c r="K138" s="357"/>
    </row>
    <row r="139" spans="1:11">
      <c r="A139" s="358"/>
      <c r="B139" s="351" t="s">
        <v>1346</v>
      </c>
      <c r="C139" s="375">
        <v>6</v>
      </c>
      <c r="D139" s="353">
        <v>40968</v>
      </c>
      <c r="E139" s="345">
        <f t="shared" si="6"/>
        <v>47428</v>
      </c>
      <c r="F139" s="346">
        <f t="shared" si="7"/>
        <v>47428</v>
      </c>
      <c r="G139" s="356">
        <v>4.8</v>
      </c>
      <c r="H139" s="355">
        <v>8</v>
      </c>
      <c r="I139" s="356"/>
      <c r="J139" s="382"/>
      <c r="K139" s="357"/>
    </row>
    <row r="140" spans="1:11">
      <c r="A140" s="358"/>
      <c r="B140" s="351" t="s">
        <v>1347</v>
      </c>
      <c r="C140" s="375">
        <v>8</v>
      </c>
      <c r="D140" s="353">
        <v>51611</v>
      </c>
      <c r="E140" s="345">
        <f t="shared" si="6"/>
        <v>59750</v>
      </c>
      <c r="F140" s="346">
        <f t="shared" si="7"/>
        <v>59750</v>
      </c>
      <c r="G140" s="356">
        <v>7</v>
      </c>
      <c r="H140" s="355">
        <v>7</v>
      </c>
      <c r="I140" s="356"/>
      <c r="J140" s="382"/>
      <c r="K140" s="357"/>
    </row>
    <row r="141" spans="1:11">
      <c r="A141" s="359"/>
      <c r="B141" s="351" t="s">
        <v>1348</v>
      </c>
      <c r="C141" s="375">
        <v>9</v>
      </c>
      <c r="D141" s="353">
        <v>59597</v>
      </c>
      <c r="E141" s="345">
        <f t="shared" si="6"/>
        <v>68995</v>
      </c>
      <c r="F141" s="346">
        <f t="shared" si="7"/>
        <v>68995</v>
      </c>
      <c r="G141" s="356">
        <v>9.1</v>
      </c>
      <c r="H141" s="355">
        <v>7</v>
      </c>
      <c r="I141" s="356"/>
      <c r="J141" s="382"/>
      <c r="K141" s="357"/>
    </row>
    <row r="142" spans="1:11">
      <c r="A142" s="365" t="s">
        <v>2330</v>
      </c>
      <c r="B142" s="361" t="s">
        <v>1349</v>
      </c>
      <c r="C142" s="375" t="s">
        <v>1350</v>
      </c>
      <c r="D142" s="353"/>
      <c r="E142" s="345">
        <v>1134</v>
      </c>
      <c r="F142" s="346">
        <f t="shared" si="7"/>
        <v>0</v>
      </c>
      <c r="G142" s="384" t="s">
        <v>1351</v>
      </c>
      <c r="H142" s="355">
        <v>10</v>
      </c>
      <c r="I142" s="356">
        <v>1</v>
      </c>
      <c r="J142" s="382"/>
      <c r="K142" s="357"/>
    </row>
    <row r="143" spans="1:11">
      <c r="A143" s="365" t="s">
        <v>2331</v>
      </c>
      <c r="B143" s="361" t="s">
        <v>129</v>
      </c>
      <c r="C143" s="375" t="s">
        <v>130</v>
      </c>
      <c r="D143" s="353">
        <v>1318</v>
      </c>
      <c r="E143" s="345">
        <f t="shared" si="6"/>
        <v>1525</v>
      </c>
      <c r="F143" s="346">
        <f t="shared" si="7"/>
        <v>1525</v>
      </c>
      <c r="G143" s="385" t="s">
        <v>131</v>
      </c>
      <c r="H143" s="355">
        <v>20</v>
      </c>
      <c r="I143" s="356">
        <v>1</v>
      </c>
      <c r="J143" s="382"/>
      <c r="K143" s="357"/>
    </row>
    <row r="144" spans="1:11">
      <c r="A144" s="372">
        <v>2101</v>
      </c>
      <c r="B144" s="361" t="s">
        <v>132</v>
      </c>
      <c r="C144" s="383" t="s">
        <v>133</v>
      </c>
      <c r="D144" s="353">
        <v>66768</v>
      </c>
      <c r="E144" s="345">
        <f t="shared" si="6"/>
        <v>77297</v>
      </c>
      <c r="F144" s="346">
        <f t="shared" si="7"/>
        <v>77297</v>
      </c>
      <c r="G144" s="356">
        <v>5.8</v>
      </c>
      <c r="H144" s="355">
        <v>20</v>
      </c>
      <c r="I144" s="356">
        <v>1</v>
      </c>
      <c r="J144" s="356"/>
      <c r="K144" s="357"/>
    </row>
    <row r="145" spans="1:11">
      <c r="A145" s="342" t="s">
        <v>134</v>
      </c>
      <c r="B145" s="351" t="s">
        <v>135</v>
      </c>
      <c r="C145" s="383" t="s">
        <v>136</v>
      </c>
      <c r="D145" s="353">
        <v>110034</v>
      </c>
      <c r="E145" s="345">
        <f t="shared" si="6"/>
        <v>127386</v>
      </c>
      <c r="F145" s="346">
        <f t="shared" si="7"/>
        <v>127386</v>
      </c>
      <c r="G145" s="356">
        <v>7.2</v>
      </c>
      <c r="H145" s="355">
        <v>20</v>
      </c>
      <c r="I145" s="356">
        <v>1</v>
      </c>
      <c r="J145" s="356"/>
      <c r="K145" s="357"/>
    </row>
    <row r="146" spans="1:11">
      <c r="A146" s="358" t="s">
        <v>1224</v>
      </c>
      <c r="B146" s="351" t="s">
        <v>137</v>
      </c>
      <c r="C146" s="383" t="s">
        <v>138</v>
      </c>
      <c r="D146" s="353">
        <v>140428</v>
      </c>
      <c r="E146" s="345">
        <f t="shared" si="6"/>
        <v>162573</v>
      </c>
      <c r="F146" s="346">
        <f t="shared" si="7"/>
        <v>162573</v>
      </c>
      <c r="G146" s="356">
        <v>8.6</v>
      </c>
      <c r="H146" s="355">
        <v>20</v>
      </c>
      <c r="I146" s="356">
        <v>1</v>
      </c>
      <c r="J146" s="356"/>
      <c r="K146" s="357"/>
    </row>
    <row r="147" spans="1:11">
      <c r="A147" s="358"/>
      <c r="B147" s="351" t="s">
        <v>139</v>
      </c>
      <c r="C147" s="383" t="s">
        <v>2126</v>
      </c>
      <c r="D147" s="353">
        <v>162437</v>
      </c>
      <c r="E147" s="345">
        <f t="shared" si="6"/>
        <v>188053</v>
      </c>
      <c r="F147" s="346">
        <f t="shared" si="7"/>
        <v>188053</v>
      </c>
      <c r="G147" s="356">
        <v>9.6</v>
      </c>
      <c r="H147" s="355">
        <v>20</v>
      </c>
      <c r="I147" s="356">
        <v>1</v>
      </c>
      <c r="J147" s="356"/>
      <c r="K147" s="357"/>
    </row>
    <row r="148" spans="1:11">
      <c r="A148" s="358"/>
      <c r="B148" s="351" t="s">
        <v>2127</v>
      </c>
      <c r="C148" s="383" t="s">
        <v>2396</v>
      </c>
      <c r="D148" s="353">
        <v>210642</v>
      </c>
      <c r="E148" s="345">
        <f t="shared" si="6"/>
        <v>243860</v>
      </c>
      <c r="F148" s="346">
        <f t="shared" si="7"/>
        <v>243860</v>
      </c>
      <c r="G148" s="356">
        <v>10.5</v>
      </c>
      <c r="H148" s="355">
        <v>20</v>
      </c>
      <c r="I148" s="356">
        <v>1</v>
      </c>
      <c r="J148" s="356"/>
      <c r="K148" s="357"/>
    </row>
    <row r="149" spans="1:11">
      <c r="A149" s="358"/>
      <c r="B149" s="351" t="s">
        <v>2128</v>
      </c>
      <c r="C149" s="383" t="s">
        <v>2129</v>
      </c>
      <c r="D149" s="353"/>
      <c r="E149" s="345">
        <v>194961</v>
      </c>
      <c r="F149" s="346">
        <f t="shared" si="7"/>
        <v>0</v>
      </c>
      <c r="G149" s="356">
        <v>11.2</v>
      </c>
      <c r="H149" s="355">
        <v>20</v>
      </c>
      <c r="I149" s="356">
        <v>1</v>
      </c>
      <c r="J149" s="356"/>
      <c r="K149" s="357"/>
    </row>
    <row r="150" spans="1:11">
      <c r="A150" s="358"/>
      <c r="B150" s="351" t="s">
        <v>2130</v>
      </c>
      <c r="C150" s="383" t="s">
        <v>2131</v>
      </c>
      <c r="D150" s="353">
        <v>268562</v>
      </c>
      <c r="E150" s="345">
        <f t="shared" si="6"/>
        <v>310914</v>
      </c>
      <c r="F150" s="346">
        <f t="shared" si="7"/>
        <v>310914</v>
      </c>
      <c r="G150" s="356">
        <v>11.5</v>
      </c>
      <c r="H150" s="355">
        <v>20</v>
      </c>
      <c r="I150" s="356">
        <v>1</v>
      </c>
      <c r="J150" s="356"/>
      <c r="K150" s="357"/>
    </row>
    <row r="151" spans="1:11">
      <c r="A151" s="358"/>
      <c r="B151" s="351" t="s">
        <v>2132</v>
      </c>
      <c r="C151" s="383" t="s">
        <v>2133</v>
      </c>
      <c r="D151" s="353"/>
      <c r="E151" s="345">
        <v>402220</v>
      </c>
      <c r="F151" s="346">
        <f t="shared" si="7"/>
        <v>0</v>
      </c>
      <c r="G151" s="356">
        <v>12</v>
      </c>
      <c r="H151" s="355">
        <v>20</v>
      </c>
      <c r="I151" s="356">
        <v>1</v>
      </c>
      <c r="J151" s="356"/>
      <c r="K151" s="357"/>
    </row>
    <row r="152" spans="1:11">
      <c r="A152" s="358"/>
      <c r="B152" s="351" t="s">
        <v>2134</v>
      </c>
      <c r="C152" s="383" t="s">
        <v>2135</v>
      </c>
      <c r="D152" s="353">
        <v>370856</v>
      </c>
      <c r="E152" s="345">
        <f t="shared" si="6"/>
        <v>429339</v>
      </c>
      <c r="F152" s="346">
        <f t="shared" si="7"/>
        <v>429339</v>
      </c>
      <c r="G152" s="356">
        <v>17.2</v>
      </c>
      <c r="H152" s="355">
        <v>20</v>
      </c>
      <c r="I152" s="356">
        <v>1</v>
      </c>
      <c r="J152" s="356"/>
      <c r="K152" s="357"/>
    </row>
    <row r="153" spans="1:11">
      <c r="A153" s="358"/>
      <c r="B153" s="351" t="s">
        <v>2136</v>
      </c>
      <c r="C153" s="383" t="s">
        <v>2137</v>
      </c>
      <c r="D153" s="353"/>
      <c r="E153" s="345">
        <v>579281</v>
      </c>
      <c r="F153" s="346">
        <f t="shared" si="7"/>
        <v>0</v>
      </c>
      <c r="G153" s="356">
        <v>19.100000000000001</v>
      </c>
      <c r="H153" s="355">
        <v>20</v>
      </c>
      <c r="I153" s="356">
        <v>1</v>
      </c>
      <c r="J153" s="356"/>
      <c r="K153" s="357"/>
    </row>
    <row r="154" spans="1:11">
      <c r="A154" s="358"/>
      <c r="B154" s="351" t="s">
        <v>2138</v>
      </c>
      <c r="C154" s="375">
        <v>100</v>
      </c>
      <c r="D154" s="353">
        <v>585027</v>
      </c>
      <c r="E154" s="345">
        <f t="shared" si="6"/>
        <v>677285</v>
      </c>
      <c r="F154" s="346">
        <f t="shared" si="7"/>
        <v>677285</v>
      </c>
      <c r="G154" s="356">
        <v>23.9</v>
      </c>
      <c r="H154" s="355">
        <v>20</v>
      </c>
      <c r="I154" s="356">
        <v>1</v>
      </c>
      <c r="J154" s="356"/>
      <c r="K154" s="357"/>
    </row>
    <row r="155" spans="1:11">
      <c r="A155" s="359"/>
      <c r="B155" s="351" t="s">
        <v>2139</v>
      </c>
      <c r="C155" s="375">
        <v>150</v>
      </c>
      <c r="D155" s="353">
        <v>864078</v>
      </c>
      <c r="E155" s="345">
        <f t="shared" si="6"/>
        <v>1000343</v>
      </c>
      <c r="F155" s="346">
        <f t="shared" si="7"/>
        <v>1000343</v>
      </c>
      <c r="G155" s="356">
        <v>24.4</v>
      </c>
      <c r="H155" s="355">
        <v>20</v>
      </c>
      <c r="I155" s="356">
        <v>1</v>
      </c>
      <c r="J155" s="356"/>
      <c r="K155" s="357"/>
    </row>
    <row r="156" spans="1:11">
      <c r="A156" s="372">
        <v>2104</v>
      </c>
      <c r="B156" s="361" t="s">
        <v>2140</v>
      </c>
      <c r="C156" s="375" t="s">
        <v>133</v>
      </c>
      <c r="D156" s="353"/>
      <c r="E156" s="345">
        <v>113600</v>
      </c>
      <c r="F156" s="346">
        <f t="shared" si="7"/>
        <v>0</v>
      </c>
      <c r="G156" s="356">
        <v>3.8</v>
      </c>
      <c r="H156" s="355">
        <v>39</v>
      </c>
      <c r="I156" s="356">
        <v>1</v>
      </c>
      <c r="J156" s="356"/>
      <c r="K156" s="357"/>
    </row>
    <row r="157" spans="1:11">
      <c r="A157" s="358" t="s">
        <v>134</v>
      </c>
      <c r="B157" s="351" t="s">
        <v>2141</v>
      </c>
      <c r="C157" s="375">
        <v>15</v>
      </c>
      <c r="D157" s="353"/>
      <c r="E157" s="345">
        <v>167696</v>
      </c>
      <c r="F157" s="346">
        <f t="shared" si="7"/>
        <v>0</v>
      </c>
      <c r="G157" s="356">
        <v>4.7</v>
      </c>
      <c r="H157" s="355">
        <v>39</v>
      </c>
      <c r="I157" s="356">
        <v>1</v>
      </c>
      <c r="J157" s="356"/>
      <c r="K157" s="357"/>
    </row>
    <row r="158" spans="1:11">
      <c r="A158" s="358" t="s">
        <v>3222</v>
      </c>
      <c r="B158" s="351" t="s">
        <v>2142</v>
      </c>
      <c r="C158" s="375">
        <v>20</v>
      </c>
      <c r="D158" s="353"/>
      <c r="E158" s="345">
        <v>215029</v>
      </c>
      <c r="F158" s="346">
        <f t="shared" si="7"/>
        <v>0</v>
      </c>
      <c r="G158" s="356">
        <v>5.4</v>
      </c>
      <c r="H158" s="355">
        <v>39</v>
      </c>
      <c r="I158" s="356">
        <v>1</v>
      </c>
      <c r="J158" s="356"/>
      <c r="K158" s="357"/>
    </row>
    <row r="159" spans="1:11">
      <c r="A159" s="358"/>
      <c r="B159" s="351" t="s">
        <v>2143</v>
      </c>
      <c r="C159" s="375">
        <v>25</v>
      </c>
      <c r="D159" s="353"/>
      <c r="E159" s="345">
        <v>243429</v>
      </c>
      <c r="F159" s="346">
        <f t="shared" si="7"/>
        <v>0</v>
      </c>
      <c r="G159" s="356">
        <v>6.1</v>
      </c>
      <c r="H159" s="355">
        <v>39</v>
      </c>
      <c r="I159" s="356">
        <v>1</v>
      </c>
      <c r="J159" s="356"/>
      <c r="K159" s="357"/>
    </row>
    <row r="160" spans="1:11">
      <c r="A160" s="358"/>
      <c r="B160" s="351" t="s">
        <v>2144</v>
      </c>
      <c r="C160" s="375">
        <v>30</v>
      </c>
      <c r="D160" s="353"/>
      <c r="E160" s="345">
        <v>297525</v>
      </c>
      <c r="F160" s="346">
        <f t="shared" si="7"/>
        <v>0</v>
      </c>
      <c r="G160" s="356">
        <v>7.7</v>
      </c>
      <c r="H160" s="355">
        <v>39</v>
      </c>
      <c r="I160" s="356">
        <v>1</v>
      </c>
      <c r="J160" s="356"/>
      <c r="K160" s="357"/>
    </row>
    <row r="161" spans="1:11">
      <c r="A161" s="358"/>
      <c r="B161" s="351" t="s">
        <v>1278</v>
      </c>
      <c r="C161" s="375">
        <v>35</v>
      </c>
      <c r="D161" s="353"/>
      <c r="E161" s="345">
        <v>319163</v>
      </c>
      <c r="F161" s="346">
        <f t="shared" si="7"/>
        <v>0</v>
      </c>
      <c r="G161" s="356">
        <v>7.7</v>
      </c>
      <c r="H161" s="355">
        <v>39</v>
      </c>
      <c r="I161" s="356">
        <v>1</v>
      </c>
      <c r="J161" s="356"/>
      <c r="K161" s="357"/>
    </row>
    <row r="162" spans="1:11">
      <c r="A162" s="358"/>
      <c r="B162" s="351" t="s">
        <v>1279</v>
      </c>
      <c r="C162" s="375">
        <v>40</v>
      </c>
      <c r="D162" s="353"/>
      <c r="E162" s="345">
        <v>351620</v>
      </c>
      <c r="F162" s="346">
        <f t="shared" si="7"/>
        <v>0</v>
      </c>
      <c r="G162" s="356">
        <v>8.5</v>
      </c>
      <c r="H162" s="355">
        <v>57</v>
      </c>
      <c r="I162" s="356">
        <v>1</v>
      </c>
      <c r="J162" s="356"/>
      <c r="K162" s="357"/>
    </row>
    <row r="163" spans="1:11">
      <c r="A163" s="358"/>
      <c r="B163" s="351" t="s">
        <v>1280</v>
      </c>
      <c r="C163" s="375">
        <v>45</v>
      </c>
      <c r="D163" s="353"/>
      <c r="E163" s="345">
        <v>384077</v>
      </c>
      <c r="F163" s="346">
        <f t="shared" si="7"/>
        <v>0</v>
      </c>
      <c r="G163" s="356">
        <v>10</v>
      </c>
      <c r="H163" s="355">
        <v>57</v>
      </c>
      <c r="I163" s="356">
        <v>1</v>
      </c>
      <c r="J163" s="356"/>
      <c r="K163" s="357"/>
    </row>
    <row r="164" spans="1:11">
      <c r="A164" s="358"/>
      <c r="B164" s="351" t="s">
        <v>1281</v>
      </c>
      <c r="C164" s="375">
        <v>50</v>
      </c>
      <c r="D164" s="353"/>
      <c r="E164" s="345">
        <v>478125</v>
      </c>
      <c r="F164" s="346">
        <f t="shared" si="7"/>
        <v>0</v>
      </c>
      <c r="G164" s="356">
        <v>10</v>
      </c>
      <c r="H164" s="355">
        <v>57</v>
      </c>
      <c r="I164" s="356">
        <v>1</v>
      </c>
      <c r="J164" s="356"/>
      <c r="K164" s="357"/>
    </row>
    <row r="165" spans="1:11">
      <c r="A165" s="358"/>
      <c r="B165" s="351" t="s">
        <v>1282</v>
      </c>
      <c r="C165" s="375">
        <v>60</v>
      </c>
      <c r="D165" s="353"/>
      <c r="E165" s="345">
        <v>527430</v>
      </c>
      <c r="F165" s="346">
        <f t="shared" si="7"/>
        <v>0</v>
      </c>
      <c r="G165" s="356">
        <v>10.6</v>
      </c>
      <c r="H165" s="355">
        <v>57</v>
      </c>
      <c r="I165" s="356">
        <v>1</v>
      </c>
      <c r="J165" s="356"/>
      <c r="K165" s="357"/>
    </row>
    <row r="166" spans="1:11">
      <c r="A166" s="358"/>
      <c r="B166" s="351" t="s">
        <v>1283</v>
      </c>
      <c r="C166" s="375">
        <v>70</v>
      </c>
      <c r="D166" s="353"/>
      <c r="E166" s="345">
        <v>608573</v>
      </c>
      <c r="F166" s="346">
        <f t="shared" si="7"/>
        <v>0</v>
      </c>
      <c r="G166" s="356">
        <v>12.3</v>
      </c>
      <c r="H166" s="355">
        <v>57</v>
      </c>
      <c r="I166" s="356">
        <v>1</v>
      </c>
      <c r="J166" s="356"/>
      <c r="K166" s="357"/>
    </row>
    <row r="167" spans="1:11">
      <c r="A167" s="358"/>
      <c r="B167" s="351" t="s">
        <v>1284</v>
      </c>
      <c r="C167" s="375">
        <v>80</v>
      </c>
      <c r="D167" s="353"/>
      <c r="E167" s="345">
        <v>757335</v>
      </c>
      <c r="F167" s="346">
        <f t="shared" si="7"/>
        <v>0</v>
      </c>
      <c r="G167" s="356">
        <v>12.3</v>
      </c>
      <c r="H167" s="355">
        <v>57</v>
      </c>
      <c r="I167" s="356">
        <v>1</v>
      </c>
      <c r="J167" s="356"/>
      <c r="K167" s="357"/>
    </row>
    <row r="168" spans="1:11">
      <c r="A168" s="359"/>
      <c r="B168" s="351" t="s">
        <v>1285</v>
      </c>
      <c r="C168" s="375">
        <v>100</v>
      </c>
      <c r="D168" s="353"/>
      <c r="E168" s="345">
        <v>883759</v>
      </c>
      <c r="F168" s="346">
        <f t="shared" si="7"/>
        <v>0</v>
      </c>
      <c r="G168" s="356">
        <v>15.9</v>
      </c>
      <c r="H168" s="355">
        <v>57</v>
      </c>
      <c r="I168" s="356">
        <v>1</v>
      </c>
      <c r="J168" s="356"/>
      <c r="K168" s="357"/>
    </row>
    <row r="169" spans="1:11">
      <c r="A169" s="372">
        <v>2105</v>
      </c>
      <c r="B169" s="361" t="s">
        <v>1286</v>
      </c>
      <c r="C169" s="375" t="s">
        <v>1523</v>
      </c>
      <c r="D169" s="353"/>
      <c r="E169" s="345">
        <v>26400</v>
      </c>
      <c r="F169" s="346">
        <f t="shared" si="7"/>
        <v>0</v>
      </c>
      <c r="G169" s="356">
        <v>2.9</v>
      </c>
      <c r="H169" s="355">
        <v>20</v>
      </c>
      <c r="I169" s="356">
        <v>1</v>
      </c>
      <c r="J169" s="356"/>
      <c r="K169" s="357"/>
    </row>
    <row r="170" spans="1:11">
      <c r="A170" s="358" t="s">
        <v>1287</v>
      </c>
      <c r="B170" s="351" t="s">
        <v>1814</v>
      </c>
      <c r="C170" s="375">
        <v>3</v>
      </c>
      <c r="D170" s="353"/>
      <c r="E170" s="345">
        <v>29474</v>
      </c>
      <c r="F170" s="346">
        <f t="shared" si="7"/>
        <v>0</v>
      </c>
      <c r="G170" s="356">
        <v>3.1</v>
      </c>
      <c r="H170" s="355">
        <v>20</v>
      </c>
      <c r="I170" s="356">
        <v>1</v>
      </c>
      <c r="J170" s="356"/>
      <c r="K170" s="357"/>
    </row>
    <row r="171" spans="1:11">
      <c r="A171" s="359"/>
      <c r="B171" s="351" t="s">
        <v>1815</v>
      </c>
      <c r="C171" s="375">
        <v>5</v>
      </c>
      <c r="D171" s="353"/>
      <c r="E171" s="345">
        <v>33960</v>
      </c>
      <c r="F171" s="346">
        <f t="shared" si="7"/>
        <v>0</v>
      </c>
      <c r="G171" s="356">
        <v>5.0999999999999996</v>
      </c>
      <c r="H171" s="355">
        <v>20</v>
      </c>
      <c r="I171" s="356">
        <v>1</v>
      </c>
      <c r="J171" s="356"/>
      <c r="K171" s="357"/>
    </row>
    <row r="172" spans="1:11">
      <c r="A172" s="372">
        <v>2111</v>
      </c>
      <c r="B172" s="361" t="s">
        <v>1816</v>
      </c>
      <c r="C172" s="383" t="s">
        <v>1817</v>
      </c>
      <c r="D172" s="353">
        <v>6386</v>
      </c>
      <c r="E172" s="345">
        <f t="shared" ref="E172:E207" si="8">F172</f>
        <v>7393</v>
      </c>
      <c r="F172" s="346">
        <f t="shared" ref="F172:F236" si="9">TRUNC(D172*$K$1/1000)</f>
        <v>7393</v>
      </c>
      <c r="G172" s="356"/>
      <c r="H172" s="355"/>
      <c r="I172" s="356"/>
      <c r="J172" s="356"/>
      <c r="K172" s="357"/>
    </row>
    <row r="173" spans="1:11">
      <c r="A173" s="342" t="s">
        <v>1818</v>
      </c>
      <c r="B173" s="351" t="s">
        <v>1819</v>
      </c>
      <c r="C173" s="386">
        <v>0.38</v>
      </c>
      <c r="D173" s="353">
        <v>12309</v>
      </c>
      <c r="E173" s="345">
        <f t="shared" si="8"/>
        <v>14250</v>
      </c>
      <c r="F173" s="346">
        <f t="shared" si="9"/>
        <v>14250</v>
      </c>
      <c r="G173" s="356"/>
      <c r="H173" s="355"/>
      <c r="I173" s="356"/>
      <c r="J173" s="356"/>
      <c r="K173" s="357"/>
    </row>
    <row r="174" spans="1:11">
      <c r="A174" s="358"/>
      <c r="B174" s="351" t="s">
        <v>1820</v>
      </c>
      <c r="C174" s="386">
        <v>0.56999999999999995</v>
      </c>
      <c r="D174" s="353">
        <v>18003</v>
      </c>
      <c r="E174" s="345">
        <f t="shared" si="8"/>
        <v>20842</v>
      </c>
      <c r="F174" s="346">
        <f t="shared" si="9"/>
        <v>20842</v>
      </c>
      <c r="G174" s="356"/>
      <c r="H174" s="355"/>
      <c r="I174" s="356"/>
      <c r="J174" s="356"/>
      <c r="K174" s="357"/>
    </row>
    <row r="175" spans="1:11">
      <c r="A175" s="358"/>
      <c r="B175" s="351" t="s">
        <v>1821</v>
      </c>
      <c r="C175" s="386">
        <v>0.76</v>
      </c>
      <c r="D175" s="353">
        <v>25558</v>
      </c>
      <c r="E175" s="345">
        <f t="shared" si="8"/>
        <v>29588</v>
      </c>
      <c r="F175" s="346">
        <f t="shared" si="9"/>
        <v>29588</v>
      </c>
      <c r="G175" s="356"/>
      <c r="H175" s="355"/>
      <c r="I175" s="356"/>
      <c r="J175" s="356"/>
      <c r="K175" s="357"/>
    </row>
    <row r="176" spans="1:11">
      <c r="A176" s="358"/>
      <c r="B176" s="351" t="s">
        <v>1822</v>
      </c>
      <c r="C176" s="386">
        <v>1.1499999999999999</v>
      </c>
      <c r="D176" s="353">
        <v>41472</v>
      </c>
      <c r="E176" s="345">
        <f t="shared" si="8"/>
        <v>48012</v>
      </c>
      <c r="F176" s="346">
        <f t="shared" si="9"/>
        <v>48012</v>
      </c>
      <c r="G176" s="356"/>
      <c r="H176" s="355"/>
      <c r="I176" s="356"/>
      <c r="J176" s="356"/>
      <c r="K176" s="357"/>
    </row>
    <row r="177" spans="1:11">
      <c r="A177" s="358"/>
      <c r="B177" s="351" t="s">
        <v>1823</v>
      </c>
      <c r="C177" s="386">
        <v>1.53</v>
      </c>
      <c r="D177" s="353">
        <v>44250</v>
      </c>
      <c r="E177" s="345">
        <f t="shared" si="8"/>
        <v>51228</v>
      </c>
      <c r="F177" s="346">
        <f t="shared" si="9"/>
        <v>51228</v>
      </c>
      <c r="G177" s="356"/>
      <c r="H177" s="355"/>
      <c r="I177" s="356"/>
      <c r="J177" s="356"/>
      <c r="K177" s="357"/>
    </row>
    <row r="178" spans="1:11">
      <c r="A178" s="358"/>
      <c r="B178" s="351" t="s">
        <v>1824</v>
      </c>
      <c r="C178" s="386">
        <v>1.91</v>
      </c>
      <c r="D178" s="353">
        <v>52451</v>
      </c>
      <c r="E178" s="345">
        <f t="shared" si="8"/>
        <v>60722</v>
      </c>
      <c r="F178" s="346">
        <f t="shared" si="9"/>
        <v>60722</v>
      </c>
      <c r="G178" s="356"/>
      <c r="H178" s="355"/>
      <c r="I178" s="356"/>
      <c r="J178" s="356"/>
      <c r="K178" s="357"/>
    </row>
    <row r="179" spans="1:11">
      <c r="A179" s="358"/>
      <c r="B179" s="351" t="s">
        <v>1825</v>
      </c>
      <c r="C179" s="386">
        <v>2.29</v>
      </c>
      <c r="D179" s="353">
        <v>68221</v>
      </c>
      <c r="E179" s="345">
        <f t="shared" si="8"/>
        <v>78979</v>
      </c>
      <c r="F179" s="346">
        <f t="shared" si="9"/>
        <v>78979</v>
      </c>
      <c r="G179" s="356"/>
      <c r="H179" s="355"/>
      <c r="I179" s="356"/>
      <c r="J179" s="356"/>
      <c r="K179" s="357"/>
    </row>
    <row r="180" spans="1:11">
      <c r="A180" s="359"/>
      <c r="B180" s="351" t="s">
        <v>1826</v>
      </c>
      <c r="C180" s="386">
        <v>2.68</v>
      </c>
      <c r="D180" s="353">
        <v>86309</v>
      </c>
      <c r="E180" s="345">
        <f t="shared" si="8"/>
        <v>99919</v>
      </c>
      <c r="F180" s="346">
        <f t="shared" si="9"/>
        <v>99919</v>
      </c>
      <c r="G180" s="356"/>
      <c r="H180" s="355"/>
      <c r="I180" s="356"/>
      <c r="J180" s="356"/>
      <c r="K180" s="357"/>
    </row>
    <row r="181" spans="1:11">
      <c r="A181" s="372">
        <v>2112</v>
      </c>
      <c r="B181" s="361" t="s">
        <v>1827</v>
      </c>
      <c r="C181" s="383" t="s">
        <v>1817</v>
      </c>
      <c r="D181" s="353">
        <v>6847</v>
      </c>
      <c r="E181" s="345">
        <f t="shared" si="8"/>
        <v>7926</v>
      </c>
      <c r="F181" s="346">
        <f t="shared" si="9"/>
        <v>7926</v>
      </c>
      <c r="G181" s="356"/>
      <c r="H181" s="355"/>
      <c r="I181" s="356"/>
      <c r="J181" s="356"/>
      <c r="K181" s="357"/>
    </row>
    <row r="182" spans="1:11">
      <c r="A182" s="358" t="s">
        <v>1828</v>
      </c>
      <c r="B182" s="351" t="s">
        <v>1829</v>
      </c>
      <c r="C182" s="386">
        <v>0.38</v>
      </c>
      <c r="D182" s="353">
        <v>12297</v>
      </c>
      <c r="E182" s="345">
        <f t="shared" si="8"/>
        <v>14236</v>
      </c>
      <c r="F182" s="346">
        <f t="shared" si="9"/>
        <v>14236</v>
      </c>
      <c r="G182" s="356"/>
      <c r="H182" s="355"/>
      <c r="I182" s="356"/>
      <c r="J182" s="356"/>
      <c r="K182" s="357"/>
    </row>
    <row r="183" spans="1:11">
      <c r="A183" s="358" t="s">
        <v>1830</v>
      </c>
      <c r="B183" s="351" t="s">
        <v>1831</v>
      </c>
      <c r="C183" s="386">
        <v>0.56999999999999995</v>
      </c>
      <c r="D183" s="353">
        <v>18352</v>
      </c>
      <c r="E183" s="345">
        <f t="shared" si="8"/>
        <v>21246</v>
      </c>
      <c r="F183" s="346">
        <f t="shared" si="9"/>
        <v>21246</v>
      </c>
      <c r="G183" s="356"/>
      <c r="H183" s="355"/>
      <c r="I183" s="356"/>
      <c r="J183" s="356"/>
      <c r="K183" s="357"/>
    </row>
    <row r="184" spans="1:11">
      <c r="A184" s="358"/>
      <c r="B184" s="351" t="s">
        <v>1832</v>
      </c>
      <c r="C184" s="386">
        <v>0.76</v>
      </c>
      <c r="D184" s="353">
        <v>22831</v>
      </c>
      <c r="E184" s="345">
        <f t="shared" si="8"/>
        <v>26431</v>
      </c>
      <c r="F184" s="346">
        <f t="shared" si="9"/>
        <v>26431</v>
      </c>
      <c r="G184" s="356"/>
      <c r="H184" s="355"/>
      <c r="I184" s="356"/>
      <c r="J184" s="356"/>
      <c r="K184" s="357"/>
    </row>
    <row r="185" spans="1:11">
      <c r="A185" s="358"/>
      <c r="B185" s="351" t="s">
        <v>1833</v>
      </c>
      <c r="C185" s="386">
        <v>1.1499999999999999</v>
      </c>
      <c r="D185" s="353">
        <v>36574</v>
      </c>
      <c r="E185" s="345">
        <f t="shared" si="8"/>
        <v>42341</v>
      </c>
      <c r="F185" s="346">
        <f t="shared" si="9"/>
        <v>42341</v>
      </c>
      <c r="G185" s="356"/>
      <c r="H185" s="355"/>
      <c r="I185" s="356"/>
      <c r="J185" s="356"/>
      <c r="K185" s="357"/>
    </row>
    <row r="186" spans="1:11">
      <c r="A186" s="358"/>
      <c r="B186" s="351" t="s">
        <v>1834</v>
      </c>
      <c r="C186" s="386">
        <v>1.53</v>
      </c>
      <c r="D186" s="353">
        <v>38534</v>
      </c>
      <c r="E186" s="345">
        <f t="shared" si="8"/>
        <v>44610</v>
      </c>
      <c r="F186" s="346">
        <f t="shared" si="9"/>
        <v>44610</v>
      </c>
      <c r="G186" s="356"/>
      <c r="H186" s="355"/>
      <c r="I186" s="356"/>
      <c r="J186" s="356"/>
      <c r="K186" s="357"/>
    </row>
    <row r="187" spans="1:11">
      <c r="A187" s="358"/>
      <c r="B187" s="351" t="s">
        <v>1835</v>
      </c>
      <c r="C187" s="386">
        <v>1.91</v>
      </c>
      <c r="D187" s="353">
        <v>47434</v>
      </c>
      <c r="E187" s="345">
        <f t="shared" si="8"/>
        <v>54914</v>
      </c>
      <c r="F187" s="346">
        <f t="shared" si="9"/>
        <v>54914</v>
      </c>
      <c r="G187" s="356"/>
      <c r="H187" s="355"/>
      <c r="I187" s="356"/>
      <c r="J187" s="356"/>
      <c r="K187" s="357"/>
    </row>
    <row r="188" spans="1:11">
      <c r="A188" s="358"/>
      <c r="B188" s="351" t="s">
        <v>1836</v>
      </c>
      <c r="C188" s="386">
        <v>2.29</v>
      </c>
      <c r="D188" s="353">
        <v>60850</v>
      </c>
      <c r="E188" s="345">
        <f t="shared" si="8"/>
        <v>70446</v>
      </c>
      <c r="F188" s="346">
        <f t="shared" si="9"/>
        <v>70446</v>
      </c>
      <c r="G188" s="356"/>
      <c r="H188" s="355"/>
      <c r="I188" s="356"/>
      <c r="J188" s="356"/>
      <c r="K188" s="357"/>
    </row>
    <row r="189" spans="1:11">
      <c r="A189" s="359"/>
      <c r="B189" s="351" t="s">
        <v>1837</v>
      </c>
      <c r="C189" s="386">
        <v>2.68</v>
      </c>
      <c r="D189" s="353">
        <v>82558</v>
      </c>
      <c r="E189" s="345">
        <f t="shared" si="8"/>
        <v>95577</v>
      </c>
      <c r="F189" s="346">
        <f t="shared" si="9"/>
        <v>95577</v>
      </c>
      <c r="G189" s="356"/>
      <c r="H189" s="355"/>
      <c r="I189" s="356"/>
      <c r="J189" s="356"/>
      <c r="K189" s="357"/>
    </row>
    <row r="190" spans="1:11">
      <c r="A190" s="372">
        <v>2113</v>
      </c>
      <c r="B190" s="351" t="s">
        <v>1838</v>
      </c>
      <c r="C190" s="383" t="s">
        <v>1817</v>
      </c>
      <c r="D190" s="353">
        <v>1062</v>
      </c>
      <c r="E190" s="345">
        <f t="shared" si="8"/>
        <v>1229</v>
      </c>
      <c r="F190" s="346">
        <f t="shared" si="9"/>
        <v>1229</v>
      </c>
      <c r="G190" s="356"/>
      <c r="H190" s="355"/>
      <c r="I190" s="356"/>
      <c r="J190" s="356"/>
      <c r="K190" s="357"/>
    </row>
    <row r="191" spans="1:11">
      <c r="A191" s="358" t="s">
        <v>1828</v>
      </c>
      <c r="B191" s="351" t="s">
        <v>1839</v>
      </c>
      <c r="C191" s="386">
        <v>0.38</v>
      </c>
      <c r="D191" s="353">
        <v>2165</v>
      </c>
      <c r="E191" s="345">
        <f t="shared" si="8"/>
        <v>2506</v>
      </c>
      <c r="F191" s="346">
        <f t="shared" si="9"/>
        <v>2506</v>
      </c>
      <c r="G191" s="356"/>
      <c r="H191" s="355"/>
      <c r="I191" s="356"/>
      <c r="J191" s="356"/>
      <c r="K191" s="357"/>
    </row>
    <row r="192" spans="1:11">
      <c r="A192" s="358" t="s">
        <v>1840</v>
      </c>
      <c r="B192" s="351" t="s">
        <v>1841</v>
      </c>
      <c r="C192" s="386">
        <v>0.56999999999999995</v>
      </c>
      <c r="D192" s="353">
        <v>3043</v>
      </c>
      <c r="E192" s="345">
        <f t="shared" si="8"/>
        <v>3522</v>
      </c>
      <c r="F192" s="346">
        <f t="shared" si="9"/>
        <v>3522</v>
      </c>
      <c r="G192" s="356"/>
      <c r="H192" s="355"/>
      <c r="I192" s="356"/>
      <c r="J192" s="356"/>
      <c r="K192" s="357"/>
    </row>
    <row r="193" spans="1:11">
      <c r="A193" s="358"/>
      <c r="B193" s="351" t="s">
        <v>1880</v>
      </c>
      <c r="C193" s="386">
        <v>0.76</v>
      </c>
      <c r="D193" s="353">
        <v>3688</v>
      </c>
      <c r="E193" s="345">
        <f t="shared" si="8"/>
        <v>4269</v>
      </c>
      <c r="F193" s="346">
        <f t="shared" si="9"/>
        <v>4269</v>
      </c>
      <c r="G193" s="356"/>
      <c r="H193" s="355"/>
      <c r="I193" s="356"/>
      <c r="J193" s="356"/>
      <c r="K193" s="357"/>
    </row>
    <row r="194" spans="1:11">
      <c r="A194" s="358"/>
      <c r="B194" s="351" t="s">
        <v>1881</v>
      </c>
      <c r="C194" s="386">
        <v>1.1499999999999999</v>
      </c>
      <c r="D194" s="353">
        <v>5540</v>
      </c>
      <c r="E194" s="345">
        <f t="shared" si="8"/>
        <v>6413</v>
      </c>
      <c r="F194" s="346">
        <f t="shared" si="9"/>
        <v>6413</v>
      </c>
      <c r="G194" s="356"/>
      <c r="H194" s="355"/>
      <c r="I194" s="356"/>
      <c r="J194" s="356"/>
      <c r="K194" s="357"/>
    </row>
    <row r="195" spans="1:11">
      <c r="A195" s="358"/>
      <c r="B195" s="351" t="s">
        <v>1882</v>
      </c>
      <c r="C195" s="386">
        <v>1.53</v>
      </c>
      <c r="D195" s="353">
        <v>6407</v>
      </c>
      <c r="E195" s="345">
        <f t="shared" si="8"/>
        <v>7417</v>
      </c>
      <c r="F195" s="346">
        <f t="shared" si="9"/>
        <v>7417</v>
      </c>
      <c r="G195" s="356"/>
      <c r="H195" s="355"/>
      <c r="I195" s="356"/>
      <c r="J195" s="356"/>
      <c r="K195" s="357"/>
    </row>
    <row r="196" spans="1:11">
      <c r="A196" s="358"/>
      <c r="B196" s="351" t="s">
        <v>1883</v>
      </c>
      <c r="C196" s="386">
        <v>1.91</v>
      </c>
      <c r="D196" s="353">
        <v>7700</v>
      </c>
      <c r="E196" s="345">
        <f t="shared" si="8"/>
        <v>8914</v>
      </c>
      <c r="F196" s="346">
        <f t="shared" si="9"/>
        <v>8914</v>
      </c>
      <c r="G196" s="356"/>
      <c r="H196" s="355"/>
      <c r="I196" s="356"/>
      <c r="J196" s="356"/>
      <c r="K196" s="357"/>
    </row>
    <row r="197" spans="1:11">
      <c r="A197" s="358"/>
      <c r="B197" s="351" t="s">
        <v>1884</v>
      </c>
      <c r="C197" s="386">
        <v>2.29</v>
      </c>
      <c r="D197" s="353">
        <v>8905</v>
      </c>
      <c r="E197" s="345">
        <f t="shared" si="8"/>
        <v>10309</v>
      </c>
      <c r="F197" s="346">
        <f t="shared" si="9"/>
        <v>10309</v>
      </c>
      <c r="G197" s="356"/>
      <c r="H197" s="355"/>
      <c r="I197" s="356"/>
      <c r="J197" s="356"/>
      <c r="K197" s="357"/>
    </row>
    <row r="198" spans="1:11">
      <c r="A198" s="359"/>
      <c r="B198" s="351" t="s">
        <v>1885</v>
      </c>
      <c r="C198" s="386">
        <v>2.68</v>
      </c>
      <c r="D198" s="353">
        <v>12997</v>
      </c>
      <c r="E198" s="345">
        <f t="shared" si="8"/>
        <v>15046</v>
      </c>
      <c r="F198" s="346">
        <f t="shared" si="9"/>
        <v>15046</v>
      </c>
      <c r="G198" s="356"/>
      <c r="H198" s="355"/>
      <c r="I198" s="356"/>
      <c r="J198" s="356"/>
      <c r="K198" s="357"/>
    </row>
    <row r="199" spans="1:11">
      <c r="A199" s="372">
        <v>2114</v>
      </c>
      <c r="B199" s="351" t="s">
        <v>1886</v>
      </c>
      <c r="C199" s="383" t="s">
        <v>1817</v>
      </c>
      <c r="D199" s="353">
        <v>1141</v>
      </c>
      <c r="E199" s="345">
        <f t="shared" si="8"/>
        <v>1320</v>
      </c>
      <c r="F199" s="346">
        <f t="shared" si="9"/>
        <v>1320</v>
      </c>
      <c r="G199" s="356"/>
      <c r="H199" s="355"/>
      <c r="I199" s="356"/>
      <c r="J199" s="356"/>
      <c r="K199" s="357"/>
    </row>
    <row r="200" spans="1:11">
      <c r="A200" s="358" t="s">
        <v>1828</v>
      </c>
      <c r="B200" s="351" t="s">
        <v>1887</v>
      </c>
      <c r="C200" s="386">
        <v>0.38</v>
      </c>
      <c r="D200" s="353">
        <v>1320</v>
      </c>
      <c r="E200" s="345">
        <f t="shared" si="8"/>
        <v>1528</v>
      </c>
      <c r="F200" s="346">
        <f t="shared" si="9"/>
        <v>1528</v>
      </c>
      <c r="G200" s="356"/>
      <c r="H200" s="355"/>
      <c r="I200" s="356"/>
      <c r="J200" s="356"/>
      <c r="K200" s="357"/>
    </row>
    <row r="201" spans="1:11">
      <c r="A201" s="358" t="s">
        <v>1888</v>
      </c>
      <c r="B201" s="351" t="s">
        <v>1889</v>
      </c>
      <c r="C201" s="386">
        <v>0.56999999999999995</v>
      </c>
      <c r="D201" s="353">
        <v>2126</v>
      </c>
      <c r="E201" s="345">
        <f t="shared" si="8"/>
        <v>2461</v>
      </c>
      <c r="F201" s="346">
        <f t="shared" si="9"/>
        <v>2461</v>
      </c>
      <c r="G201" s="356"/>
      <c r="H201" s="355"/>
      <c r="I201" s="356"/>
      <c r="J201" s="356"/>
      <c r="K201" s="357"/>
    </row>
    <row r="202" spans="1:11">
      <c r="A202" s="358"/>
      <c r="B202" s="351" t="s">
        <v>1890</v>
      </c>
      <c r="C202" s="386">
        <v>0.76</v>
      </c>
      <c r="D202" s="353">
        <v>3503</v>
      </c>
      <c r="E202" s="345">
        <f t="shared" si="8"/>
        <v>4055</v>
      </c>
      <c r="F202" s="346">
        <f t="shared" si="9"/>
        <v>4055</v>
      </c>
      <c r="G202" s="356"/>
      <c r="H202" s="355"/>
      <c r="I202" s="356"/>
      <c r="J202" s="356"/>
      <c r="K202" s="357"/>
    </row>
    <row r="203" spans="1:11">
      <c r="A203" s="358"/>
      <c r="B203" s="351" t="s">
        <v>1891</v>
      </c>
      <c r="C203" s="386">
        <v>1.1499999999999999</v>
      </c>
      <c r="D203" s="353">
        <v>4288</v>
      </c>
      <c r="E203" s="345">
        <f t="shared" si="8"/>
        <v>4964</v>
      </c>
      <c r="F203" s="346">
        <f t="shared" si="9"/>
        <v>4964</v>
      </c>
      <c r="G203" s="356"/>
      <c r="H203" s="355"/>
      <c r="I203" s="356"/>
      <c r="J203" s="356"/>
      <c r="K203" s="357"/>
    </row>
    <row r="204" spans="1:11">
      <c r="A204" s="358"/>
      <c r="B204" s="351" t="s">
        <v>1892</v>
      </c>
      <c r="C204" s="386">
        <v>1.53</v>
      </c>
      <c r="D204" s="353">
        <v>4962</v>
      </c>
      <c r="E204" s="345">
        <f t="shared" si="8"/>
        <v>5744</v>
      </c>
      <c r="F204" s="346">
        <f t="shared" si="9"/>
        <v>5744</v>
      </c>
      <c r="G204" s="356"/>
      <c r="H204" s="355"/>
      <c r="I204" s="356"/>
      <c r="J204" s="356"/>
      <c r="K204" s="357"/>
    </row>
    <row r="205" spans="1:11">
      <c r="A205" s="358"/>
      <c r="B205" s="351" t="s">
        <v>1893</v>
      </c>
      <c r="C205" s="386">
        <v>1.91</v>
      </c>
      <c r="D205" s="353">
        <v>5311</v>
      </c>
      <c r="E205" s="345">
        <f t="shared" si="8"/>
        <v>6148</v>
      </c>
      <c r="F205" s="346">
        <f t="shared" si="9"/>
        <v>6148</v>
      </c>
      <c r="G205" s="356"/>
      <c r="H205" s="355"/>
      <c r="I205" s="356"/>
      <c r="J205" s="356"/>
      <c r="K205" s="357"/>
    </row>
    <row r="206" spans="1:11">
      <c r="A206" s="358"/>
      <c r="B206" s="351" t="s">
        <v>1894</v>
      </c>
      <c r="C206" s="386">
        <v>2.29</v>
      </c>
      <c r="D206" s="353">
        <v>6347</v>
      </c>
      <c r="E206" s="345">
        <f t="shared" si="8"/>
        <v>7347</v>
      </c>
      <c r="F206" s="346">
        <f t="shared" si="9"/>
        <v>7347</v>
      </c>
      <c r="G206" s="356"/>
      <c r="H206" s="355"/>
      <c r="I206" s="356"/>
      <c r="J206" s="356"/>
      <c r="K206" s="357"/>
    </row>
    <row r="207" spans="1:11">
      <c r="A207" s="359"/>
      <c r="B207" s="351" t="s">
        <v>1895</v>
      </c>
      <c r="C207" s="386">
        <v>2.68</v>
      </c>
      <c r="D207" s="353">
        <v>9532</v>
      </c>
      <c r="E207" s="345">
        <f t="shared" si="8"/>
        <v>11035</v>
      </c>
      <c r="F207" s="346">
        <f t="shared" si="9"/>
        <v>11035</v>
      </c>
      <c r="G207" s="356"/>
      <c r="H207" s="355"/>
      <c r="I207" s="356"/>
      <c r="J207" s="356"/>
      <c r="K207" s="357"/>
    </row>
    <row r="208" spans="1:11">
      <c r="A208" s="372">
        <v>2115</v>
      </c>
      <c r="B208" s="351" t="s">
        <v>1896</v>
      </c>
      <c r="C208" s="387" t="s">
        <v>1897</v>
      </c>
      <c r="D208" s="353"/>
      <c r="E208" s="345">
        <v>20436</v>
      </c>
      <c r="F208" s="346">
        <f t="shared" si="9"/>
        <v>0</v>
      </c>
      <c r="G208" s="356"/>
      <c r="H208" s="355"/>
      <c r="I208" s="356"/>
      <c r="J208" s="356"/>
      <c r="K208" s="357"/>
    </row>
    <row r="209" spans="1:11">
      <c r="A209" s="342" t="s">
        <v>1898</v>
      </c>
      <c r="B209" s="351" t="s">
        <v>1899</v>
      </c>
      <c r="C209" s="387" t="s">
        <v>1900</v>
      </c>
      <c r="D209" s="353"/>
      <c r="E209" s="345">
        <v>26397</v>
      </c>
      <c r="F209" s="346">
        <f t="shared" si="9"/>
        <v>0</v>
      </c>
      <c r="G209" s="356"/>
      <c r="H209" s="355"/>
      <c r="I209" s="356"/>
      <c r="J209" s="356"/>
      <c r="K209" s="357"/>
    </row>
    <row r="210" spans="1:11">
      <c r="A210" s="367"/>
      <c r="B210" s="351" t="s">
        <v>1901</v>
      </c>
      <c r="C210" s="375">
        <v>36</v>
      </c>
      <c r="D210" s="353"/>
      <c r="E210" s="345">
        <v>30654</v>
      </c>
      <c r="F210" s="346">
        <f t="shared" si="9"/>
        <v>0</v>
      </c>
      <c r="G210" s="356"/>
      <c r="H210" s="355"/>
      <c r="I210" s="356"/>
      <c r="J210" s="356"/>
      <c r="K210" s="357"/>
    </row>
    <row r="211" spans="1:11">
      <c r="A211" s="360">
        <v>2116</v>
      </c>
      <c r="B211" s="361" t="s">
        <v>1902</v>
      </c>
      <c r="C211" s="375" t="s">
        <v>1903</v>
      </c>
      <c r="D211" s="353"/>
      <c r="E211" s="345">
        <v>66397</v>
      </c>
      <c r="F211" s="346">
        <f t="shared" si="9"/>
        <v>0</v>
      </c>
      <c r="G211" s="356"/>
      <c r="H211" s="355"/>
      <c r="I211" s="356"/>
      <c r="J211" s="356"/>
      <c r="K211" s="357"/>
    </row>
    <row r="212" spans="1:11">
      <c r="A212" s="359" t="s">
        <v>1905</v>
      </c>
      <c r="B212" s="351" t="s">
        <v>1906</v>
      </c>
      <c r="C212" s="375">
        <v>36</v>
      </c>
      <c r="D212" s="353"/>
      <c r="E212" s="345">
        <v>70564</v>
      </c>
      <c r="F212" s="346">
        <f t="shared" si="9"/>
        <v>0</v>
      </c>
      <c r="G212" s="356"/>
      <c r="H212" s="355"/>
      <c r="I212" s="356"/>
      <c r="J212" s="356"/>
      <c r="K212" s="357"/>
    </row>
    <row r="213" spans="1:11">
      <c r="A213" s="372">
        <v>2117</v>
      </c>
      <c r="B213" s="361" t="s">
        <v>1907</v>
      </c>
      <c r="C213" s="383" t="s">
        <v>1908</v>
      </c>
      <c r="D213" s="353"/>
      <c r="E213" s="345">
        <v>972</v>
      </c>
      <c r="F213" s="346">
        <f t="shared" si="9"/>
        <v>0</v>
      </c>
      <c r="G213" s="356"/>
      <c r="H213" s="355"/>
      <c r="I213" s="356"/>
      <c r="J213" s="356"/>
      <c r="K213" s="357"/>
    </row>
    <row r="214" spans="1:11">
      <c r="A214" s="359" t="s">
        <v>1909</v>
      </c>
      <c r="B214" s="351" t="s">
        <v>1910</v>
      </c>
      <c r="C214" s="375">
        <v>27</v>
      </c>
      <c r="D214" s="353"/>
      <c r="E214" s="345">
        <v>1190</v>
      </c>
      <c r="F214" s="346">
        <f t="shared" si="9"/>
        <v>0</v>
      </c>
      <c r="G214" s="356"/>
      <c r="H214" s="355"/>
      <c r="I214" s="356"/>
      <c r="J214" s="356"/>
      <c r="K214" s="357"/>
    </row>
    <row r="215" spans="1:11">
      <c r="A215" s="365" t="s">
        <v>2332</v>
      </c>
      <c r="B215" s="361" t="s">
        <v>1911</v>
      </c>
      <c r="C215" s="383" t="s">
        <v>1912</v>
      </c>
      <c r="D215" s="353"/>
      <c r="E215" s="345">
        <v>8000</v>
      </c>
      <c r="F215" s="346">
        <f t="shared" si="9"/>
        <v>0</v>
      </c>
      <c r="G215" s="356"/>
      <c r="H215" s="355"/>
      <c r="I215" s="356"/>
      <c r="J215" s="356"/>
      <c r="K215" s="357"/>
    </row>
    <row r="216" spans="1:11">
      <c r="A216" s="365" t="s">
        <v>2333</v>
      </c>
      <c r="B216" s="361" t="s">
        <v>1913</v>
      </c>
      <c r="C216" s="387" t="s">
        <v>1914</v>
      </c>
      <c r="D216" s="353"/>
      <c r="E216" s="345">
        <v>50000</v>
      </c>
      <c r="F216" s="346">
        <f t="shared" si="9"/>
        <v>0</v>
      </c>
      <c r="G216" s="356"/>
      <c r="H216" s="355"/>
      <c r="I216" s="356"/>
      <c r="J216" s="356"/>
      <c r="K216" s="357"/>
    </row>
    <row r="217" spans="1:11">
      <c r="A217" s="372">
        <v>2208</v>
      </c>
      <c r="B217" s="361" t="s">
        <v>3802</v>
      </c>
      <c r="C217" s="387" t="s">
        <v>3115</v>
      </c>
      <c r="D217" s="345">
        <v>242550</v>
      </c>
      <c r="E217" s="345">
        <f t="shared" ref="E217:E223" si="10">F217</f>
        <v>280800</v>
      </c>
      <c r="F217" s="346">
        <f t="shared" si="9"/>
        <v>280800</v>
      </c>
      <c r="G217" s="356"/>
      <c r="H217" s="355"/>
      <c r="I217" s="356">
        <v>1</v>
      </c>
      <c r="J217" s="356"/>
      <c r="K217" s="357"/>
    </row>
    <row r="218" spans="1:11">
      <c r="A218" s="358"/>
      <c r="B218" s="361" t="s">
        <v>3803</v>
      </c>
      <c r="C218" s="387" t="s">
        <v>3116</v>
      </c>
      <c r="D218" s="345"/>
      <c r="E218" s="345">
        <v>360360</v>
      </c>
      <c r="F218" s="346">
        <f t="shared" si="9"/>
        <v>0</v>
      </c>
      <c r="G218" s="356"/>
      <c r="H218" s="355"/>
      <c r="I218" s="356">
        <v>1</v>
      </c>
      <c r="J218" s="356"/>
      <c r="K218" s="357"/>
    </row>
    <row r="219" spans="1:11">
      <c r="A219" s="358" t="s">
        <v>1915</v>
      </c>
      <c r="B219" s="351" t="s">
        <v>3804</v>
      </c>
      <c r="C219" s="387" t="s">
        <v>3117</v>
      </c>
      <c r="D219" s="345"/>
      <c r="E219" s="345">
        <v>472500</v>
      </c>
      <c r="F219" s="346">
        <f t="shared" si="9"/>
        <v>0</v>
      </c>
      <c r="G219" s="356"/>
      <c r="H219" s="355"/>
      <c r="I219" s="356">
        <v>1</v>
      </c>
      <c r="J219" s="356"/>
      <c r="K219" s="357"/>
    </row>
    <row r="220" spans="1:11">
      <c r="A220" s="612"/>
      <c r="B220" s="351" t="s">
        <v>3805</v>
      </c>
      <c r="C220" s="387" t="s">
        <v>3118</v>
      </c>
      <c r="D220" s="345">
        <v>578813</v>
      </c>
      <c r="E220" s="345">
        <f t="shared" si="10"/>
        <v>670091</v>
      </c>
      <c r="F220" s="346">
        <f t="shared" si="9"/>
        <v>670091</v>
      </c>
      <c r="G220" s="356"/>
      <c r="H220" s="355"/>
      <c r="I220" s="356">
        <v>1</v>
      </c>
      <c r="J220" s="356"/>
      <c r="K220" s="357"/>
    </row>
    <row r="221" spans="1:11">
      <c r="A221" s="365" t="s">
        <v>3119</v>
      </c>
      <c r="B221" s="361" t="s">
        <v>1916</v>
      </c>
      <c r="C221" s="386" t="s">
        <v>1917</v>
      </c>
      <c r="D221" s="353"/>
      <c r="E221" s="345">
        <v>19650</v>
      </c>
      <c r="F221" s="346">
        <f t="shared" si="9"/>
        <v>0</v>
      </c>
      <c r="G221" s="356"/>
      <c r="H221" s="355"/>
      <c r="I221" s="356"/>
      <c r="J221" s="356"/>
      <c r="K221" s="357"/>
    </row>
    <row r="222" spans="1:11">
      <c r="A222" s="372">
        <v>2330</v>
      </c>
      <c r="B222" s="361" t="s">
        <v>1918</v>
      </c>
      <c r="C222" s="386" t="s">
        <v>1919</v>
      </c>
      <c r="D222" s="353">
        <v>9949</v>
      </c>
      <c r="E222" s="345">
        <f t="shared" si="10"/>
        <v>11517</v>
      </c>
      <c r="F222" s="346">
        <f t="shared" si="9"/>
        <v>11517</v>
      </c>
      <c r="G222" s="356">
        <v>3.5</v>
      </c>
      <c r="H222" s="356">
        <v>20.2</v>
      </c>
      <c r="I222" s="356">
        <v>1</v>
      </c>
      <c r="J222" s="356"/>
      <c r="K222" s="357"/>
    </row>
    <row r="223" spans="1:11">
      <c r="A223" s="359" t="s">
        <v>1920</v>
      </c>
      <c r="B223" s="351" t="s">
        <v>1921</v>
      </c>
      <c r="C223" s="375">
        <v>7</v>
      </c>
      <c r="D223" s="353">
        <v>13933</v>
      </c>
      <c r="E223" s="345">
        <f t="shared" si="10"/>
        <v>16130</v>
      </c>
      <c r="F223" s="346">
        <f t="shared" si="9"/>
        <v>16130</v>
      </c>
      <c r="G223" s="356">
        <v>4.2</v>
      </c>
      <c r="H223" s="356">
        <v>20.2</v>
      </c>
      <c r="I223" s="356">
        <v>1</v>
      </c>
      <c r="J223" s="356"/>
      <c r="K223" s="357"/>
    </row>
    <row r="224" spans="1:11">
      <c r="A224" s="365" t="s">
        <v>2334</v>
      </c>
      <c r="B224" s="361" t="s">
        <v>1922</v>
      </c>
      <c r="C224" s="386" t="s">
        <v>1923</v>
      </c>
      <c r="D224" s="353"/>
      <c r="E224" s="345">
        <v>1626</v>
      </c>
      <c r="F224" s="346">
        <f t="shared" si="9"/>
        <v>0</v>
      </c>
      <c r="G224" s="356">
        <v>1.3</v>
      </c>
      <c r="H224" s="355">
        <v>20</v>
      </c>
      <c r="I224" s="356">
        <v>1</v>
      </c>
      <c r="J224" s="356"/>
      <c r="K224" s="357"/>
    </row>
    <row r="225" spans="1:11">
      <c r="A225" s="372">
        <v>2502</v>
      </c>
      <c r="B225" s="361" t="s">
        <v>1924</v>
      </c>
      <c r="C225" s="386" t="s">
        <v>1523</v>
      </c>
      <c r="D225" s="353"/>
      <c r="E225" s="345">
        <v>21576</v>
      </c>
      <c r="F225" s="346">
        <f t="shared" si="9"/>
        <v>0</v>
      </c>
      <c r="G225" s="356">
        <v>4</v>
      </c>
      <c r="H225" s="355">
        <v>37</v>
      </c>
      <c r="I225" s="356">
        <v>1</v>
      </c>
      <c r="J225" s="356"/>
      <c r="K225" s="357"/>
    </row>
    <row r="226" spans="1:11">
      <c r="A226" s="358" t="s">
        <v>1925</v>
      </c>
      <c r="B226" s="351" t="s">
        <v>1926</v>
      </c>
      <c r="C226" s="364">
        <v>2.5</v>
      </c>
      <c r="D226" s="353"/>
      <c r="E226" s="345">
        <v>23170</v>
      </c>
      <c r="F226" s="346">
        <f t="shared" si="9"/>
        <v>0</v>
      </c>
      <c r="G226" s="356">
        <v>4</v>
      </c>
      <c r="H226" s="355">
        <v>37</v>
      </c>
      <c r="I226" s="356">
        <v>1</v>
      </c>
      <c r="J226" s="356"/>
      <c r="K226" s="357"/>
    </row>
    <row r="227" spans="1:11">
      <c r="A227" s="358"/>
      <c r="B227" s="351" t="s">
        <v>1927</v>
      </c>
      <c r="C227" s="364">
        <v>3.5</v>
      </c>
      <c r="D227" s="353"/>
      <c r="E227" s="345">
        <v>28517</v>
      </c>
      <c r="F227" s="346">
        <f t="shared" si="9"/>
        <v>0</v>
      </c>
      <c r="G227" s="356">
        <v>5.7</v>
      </c>
      <c r="H227" s="355">
        <v>37</v>
      </c>
      <c r="I227" s="356">
        <v>1</v>
      </c>
      <c r="J227" s="356"/>
      <c r="K227" s="357"/>
    </row>
    <row r="228" spans="1:11">
      <c r="A228" s="358"/>
      <c r="B228" s="351" t="s">
        <v>1928</v>
      </c>
      <c r="C228" s="364">
        <v>5</v>
      </c>
      <c r="D228" s="353"/>
      <c r="E228" s="345">
        <v>39453</v>
      </c>
      <c r="F228" s="346">
        <f t="shared" si="9"/>
        <v>0</v>
      </c>
      <c r="G228" s="356">
        <v>5.7</v>
      </c>
      <c r="H228" s="355">
        <v>37</v>
      </c>
      <c r="I228" s="356">
        <v>1</v>
      </c>
      <c r="J228" s="356"/>
      <c r="K228" s="357"/>
    </row>
    <row r="229" spans="1:11">
      <c r="A229" s="359"/>
      <c r="B229" s="351" t="s">
        <v>1929</v>
      </c>
      <c r="C229" s="388" t="s">
        <v>1930</v>
      </c>
      <c r="D229" s="353"/>
      <c r="E229" s="345">
        <v>50771</v>
      </c>
      <c r="F229" s="346">
        <f t="shared" si="9"/>
        <v>0</v>
      </c>
      <c r="G229" s="356">
        <v>6.6</v>
      </c>
      <c r="H229" s="355">
        <v>37</v>
      </c>
      <c r="I229" s="356">
        <v>1</v>
      </c>
      <c r="J229" s="356"/>
      <c r="K229" s="357"/>
    </row>
    <row r="230" spans="1:11">
      <c r="A230" s="372">
        <v>2602</v>
      </c>
      <c r="B230" s="361" t="s">
        <v>1931</v>
      </c>
      <c r="C230" s="386" t="s">
        <v>130</v>
      </c>
      <c r="D230" s="353">
        <v>8151</v>
      </c>
      <c r="E230" s="345">
        <f t="shared" ref="E230:E237" si="11">F230</f>
        <v>9436</v>
      </c>
      <c r="F230" s="346">
        <f t="shared" si="9"/>
        <v>9436</v>
      </c>
      <c r="G230" s="356">
        <v>4.5</v>
      </c>
      <c r="H230" s="355">
        <v>29</v>
      </c>
      <c r="I230" s="356">
        <v>1</v>
      </c>
      <c r="J230" s="356"/>
      <c r="K230" s="357"/>
    </row>
    <row r="231" spans="1:11">
      <c r="A231" s="358" t="s">
        <v>1932</v>
      </c>
      <c r="B231" s="351" t="s">
        <v>1933</v>
      </c>
      <c r="C231" s="364">
        <v>2.5</v>
      </c>
      <c r="D231" s="353">
        <v>11918</v>
      </c>
      <c r="E231" s="345">
        <f t="shared" si="11"/>
        <v>13797</v>
      </c>
      <c r="F231" s="346">
        <f t="shared" si="9"/>
        <v>13797</v>
      </c>
      <c r="G231" s="356">
        <v>6.8</v>
      </c>
      <c r="H231" s="355">
        <v>29</v>
      </c>
      <c r="I231" s="356">
        <v>1</v>
      </c>
      <c r="J231" s="356"/>
      <c r="K231" s="357"/>
    </row>
    <row r="232" spans="1:11">
      <c r="A232" s="358"/>
      <c r="B232" s="351" t="s">
        <v>1934</v>
      </c>
      <c r="C232" s="364">
        <v>3.5</v>
      </c>
      <c r="D232" s="353">
        <v>14775</v>
      </c>
      <c r="E232" s="345">
        <f t="shared" si="11"/>
        <v>17105</v>
      </c>
      <c r="F232" s="346">
        <f t="shared" si="9"/>
        <v>17105</v>
      </c>
      <c r="G232" s="356">
        <v>9.1999999999999993</v>
      </c>
      <c r="H232" s="355">
        <v>29</v>
      </c>
      <c r="I232" s="356">
        <v>1</v>
      </c>
      <c r="J232" s="356"/>
      <c r="K232" s="357"/>
    </row>
    <row r="233" spans="1:11">
      <c r="A233" s="359"/>
      <c r="B233" s="351" t="s">
        <v>1935</v>
      </c>
      <c r="C233" s="364">
        <v>4.5</v>
      </c>
      <c r="D233" s="353">
        <v>18964</v>
      </c>
      <c r="E233" s="345">
        <f t="shared" si="11"/>
        <v>21954</v>
      </c>
      <c r="F233" s="346">
        <f t="shared" si="9"/>
        <v>21954</v>
      </c>
      <c r="G233" s="356">
        <v>11.3</v>
      </c>
      <c r="H233" s="355">
        <v>29</v>
      </c>
      <c r="I233" s="356">
        <v>1</v>
      </c>
      <c r="J233" s="356"/>
      <c r="K233" s="357"/>
    </row>
    <row r="234" spans="1:11">
      <c r="A234" s="372">
        <v>2702</v>
      </c>
      <c r="B234" s="361" t="s">
        <v>1936</v>
      </c>
      <c r="C234" s="386" t="s">
        <v>1937</v>
      </c>
      <c r="D234" s="353">
        <v>49594</v>
      </c>
      <c r="E234" s="345">
        <f t="shared" si="11"/>
        <v>57414</v>
      </c>
      <c r="F234" s="346">
        <f t="shared" si="9"/>
        <v>57414</v>
      </c>
      <c r="G234" s="356">
        <v>16.5</v>
      </c>
      <c r="H234" s="355">
        <v>39</v>
      </c>
      <c r="I234" s="356">
        <v>1</v>
      </c>
      <c r="J234" s="356"/>
      <c r="K234" s="357"/>
    </row>
    <row r="235" spans="1:11">
      <c r="A235" s="342" t="s">
        <v>2335</v>
      </c>
      <c r="B235" s="351" t="s">
        <v>1938</v>
      </c>
      <c r="C235" s="375">
        <v>30</v>
      </c>
      <c r="D235" s="353">
        <v>66826</v>
      </c>
      <c r="E235" s="345">
        <f t="shared" si="11"/>
        <v>77364</v>
      </c>
      <c r="F235" s="346">
        <f t="shared" si="9"/>
        <v>77364</v>
      </c>
      <c r="G235" s="356">
        <v>17.2</v>
      </c>
      <c r="H235" s="355">
        <v>39</v>
      </c>
      <c r="I235" s="356">
        <v>1</v>
      </c>
      <c r="J235" s="356"/>
      <c r="K235" s="357"/>
    </row>
    <row r="236" spans="1:11">
      <c r="A236" s="342" t="s">
        <v>2336</v>
      </c>
      <c r="B236" s="351" t="s">
        <v>1939</v>
      </c>
      <c r="C236" s="375">
        <v>40</v>
      </c>
      <c r="D236" s="353">
        <v>88164</v>
      </c>
      <c r="E236" s="345">
        <f t="shared" si="11"/>
        <v>102067</v>
      </c>
      <c r="F236" s="346">
        <f t="shared" si="9"/>
        <v>102067</v>
      </c>
      <c r="G236" s="356">
        <v>20.5</v>
      </c>
      <c r="H236" s="355">
        <v>39</v>
      </c>
      <c r="I236" s="356">
        <v>1</v>
      </c>
      <c r="J236" s="356"/>
      <c r="K236" s="357"/>
    </row>
    <row r="237" spans="1:11">
      <c r="A237" s="359"/>
      <c r="B237" s="351" t="s">
        <v>1940</v>
      </c>
      <c r="C237" s="375">
        <v>60</v>
      </c>
      <c r="D237" s="353">
        <v>123428</v>
      </c>
      <c r="E237" s="345">
        <f t="shared" si="11"/>
        <v>142892</v>
      </c>
      <c r="F237" s="346">
        <f t="shared" ref="F237:F300" si="12">TRUNC(D237*$K$1/1000)</f>
        <v>142892</v>
      </c>
      <c r="G237" s="356">
        <v>26.3</v>
      </c>
      <c r="H237" s="355">
        <v>39</v>
      </c>
      <c r="I237" s="356">
        <v>1</v>
      </c>
      <c r="J237" s="356"/>
      <c r="K237" s="357"/>
    </row>
    <row r="238" spans="1:11">
      <c r="A238" s="372">
        <v>3108</v>
      </c>
      <c r="B238" s="361" t="s">
        <v>1941</v>
      </c>
      <c r="C238" s="388" t="s">
        <v>1942</v>
      </c>
      <c r="D238" s="353"/>
      <c r="E238" s="345">
        <v>286068</v>
      </c>
      <c r="F238" s="346">
        <f t="shared" si="12"/>
        <v>0</v>
      </c>
      <c r="G238" s="384" t="s">
        <v>1943</v>
      </c>
      <c r="H238" s="355"/>
      <c r="I238" s="356">
        <v>2</v>
      </c>
      <c r="J238" s="356"/>
      <c r="K238" s="357"/>
    </row>
    <row r="239" spans="1:11">
      <c r="A239" s="342" t="s">
        <v>1944</v>
      </c>
      <c r="B239" s="351" t="s">
        <v>1945</v>
      </c>
      <c r="C239" s="388" t="s">
        <v>2397</v>
      </c>
      <c r="D239" s="353"/>
      <c r="E239" s="345">
        <v>376916</v>
      </c>
      <c r="F239" s="346">
        <f t="shared" si="12"/>
        <v>0</v>
      </c>
      <c r="G239" s="385" t="s">
        <v>1946</v>
      </c>
      <c r="H239" s="355"/>
      <c r="I239" s="356">
        <v>2</v>
      </c>
      <c r="J239" s="356"/>
      <c r="K239" s="357"/>
    </row>
    <row r="240" spans="1:11">
      <c r="A240" s="358"/>
      <c r="B240" s="351" t="s">
        <v>1947</v>
      </c>
      <c r="C240" s="388" t="s">
        <v>2398</v>
      </c>
      <c r="D240" s="353"/>
      <c r="E240" s="345">
        <v>483333</v>
      </c>
      <c r="F240" s="346">
        <f t="shared" si="12"/>
        <v>0</v>
      </c>
      <c r="G240" s="385" t="s">
        <v>1948</v>
      </c>
      <c r="H240" s="355"/>
      <c r="I240" s="356">
        <v>2</v>
      </c>
      <c r="J240" s="356"/>
      <c r="K240" s="357"/>
    </row>
    <row r="241" spans="1:11">
      <c r="A241" s="358"/>
      <c r="B241" s="351" t="s">
        <v>1949</v>
      </c>
      <c r="C241" s="388" t="s">
        <v>2399</v>
      </c>
      <c r="D241" s="353"/>
      <c r="E241" s="345">
        <v>580000</v>
      </c>
      <c r="F241" s="346">
        <f t="shared" si="12"/>
        <v>0</v>
      </c>
      <c r="G241" s="385" t="s">
        <v>1950</v>
      </c>
      <c r="H241" s="355"/>
      <c r="I241" s="356">
        <v>2</v>
      </c>
      <c r="J241" s="356"/>
      <c r="K241" s="357"/>
    </row>
    <row r="242" spans="1:11">
      <c r="A242" s="359"/>
      <c r="B242" s="351" t="s">
        <v>1341</v>
      </c>
      <c r="C242" s="388" t="s">
        <v>2400</v>
      </c>
      <c r="D242" s="353"/>
      <c r="E242" s="345">
        <v>654444</v>
      </c>
      <c r="F242" s="346">
        <f t="shared" si="12"/>
        <v>0</v>
      </c>
      <c r="G242" s="385" t="s">
        <v>1342</v>
      </c>
      <c r="H242" s="355"/>
      <c r="I242" s="356">
        <v>2</v>
      </c>
      <c r="J242" s="356"/>
      <c r="K242" s="357"/>
    </row>
    <row r="243" spans="1:11">
      <c r="A243" s="365" t="s">
        <v>3120</v>
      </c>
      <c r="B243" s="361" t="s">
        <v>2227</v>
      </c>
      <c r="C243" s="364" t="s">
        <v>2228</v>
      </c>
      <c r="D243" s="353"/>
      <c r="E243" s="345">
        <v>177545</v>
      </c>
      <c r="F243" s="346">
        <f t="shared" si="12"/>
        <v>0</v>
      </c>
      <c r="G243" s="355">
        <v>13</v>
      </c>
      <c r="H243" s="355">
        <v>7</v>
      </c>
      <c r="I243" s="356">
        <v>1</v>
      </c>
      <c r="J243" s="356"/>
      <c r="K243" s="357"/>
    </row>
    <row r="244" spans="1:11">
      <c r="A244" s="360" t="s">
        <v>3121</v>
      </c>
      <c r="B244" s="361" t="s">
        <v>2229</v>
      </c>
      <c r="C244" s="388" t="s">
        <v>2401</v>
      </c>
      <c r="D244" s="353">
        <v>39828</v>
      </c>
      <c r="E244" s="345">
        <f t="shared" ref="E244:E260" si="13">F244</f>
        <v>46108</v>
      </c>
      <c r="F244" s="346">
        <f t="shared" si="12"/>
        <v>46108</v>
      </c>
      <c r="G244" s="356">
        <v>8.9</v>
      </c>
      <c r="H244" s="355">
        <v>25</v>
      </c>
      <c r="I244" s="356">
        <v>1</v>
      </c>
      <c r="J244" s="356"/>
      <c r="K244" s="357"/>
    </row>
    <row r="245" spans="1:11">
      <c r="A245" s="342"/>
      <c r="B245" s="351" t="s">
        <v>2230</v>
      </c>
      <c r="C245" s="388" t="s">
        <v>2402</v>
      </c>
      <c r="D245" s="353">
        <v>48129</v>
      </c>
      <c r="E245" s="345">
        <f t="shared" si="13"/>
        <v>55718</v>
      </c>
      <c r="F245" s="346">
        <f t="shared" si="12"/>
        <v>55718</v>
      </c>
      <c r="G245" s="356">
        <v>10.9</v>
      </c>
      <c r="H245" s="355">
        <v>25</v>
      </c>
      <c r="I245" s="356">
        <v>1</v>
      </c>
      <c r="J245" s="356"/>
      <c r="K245" s="357"/>
    </row>
    <row r="246" spans="1:11">
      <c r="A246" s="358"/>
      <c r="B246" s="351" t="s">
        <v>2231</v>
      </c>
      <c r="C246" s="364" t="s">
        <v>2403</v>
      </c>
      <c r="D246" s="353">
        <v>59405</v>
      </c>
      <c r="E246" s="345">
        <f t="shared" si="13"/>
        <v>68773</v>
      </c>
      <c r="F246" s="346">
        <f t="shared" si="12"/>
        <v>68773</v>
      </c>
      <c r="G246" s="356">
        <v>11.3</v>
      </c>
      <c r="H246" s="355">
        <v>25</v>
      </c>
      <c r="I246" s="356">
        <v>1</v>
      </c>
      <c r="J246" s="356"/>
      <c r="K246" s="357"/>
    </row>
    <row r="247" spans="1:11">
      <c r="A247" s="359"/>
      <c r="B247" s="351" t="s">
        <v>2232</v>
      </c>
      <c r="C247" s="364" t="s">
        <v>2404</v>
      </c>
      <c r="D247" s="353">
        <v>69259</v>
      </c>
      <c r="E247" s="345">
        <f t="shared" si="13"/>
        <v>80181</v>
      </c>
      <c r="F247" s="346">
        <f t="shared" si="12"/>
        <v>80181</v>
      </c>
      <c r="G247" s="356">
        <v>14.3</v>
      </c>
      <c r="H247" s="355">
        <v>25</v>
      </c>
      <c r="I247" s="356">
        <v>1</v>
      </c>
      <c r="J247" s="356"/>
      <c r="K247" s="357"/>
    </row>
    <row r="248" spans="1:11">
      <c r="A248" s="372">
        <v>3430</v>
      </c>
      <c r="B248" s="361" t="s">
        <v>2233</v>
      </c>
      <c r="C248" s="388" t="s">
        <v>2234</v>
      </c>
      <c r="D248" s="353">
        <v>1764</v>
      </c>
      <c r="E248" s="345">
        <f t="shared" si="13"/>
        <v>2042</v>
      </c>
      <c r="F248" s="346">
        <f t="shared" si="12"/>
        <v>2042</v>
      </c>
      <c r="G248" s="384" t="s">
        <v>2235</v>
      </c>
      <c r="H248" s="355">
        <v>6</v>
      </c>
      <c r="I248" s="356">
        <v>1</v>
      </c>
      <c r="J248" s="356"/>
      <c r="K248" s="357"/>
    </row>
    <row r="249" spans="1:11">
      <c r="A249" s="359" t="s">
        <v>2236</v>
      </c>
      <c r="B249" s="351" t="s">
        <v>2237</v>
      </c>
      <c r="C249" s="375">
        <v>400</v>
      </c>
      <c r="D249" s="353">
        <v>2400</v>
      </c>
      <c r="E249" s="345">
        <f t="shared" si="13"/>
        <v>2778</v>
      </c>
      <c r="F249" s="346">
        <f t="shared" si="12"/>
        <v>2778</v>
      </c>
      <c r="G249" s="385" t="s">
        <v>2238</v>
      </c>
      <c r="H249" s="355">
        <v>6</v>
      </c>
      <c r="I249" s="356">
        <v>1</v>
      </c>
      <c r="J249" s="356"/>
      <c r="K249" s="357"/>
    </row>
    <row r="250" spans="1:11" ht="24">
      <c r="A250" s="389" t="s">
        <v>2337</v>
      </c>
      <c r="B250" s="361" t="s">
        <v>2239</v>
      </c>
      <c r="C250" s="375" t="s">
        <v>2240</v>
      </c>
      <c r="D250" s="353">
        <v>3493854</v>
      </c>
      <c r="E250" s="345">
        <f t="shared" si="13"/>
        <v>4044834</v>
      </c>
      <c r="F250" s="346">
        <f t="shared" si="12"/>
        <v>4044834</v>
      </c>
      <c r="G250" s="390" t="s">
        <v>3122</v>
      </c>
      <c r="H250" s="355">
        <v>20</v>
      </c>
      <c r="I250" s="356">
        <v>7</v>
      </c>
      <c r="J250" s="356"/>
      <c r="K250" s="357"/>
    </row>
    <row r="251" spans="1:11">
      <c r="A251" s="372">
        <v>3530</v>
      </c>
      <c r="B251" s="361" t="s">
        <v>2241</v>
      </c>
      <c r="C251" s="364" t="s">
        <v>2242</v>
      </c>
      <c r="D251" s="353">
        <v>82681</v>
      </c>
      <c r="E251" s="345">
        <f t="shared" si="13"/>
        <v>95719</v>
      </c>
      <c r="F251" s="346">
        <f t="shared" si="12"/>
        <v>95719</v>
      </c>
      <c r="G251" s="356">
        <v>17</v>
      </c>
      <c r="H251" s="355">
        <v>27</v>
      </c>
      <c r="I251" s="356">
        <v>1</v>
      </c>
      <c r="J251" s="356"/>
      <c r="K251" s="357"/>
    </row>
    <row r="252" spans="1:11">
      <c r="A252" s="612" t="s">
        <v>3806</v>
      </c>
      <c r="B252" s="351" t="s">
        <v>2243</v>
      </c>
      <c r="C252" s="364" t="s">
        <v>2405</v>
      </c>
      <c r="D252" s="353">
        <v>105196</v>
      </c>
      <c r="E252" s="345">
        <f t="shared" si="13"/>
        <v>121785</v>
      </c>
      <c r="F252" s="346">
        <f t="shared" si="12"/>
        <v>121785</v>
      </c>
      <c r="G252" s="356">
        <v>35</v>
      </c>
      <c r="H252" s="355">
        <v>27</v>
      </c>
      <c r="I252" s="356">
        <v>1</v>
      </c>
      <c r="J252" s="356"/>
      <c r="K252" s="357"/>
    </row>
    <row r="253" spans="1:11">
      <c r="A253" s="372">
        <v>3601</v>
      </c>
      <c r="B253" s="361" t="s">
        <v>2244</v>
      </c>
      <c r="C253" s="364" t="s">
        <v>2245</v>
      </c>
      <c r="D253" s="353">
        <v>123145</v>
      </c>
      <c r="E253" s="345">
        <f t="shared" si="13"/>
        <v>142564</v>
      </c>
      <c r="F253" s="346">
        <f t="shared" si="12"/>
        <v>142564</v>
      </c>
      <c r="G253" s="356">
        <v>9.6</v>
      </c>
      <c r="H253" s="355">
        <v>14</v>
      </c>
      <c r="I253" s="356">
        <v>1</v>
      </c>
      <c r="J253" s="356"/>
      <c r="K253" s="357"/>
    </row>
    <row r="254" spans="1:11">
      <c r="A254" s="342" t="s">
        <v>2338</v>
      </c>
      <c r="B254" s="351" t="s">
        <v>2246</v>
      </c>
      <c r="C254" s="375">
        <v>215</v>
      </c>
      <c r="D254" s="353">
        <v>229871</v>
      </c>
      <c r="E254" s="345">
        <f t="shared" si="13"/>
        <v>266121</v>
      </c>
      <c r="F254" s="346">
        <f t="shared" si="12"/>
        <v>266121</v>
      </c>
      <c r="G254" s="356">
        <v>20.6</v>
      </c>
      <c r="H254" s="355">
        <v>14</v>
      </c>
      <c r="I254" s="356">
        <v>1</v>
      </c>
      <c r="J254" s="356"/>
      <c r="K254" s="357"/>
    </row>
    <row r="255" spans="1:11">
      <c r="A255" s="342" t="s">
        <v>2247</v>
      </c>
      <c r="B255" s="351" t="s">
        <v>2248</v>
      </c>
      <c r="C255" s="375">
        <v>250</v>
      </c>
      <c r="D255" s="353">
        <v>385855</v>
      </c>
      <c r="E255" s="345">
        <f t="shared" si="13"/>
        <v>446704</v>
      </c>
      <c r="F255" s="346">
        <f t="shared" si="12"/>
        <v>446704</v>
      </c>
      <c r="G255" s="356">
        <v>24</v>
      </c>
      <c r="H255" s="355">
        <v>14</v>
      </c>
      <c r="I255" s="356">
        <v>1</v>
      </c>
      <c r="J255" s="356"/>
      <c r="K255" s="357"/>
    </row>
    <row r="256" spans="1:11">
      <c r="A256" s="367"/>
      <c r="B256" s="351" t="s">
        <v>2249</v>
      </c>
      <c r="C256" s="375">
        <v>402</v>
      </c>
      <c r="D256" s="353">
        <v>591163</v>
      </c>
      <c r="E256" s="345">
        <f t="shared" si="13"/>
        <v>684389</v>
      </c>
      <c r="F256" s="346">
        <f t="shared" si="12"/>
        <v>684389</v>
      </c>
      <c r="G256" s="356">
        <v>38.700000000000003</v>
      </c>
      <c r="H256" s="355">
        <v>14</v>
      </c>
      <c r="I256" s="356">
        <v>1</v>
      </c>
      <c r="J256" s="356"/>
      <c r="K256" s="357"/>
    </row>
    <row r="257" spans="1:11">
      <c r="A257" s="365" t="s">
        <v>2339</v>
      </c>
      <c r="B257" s="361" t="s">
        <v>2250</v>
      </c>
      <c r="C257" s="364" t="s">
        <v>2251</v>
      </c>
      <c r="D257" s="353">
        <v>196479</v>
      </c>
      <c r="E257" s="345">
        <f t="shared" si="13"/>
        <v>227463</v>
      </c>
      <c r="F257" s="346">
        <f t="shared" si="12"/>
        <v>227463</v>
      </c>
      <c r="G257" s="356">
        <v>10.6</v>
      </c>
      <c r="H257" s="355">
        <v>18</v>
      </c>
      <c r="I257" s="356">
        <v>1</v>
      </c>
      <c r="J257" s="356"/>
      <c r="K257" s="357"/>
    </row>
    <row r="258" spans="1:11">
      <c r="A258" s="365" t="s">
        <v>2340</v>
      </c>
      <c r="B258" s="361" t="s">
        <v>2252</v>
      </c>
      <c r="C258" s="364" t="s">
        <v>2253</v>
      </c>
      <c r="D258" s="353">
        <v>296430</v>
      </c>
      <c r="E258" s="345">
        <f t="shared" si="13"/>
        <v>343177</v>
      </c>
      <c r="F258" s="346">
        <f t="shared" si="12"/>
        <v>343177</v>
      </c>
      <c r="G258" s="356">
        <v>12.7</v>
      </c>
      <c r="H258" s="355">
        <v>18</v>
      </c>
      <c r="I258" s="356">
        <v>1</v>
      </c>
      <c r="J258" s="356"/>
      <c r="K258" s="357"/>
    </row>
    <row r="259" spans="1:11">
      <c r="A259" s="365" t="s">
        <v>2341</v>
      </c>
      <c r="B259" s="361" t="s">
        <v>3123</v>
      </c>
      <c r="C259" s="364" t="s">
        <v>2253</v>
      </c>
      <c r="D259" s="353">
        <v>60000</v>
      </c>
      <c r="E259" s="345">
        <f t="shared" si="13"/>
        <v>69462</v>
      </c>
      <c r="F259" s="346">
        <f t="shared" si="12"/>
        <v>69462</v>
      </c>
      <c r="G259" s="356">
        <v>3.9</v>
      </c>
      <c r="H259" s="355">
        <v>18</v>
      </c>
      <c r="I259" s="356">
        <v>1</v>
      </c>
      <c r="J259" s="356"/>
      <c r="K259" s="357"/>
    </row>
    <row r="260" spans="1:11">
      <c r="A260" s="365" t="s">
        <v>2342</v>
      </c>
      <c r="B260" s="361" t="s">
        <v>2254</v>
      </c>
      <c r="C260" s="364" t="s">
        <v>2255</v>
      </c>
      <c r="D260" s="353">
        <v>205922</v>
      </c>
      <c r="E260" s="345">
        <f t="shared" si="13"/>
        <v>238395</v>
      </c>
      <c r="F260" s="346">
        <f t="shared" si="12"/>
        <v>238395</v>
      </c>
      <c r="G260" s="356">
        <v>23.4</v>
      </c>
      <c r="H260" s="355">
        <v>29</v>
      </c>
      <c r="I260" s="356">
        <v>1</v>
      </c>
      <c r="J260" s="356"/>
      <c r="K260" s="357"/>
    </row>
    <row r="261" spans="1:11">
      <c r="A261" s="372">
        <v>4108</v>
      </c>
      <c r="B261" s="361" t="s">
        <v>2256</v>
      </c>
      <c r="C261" s="388" t="s">
        <v>2384</v>
      </c>
      <c r="D261" s="353"/>
      <c r="E261" s="345">
        <v>167670</v>
      </c>
      <c r="F261" s="346">
        <f t="shared" si="12"/>
        <v>0</v>
      </c>
      <c r="G261" s="356"/>
      <c r="H261" s="355"/>
      <c r="I261" s="356">
        <v>1</v>
      </c>
      <c r="J261" s="356"/>
      <c r="K261" s="357"/>
    </row>
    <row r="262" spans="1:11">
      <c r="A262" s="342" t="s">
        <v>916</v>
      </c>
      <c r="B262" s="351" t="s">
        <v>917</v>
      </c>
      <c r="C262" s="388" t="s">
        <v>2385</v>
      </c>
      <c r="D262" s="353"/>
      <c r="E262" s="345">
        <v>224957</v>
      </c>
      <c r="F262" s="346">
        <f t="shared" si="12"/>
        <v>0</v>
      </c>
      <c r="G262" s="356"/>
      <c r="H262" s="355"/>
      <c r="I262" s="356">
        <v>1</v>
      </c>
      <c r="J262" s="356"/>
      <c r="K262" s="357"/>
    </row>
    <row r="263" spans="1:11">
      <c r="A263" s="358"/>
      <c r="B263" s="351" t="s">
        <v>2079</v>
      </c>
      <c r="C263" s="388" t="s">
        <v>2386</v>
      </c>
      <c r="D263" s="353"/>
      <c r="E263" s="345">
        <v>311128</v>
      </c>
      <c r="F263" s="346">
        <f t="shared" si="12"/>
        <v>0</v>
      </c>
      <c r="G263" s="356"/>
      <c r="H263" s="355"/>
      <c r="I263" s="356">
        <v>1</v>
      </c>
      <c r="J263" s="356"/>
      <c r="K263" s="357"/>
    </row>
    <row r="264" spans="1:11">
      <c r="A264" s="358"/>
      <c r="B264" s="351" t="s">
        <v>2080</v>
      </c>
      <c r="C264" s="388" t="s">
        <v>2387</v>
      </c>
      <c r="D264" s="353"/>
      <c r="E264" s="345">
        <v>353770</v>
      </c>
      <c r="F264" s="346">
        <f t="shared" si="12"/>
        <v>0</v>
      </c>
      <c r="G264" s="356"/>
      <c r="H264" s="355"/>
      <c r="I264" s="356">
        <v>1</v>
      </c>
      <c r="J264" s="356"/>
      <c r="K264" s="357"/>
    </row>
    <row r="265" spans="1:11">
      <c r="A265" s="358"/>
      <c r="B265" s="351" t="s">
        <v>1455</v>
      </c>
      <c r="C265" s="388" t="s">
        <v>2388</v>
      </c>
      <c r="D265" s="353"/>
      <c r="E265" s="345">
        <v>385356</v>
      </c>
      <c r="F265" s="346">
        <f t="shared" si="12"/>
        <v>0</v>
      </c>
      <c r="G265" s="356"/>
      <c r="H265" s="355"/>
      <c r="I265" s="356">
        <v>1</v>
      </c>
      <c r="J265" s="356"/>
      <c r="K265" s="357"/>
    </row>
    <row r="266" spans="1:11">
      <c r="A266" s="359"/>
      <c r="B266" s="351" t="s">
        <v>1303</v>
      </c>
      <c r="C266" s="388" t="s">
        <v>2389</v>
      </c>
      <c r="D266" s="353"/>
      <c r="E266" s="345">
        <v>452004</v>
      </c>
      <c r="F266" s="346">
        <f t="shared" si="12"/>
        <v>0</v>
      </c>
      <c r="G266" s="356"/>
      <c r="H266" s="355"/>
      <c r="I266" s="356">
        <v>1</v>
      </c>
      <c r="J266" s="356"/>
      <c r="K266" s="357"/>
    </row>
    <row r="267" spans="1:11">
      <c r="A267" s="372">
        <v>4115</v>
      </c>
      <c r="B267" s="361" t="s">
        <v>1304</v>
      </c>
      <c r="C267" s="388" t="s">
        <v>2390</v>
      </c>
      <c r="D267" s="353"/>
      <c r="E267" s="345">
        <v>22545</v>
      </c>
      <c r="F267" s="346">
        <f t="shared" si="12"/>
        <v>0</v>
      </c>
      <c r="G267" s="356"/>
      <c r="H267" s="355"/>
      <c r="I267" s="356"/>
      <c r="J267" s="356"/>
      <c r="K267" s="357"/>
    </row>
    <row r="268" spans="1:11">
      <c r="A268" s="358" t="s">
        <v>1305</v>
      </c>
      <c r="B268" s="351" t="s">
        <v>1306</v>
      </c>
      <c r="C268" s="388" t="s">
        <v>2391</v>
      </c>
      <c r="D268" s="353"/>
      <c r="E268" s="345">
        <v>27927</v>
      </c>
      <c r="F268" s="346">
        <f t="shared" si="12"/>
        <v>0</v>
      </c>
      <c r="G268" s="356"/>
      <c r="H268" s="355"/>
      <c r="I268" s="356"/>
      <c r="J268" s="356"/>
      <c r="K268" s="357"/>
    </row>
    <row r="269" spans="1:11">
      <c r="A269" s="358"/>
      <c r="B269" s="351" t="s">
        <v>1307</v>
      </c>
      <c r="C269" s="388" t="s">
        <v>2392</v>
      </c>
      <c r="D269" s="353"/>
      <c r="E269" s="345">
        <v>33310</v>
      </c>
      <c r="F269" s="346">
        <f t="shared" si="12"/>
        <v>0</v>
      </c>
      <c r="G269" s="356"/>
      <c r="H269" s="355"/>
      <c r="I269" s="356"/>
      <c r="J269" s="356"/>
      <c r="K269" s="357"/>
    </row>
    <row r="270" spans="1:11">
      <c r="A270" s="359"/>
      <c r="B270" s="351" t="s">
        <v>1308</v>
      </c>
      <c r="C270" s="388" t="s">
        <v>2393</v>
      </c>
      <c r="D270" s="353"/>
      <c r="E270" s="345">
        <v>38692</v>
      </c>
      <c r="F270" s="346">
        <f t="shared" si="12"/>
        <v>0</v>
      </c>
      <c r="G270" s="356"/>
      <c r="H270" s="355"/>
      <c r="I270" s="356"/>
      <c r="J270" s="356"/>
      <c r="K270" s="357"/>
    </row>
    <row r="271" spans="1:11">
      <c r="A271" s="372" t="s">
        <v>2343</v>
      </c>
      <c r="B271" s="361" t="s">
        <v>1309</v>
      </c>
      <c r="C271" s="388" t="s">
        <v>2406</v>
      </c>
      <c r="D271" s="353">
        <v>4510</v>
      </c>
      <c r="E271" s="345">
        <f t="shared" ref="E271:E276" si="14">F271</f>
        <v>5221</v>
      </c>
      <c r="F271" s="346">
        <f t="shared" si="12"/>
        <v>5221</v>
      </c>
      <c r="G271" s="384" t="s">
        <v>1310</v>
      </c>
      <c r="H271" s="355">
        <v>2</v>
      </c>
      <c r="I271" s="356">
        <v>1</v>
      </c>
      <c r="J271" s="356"/>
      <c r="K271" s="357"/>
    </row>
    <row r="272" spans="1:11">
      <c r="A272" s="358"/>
      <c r="B272" s="351" t="s">
        <v>1311</v>
      </c>
      <c r="C272" s="388" t="s">
        <v>2407</v>
      </c>
      <c r="D272" s="353">
        <v>7681</v>
      </c>
      <c r="E272" s="345">
        <f t="shared" si="14"/>
        <v>8892</v>
      </c>
      <c r="F272" s="346">
        <f t="shared" si="12"/>
        <v>8892</v>
      </c>
      <c r="G272" s="385" t="s">
        <v>1312</v>
      </c>
      <c r="H272" s="355">
        <v>2</v>
      </c>
      <c r="I272" s="356">
        <v>1</v>
      </c>
      <c r="J272" s="356"/>
      <c r="K272" s="357"/>
    </row>
    <row r="273" spans="1:11">
      <c r="A273" s="358"/>
      <c r="B273" s="351" t="s">
        <v>1313</v>
      </c>
      <c r="C273" s="388" t="s">
        <v>290</v>
      </c>
      <c r="D273" s="353">
        <v>9033</v>
      </c>
      <c r="E273" s="345">
        <f t="shared" si="14"/>
        <v>10457</v>
      </c>
      <c r="F273" s="346">
        <f t="shared" si="12"/>
        <v>10457</v>
      </c>
      <c r="G273" s="385" t="s">
        <v>1312</v>
      </c>
      <c r="H273" s="355">
        <v>2</v>
      </c>
      <c r="I273" s="356">
        <v>1</v>
      </c>
      <c r="J273" s="356"/>
      <c r="K273" s="357"/>
    </row>
    <row r="274" spans="1:11">
      <c r="A274" s="358"/>
      <c r="B274" s="351" t="s">
        <v>1314</v>
      </c>
      <c r="C274" s="388" t="s">
        <v>291</v>
      </c>
      <c r="D274" s="353">
        <v>10868</v>
      </c>
      <c r="E274" s="345">
        <f t="shared" si="14"/>
        <v>12581</v>
      </c>
      <c r="F274" s="346">
        <f t="shared" si="12"/>
        <v>12581</v>
      </c>
      <c r="G274" s="385" t="s">
        <v>1315</v>
      </c>
      <c r="H274" s="355">
        <v>2</v>
      </c>
      <c r="I274" s="356">
        <v>1</v>
      </c>
      <c r="J274" s="356"/>
      <c r="K274" s="357"/>
    </row>
    <row r="275" spans="1:11">
      <c r="A275" s="358"/>
      <c r="B275" s="351" t="s">
        <v>1316</v>
      </c>
      <c r="C275" s="388" t="s">
        <v>292</v>
      </c>
      <c r="D275" s="353">
        <v>12432</v>
      </c>
      <c r="E275" s="345">
        <f t="shared" si="14"/>
        <v>14392</v>
      </c>
      <c r="F275" s="346">
        <f t="shared" si="12"/>
        <v>14392</v>
      </c>
      <c r="G275" s="385" t="s">
        <v>2057</v>
      </c>
      <c r="H275" s="355">
        <v>2</v>
      </c>
      <c r="I275" s="356">
        <v>1</v>
      </c>
      <c r="J275" s="356"/>
      <c r="K275" s="357"/>
    </row>
    <row r="276" spans="1:11">
      <c r="A276" s="359"/>
      <c r="B276" s="351" t="s">
        <v>2058</v>
      </c>
      <c r="C276" s="388" t="s">
        <v>293</v>
      </c>
      <c r="D276" s="353">
        <v>13990</v>
      </c>
      <c r="E276" s="345">
        <f t="shared" si="14"/>
        <v>16196</v>
      </c>
      <c r="F276" s="346">
        <f t="shared" si="12"/>
        <v>16196</v>
      </c>
      <c r="G276" s="385" t="s">
        <v>2057</v>
      </c>
      <c r="H276" s="355">
        <v>2</v>
      </c>
      <c r="I276" s="356">
        <v>1</v>
      </c>
      <c r="J276" s="356"/>
      <c r="K276" s="357"/>
    </row>
    <row r="277" spans="1:11">
      <c r="A277" s="372">
        <v>4304</v>
      </c>
      <c r="B277" s="361" t="s">
        <v>2059</v>
      </c>
      <c r="C277" s="388" t="s">
        <v>2060</v>
      </c>
      <c r="D277" s="353"/>
      <c r="E277" s="345">
        <v>71891</v>
      </c>
      <c r="F277" s="346">
        <f t="shared" si="12"/>
        <v>0</v>
      </c>
      <c r="G277" s="384">
        <v>13</v>
      </c>
      <c r="H277" s="355">
        <v>44</v>
      </c>
      <c r="I277" s="356">
        <v>1</v>
      </c>
      <c r="J277" s="356"/>
      <c r="K277" s="357"/>
    </row>
    <row r="278" spans="1:11">
      <c r="A278" s="367" t="s">
        <v>2061</v>
      </c>
      <c r="B278" s="351" t="s">
        <v>2062</v>
      </c>
      <c r="C278" s="364" t="s">
        <v>2063</v>
      </c>
      <c r="D278" s="353"/>
      <c r="E278" s="345">
        <v>67046</v>
      </c>
      <c r="F278" s="346">
        <f t="shared" si="12"/>
        <v>0</v>
      </c>
      <c r="G278" s="384">
        <v>13</v>
      </c>
      <c r="H278" s="355">
        <v>44</v>
      </c>
      <c r="I278" s="356">
        <v>1</v>
      </c>
      <c r="J278" s="356"/>
      <c r="K278" s="357"/>
    </row>
    <row r="279" spans="1:11">
      <c r="A279" s="365" t="s">
        <v>2344</v>
      </c>
      <c r="B279" s="361" t="s">
        <v>2064</v>
      </c>
      <c r="C279" s="364" t="s">
        <v>2065</v>
      </c>
      <c r="D279" s="353"/>
      <c r="E279" s="345">
        <v>2331</v>
      </c>
      <c r="F279" s="346">
        <f t="shared" si="12"/>
        <v>0</v>
      </c>
      <c r="G279" s="384" t="s">
        <v>2066</v>
      </c>
      <c r="H279" s="355">
        <v>20</v>
      </c>
      <c r="I279" s="356">
        <v>1</v>
      </c>
      <c r="J279" s="356"/>
      <c r="K279" s="357"/>
    </row>
    <row r="280" spans="1:11">
      <c r="A280" s="365" t="s">
        <v>2345</v>
      </c>
      <c r="B280" s="361" t="s">
        <v>206</v>
      </c>
      <c r="C280" s="388" t="s">
        <v>3809</v>
      </c>
      <c r="D280" s="353"/>
      <c r="E280" s="345">
        <v>215264</v>
      </c>
      <c r="F280" s="346">
        <f t="shared" si="12"/>
        <v>0</v>
      </c>
      <c r="G280" s="356">
        <v>17.3</v>
      </c>
      <c r="H280" s="355">
        <v>35</v>
      </c>
      <c r="I280" s="356">
        <v>1</v>
      </c>
      <c r="J280" s="356"/>
      <c r="K280" s="357"/>
    </row>
    <row r="281" spans="1:11">
      <c r="A281" s="360" t="s">
        <v>2346</v>
      </c>
      <c r="B281" s="361" t="s">
        <v>94</v>
      </c>
      <c r="C281" s="388" t="s">
        <v>3808</v>
      </c>
      <c r="D281" s="353">
        <v>44766</v>
      </c>
      <c r="E281" s="345">
        <f>F281</f>
        <v>51825</v>
      </c>
      <c r="F281" s="346">
        <f t="shared" si="12"/>
        <v>51825</v>
      </c>
      <c r="G281" s="356"/>
      <c r="H281" s="355"/>
      <c r="I281" s="356"/>
      <c r="J281" s="356"/>
      <c r="K281" s="357"/>
    </row>
    <row r="282" spans="1:11">
      <c r="A282" s="359" t="s">
        <v>95</v>
      </c>
      <c r="B282" s="351" t="s">
        <v>96</v>
      </c>
      <c r="C282" s="388" t="s">
        <v>294</v>
      </c>
      <c r="D282" s="353">
        <v>63744</v>
      </c>
      <c r="E282" s="345">
        <f>F282</f>
        <v>73796</v>
      </c>
      <c r="F282" s="346">
        <f t="shared" si="12"/>
        <v>73796</v>
      </c>
      <c r="G282" s="356"/>
      <c r="H282" s="355"/>
      <c r="I282" s="356"/>
      <c r="J282" s="356"/>
      <c r="K282" s="357"/>
    </row>
    <row r="283" spans="1:11">
      <c r="A283" s="365" t="s">
        <v>2347</v>
      </c>
      <c r="B283" s="361" t="s">
        <v>97</v>
      </c>
      <c r="C283" s="388" t="s">
        <v>98</v>
      </c>
      <c r="D283" s="353">
        <v>58630</v>
      </c>
      <c r="E283" s="345">
        <f>F283</f>
        <v>67875</v>
      </c>
      <c r="F283" s="346">
        <f t="shared" si="12"/>
        <v>67875</v>
      </c>
      <c r="G283" s="356"/>
      <c r="H283" s="355"/>
      <c r="I283" s="356"/>
      <c r="J283" s="356"/>
      <c r="K283" s="357"/>
    </row>
    <row r="284" spans="1:11">
      <c r="A284" s="360" t="s">
        <v>2348</v>
      </c>
      <c r="B284" s="361" t="s">
        <v>99</v>
      </c>
      <c r="C284" s="388" t="s">
        <v>462</v>
      </c>
      <c r="D284" s="353"/>
      <c r="E284" s="345">
        <v>164</v>
      </c>
      <c r="F284" s="346">
        <f t="shared" si="12"/>
        <v>0</v>
      </c>
      <c r="G284" s="356"/>
      <c r="H284" s="355"/>
      <c r="I284" s="356"/>
      <c r="J284" s="356"/>
      <c r="K284" s="357"/>
    </row>
    <row r="285" spans="1:11">
      <c r="A285" s="359"/>
      <c r="B285" s="351" t="s">
        <v>100</v>
      </c>
      <c r="C285" s="388" t="s">
        <v>2521</v>
      </c>
      <c r="D285" s="353"/>
      <c r="E285" s="345">
        <v>315</v>
      </c>
      <c r="F285" s="346">
        <f t="shared" si="12"/>
        <v>0</v>
      </c>
      <c r="G285" s="384" t="s">
        <v>131</v>
      </c>
      <c r="H285" s="355">
        <v>10</v>
      </c>
      <c r="I285" s="356"/>
      <c r="J285" s="356"/>
      <c r="K285" s="357"/>
    </row>
    <row r="286" spans="1:11">
      <c r="A286" s="365" t="s">
        <v>2349</v>
      </c>
      <c r="B286" s="361" t="s">
        <v>101</v>
      </c>
      <c r="C286" s="364" t="s">
        <v>102</v>
      </c>
      <c r="D286" s="353"/>
      <c r="E286" s="345">
        <v>9450</v>
      </c>
      <c r="F286" s="346">
        <f t="shared" si="12"/>
        <v>0</v>
      </c>
      <c r="G286" s="356"/>
      <c r="H286" s="355"/>
      <c r="I286" s="356">
        <v>1</v>
      </c>
      <c r="J286" s="356"/>
      <c r="K286" s="357"/>
    </row>
    <row r="287" spans="1:11">
      <c r="A287" s="372">
        <v>5105</v>
      </c>
      <c r="B287" s="361" t="s">
        <v>103</v>
      </c>
      <c r="C287" s="364" t="s">
        <v>104</v>
      </c>
      <c r="D287" s="353">
        <v>186232</v>
      </c>
      <c r="E287" s="345">
        <f t="shared" ref="E287:E350" si="15">F287</f>
        <v>215600</v>
      </c>
      <c r="F287" s="346">
        <f t="shared" si="12"/>
        <v>215600</v>
      </c>
      <c r="G287" s="356"/>
      <c r="H287" s="355"/>
      <c r="I287" s="356">
        <v>1</v>
      </c>
      <c r="J287" s="356"/>
      <c r="K287" s="357"/>
    </row>
    <row r="288" spans="1:11">
      <c r="A288" s="358" t="s">
        <v>105</v>
      </c>
      <c r="B288" s="351" t="s">
        <v>106</v>
      </c>
      <c r="C288" s="375">
        <v>100</v>
      </c>
      <c r="D288" s="353">
        <v>258539</v>
      </c>
      <c r="E288" s="345">
        <f t="shared" si="15"/>
        <v>299310</v>
      </c>
      <c r="F288" s="346">
        <f t="shared" si="12"/>
        <v>299310</v>
      </c>
      <c r="G288" s="356"/>
      <c r="H288" s="355"/>
      <c r="I288" s="356">
        <v>1</v>
      </c>
      <c r="J288" s="356"/>
      <c r="K288" s="357"/>
    </row>
    <row r="289" spans="1:11">
      <c r="A289" s="358"/>
      <c r="B289" s="351" t="s">
        <v>107</v>
      </c>
      <c r="C289" s="375">
        <v>150</v>
      </c>
      <c r="D289" s="353">
        <v>290858</v>
      </c>
      <c r="E289" s="345">
        <f t="shared" si="15"/>
        <v>336726</v>
      </c>
      <c r="F289" s="346">
        <f t="shared" si="12"/>
        <v>336726</v>
      </c>
      <c r="G289" s="356"/>
      <c r="H289" s="355"/>
      <c r="I289" s="356">
        <v>1</v>
      </c>
      <c r="J289" s="356"/>
      <c r="K289" s="357"/>
    </row>
    <row r="290" spans="1:11">
      <c r="A290" s="359"/>
      <c r="B290" s="351" t="s">
        <v>108</v>
      </c>
      <c r="C290" s="375">
        <v>200</v>
      </c>
      <c r="D290" s="353">
        <v>316717</v>
      </c>
      <c r="E290" s="345">
        <f t="shared" si="15"/>
        <v>366663</v>
      </c>
      <c r="F290" s="346">
        <f t="shared" si="12"/>
        <v>366663</v>
      </c>
      <c r="G290" s="356"/>
      <c r="H290" s="355"/>
      <c r="I290" s="356">
        <v>1</v>
      </c>
      <c r="J290" s="356"/>
      <c r="K290" s="357"/>
    </row>
    <row r="291" spans="1:11">
      <c r="A291" s="360" t="s">
        <v>2350</v>
      </c>
      <c r="B291" s="361" t="s">
        <v>109</v>
      </c>
      <c r="C291" s="388" t="s">
        <v>2522</v>
      </c>
      <c r="D291" s="353">
        <v>4886</v>
      </c>
      <c r="E291" s="345">
        <f t="shared" si="15"/>
        <v>5656</v>
      </c>
      <c r="F291" s="346">
        <f t="shared" si="12"/>
        <v>5656</v>
      </c>
      <c r="G291" s="356"/>
      <c r="H291" s="355"/>
      <c r="I291" s="356"/>
      <c r="J291" s="356"/>
      <c r="K291" s="357"/>
    </row>
    <row r="292" spans="1:11">
      <c r="A292" s="358"/>
      <c r="B292" s="351" t="s">
        <v>110</v>
      </c>
      <c r="C292" s="388" t="s">
        <v>2523</v>
      </c>
      <c r="D292" s="353">
        <v>5122</v>
      </c>
      <c r="E292" s="345">
        <f t="shared" si="15"/>
        <v>5929</v>
      </c>
      <c r="F292" s="346">
        <f t="shared" si="12"/>
        <v>5929</v>
      </c>
      <c r="G292" s="356"/>
      <c r="H292" s="355"/>
      <c r="I292" s="356"/>
      <c r="J292" s="356"/>
      <c r="K292" s="357"/>
    </row>
    <row r="293" spans="1:11">
      <c r="A293" s="358"/>
      <c r="B293" s="351" t="s">
        <v>111</v>
      </c>
      <c r="C293" s="388" t="s">
        <v>2524</v>
      </c>
      <c r="D293" s="353">
        <v>6068</v>
      </c>
      <c r="E293" s="345">
        <f t="shared" si="15"/>
        <v>7024</v>
      </c>
      <c r="F293" s="346">
        <f t="shared" si="12"/>
        <v>7024</v>
      </c>
      <c r="G293" s="356"/>
      <c r="H293" s="355"/>
      <c r="I293" s="356"/>
      <c r="J293" s="356"/>
      <c r="K293" s="357"/>
    </row>
    <row r="294" spans="1:11">
      <c r="A294" s="358"/>
      <c r="B294" s="351" t="s">
        <v>112</v>
      </c>
      <c r="C294" s="388" t="s">
        <v>2525</v>
      </c>
      <c r="D294" s="353">
        <v>6946</v>
      </c>
      <c r="E294" s="345">
        <f t="shared" si="15"/>
        <v>8041</v>
      </c>
      <c r="F294" s="346">
        <f t="shared" si="12"/>
        <v>8041</v>
      </c>
      <c r="G294" s="356"/>
      <c r="H294" s="355"/>
      <c r="I294" s="356"/>
      <c r="J294" s="356"/>
      <c r="K294" s="357"/>
    </row>
    <row r="295" spans="1:11">
      <c r="A295" s="359"/>
      <c r="B295" s="351" t="s">
        <v>113</v>
      </c>
      <c r="C295" s="388" t="s">
        <v>2526</v>
      </c>
      <c r="D295" s="353">
        <v>8201</v>
      </c>
      <c r="E295" s="345">
        <f t="shared" si="15"/>
        <v>9494</v>
      </c>
      <c r="F295" s="346">
        <f t="shared" si="12"/>
        <v>9494</v>
      </c>
      <c r="G295" s="356"/>
      <c r="H295" s="355"/>
      <c r="I295" s="356"/>
      <c r="J295" s="356"/>
      <c r="K295" s="357"/>
    </row>
    <row r="296" spans="1:11">
      <c r="A296" s="360" t="s">
        <v>2351</v>
      </c>
      <c r="B296" s="361" t="s">
        <v>114</v>
      </c>
      <c r="C296" s="388" t="s">
        <v>2527</v>
      </c>
      <c r="D296" s="353">
        <v>24478</v>
      </c>
      <c r="E296" s="345">
        <f t="shared" si="15"/>
        <v>28338</v>
      </c>
      <c r="F296" s="346">
        <f t="shared" si="12"/>
        <v>28338</v>
      </c>
      <c r="G296" s="356"/>
      <c r="H296" s="355"/>
      <c r="I296" s="356"/>
      <c r="J296" s="356"/>
      <c r="K296" s="357"/>
    </row>
    <row r="297" spans="1:11">
      <c r="A297" s="358"/>
      <c r="B297" s="351" t="s">
        <v>115</v>
      </c>
      <c r="C297" s="388" t="s">
        <v>2528</v>
      </c>
      <c r="D297" s="353">
        <v>26649</v>
      </c>
      <c r="E297" s="345">
        <f t="shared" si="15"/>
        <v>30851</v>
      </c>
      <c r="F297" s="346">
        <f t="shared" si="12"/>
        <v>30851</v>
      </c>
      <c r="G297" s="356"/>
      <c r="H297" s="355"/>
      <c r="I297" s="356"/>
      <c r="J297" s="356"/>
      <c r="K297" s="357"/>
    </row>
    <row r="298" spans="1:11">
      <c r="A298" s="358"/>
      <c r="B298" s="351" t="s">
        <v>2067</v>
      </c>
      <c r="C298" s="388" t="s">
        <v>2529</v>
      </c>
      <c r="D298" s="353">
        <v>34501</v>
      </c>
      <c r="E298" s="345">
        <f t="shared" si="15"/>
        <v>39941</v>
      </c>
      <c r="F298" s="346">
        <f t="shared" si="12"/>
        <v>39941</v>
      </c>
      <c r="G298" s="356"/>
      <c r="H298" s="355"/>
      <c r="I298" s="356"/>
      <c r="J298" s="356"/>
      <c r="K298" s="357"/>
    </row>
    <row r="299" spans="1:11">
      <c r="A299" s="358"/>
      <c r="B299" s="351" t="s">
        <v>2068</v>
      </c>
      <c r="C299" s="388" t="s">
        <v>2530</v>
      </c>
      <c r="D299" s="353">
        <v>35789</v>
      </c>
      <c r="E299" s="345">
        <f t="shared" si="15"/>
        <v>41432</v>
      </c>
      <c r="F299" s="346">
        <f t="shared" si="12"/>
        <v>41432</v>
      </c>
      <c r="G299" s="356"/>
      <c r="H299" s="355"/>
      <c r="I299" s="356"/>
      <c r="J299" s="356"/>
      <c r="K299" s="357"/>
    </row>
    <row r="300" spans="1:11">
      <c r="A300" s="359"/>
      <c r="B300" s="351" t="s">
        <v>673</v>
      </c>
      <c r="C300" s="388" t="s">
        <v>2531</v>
      </c>
      <c r="D300" s="353">
        <v>48017</v>
      </c>
      <c r="E300" s="345">
        <f t="shared" si="15"/>
        <v>55589</v>
      </c>
      <c r="F300" s="346">
        <f t="shared" si="12"/>
        <v>55589</v>
      </c>
      <c r="G300" s="356"/>
      <c r="H300" s="355"/>
      <c r="I300" s="356"/>
      <c r="J300" s="356"/>
      <c r="K300" s="357"/>
    </row>
    <row r="301" spans="1:11">
      <c r="A301" s="360" t="s">
        <v>2352</v>
      </c>
      <c r="B301" s="361" t="s">
        <v>674</v>
      </c>
      <c r="C301" s="364" t="s">
        <v>2532</v>
      </c>
      <c r="D301" s="353">
        <v>22519</v>
      </c>
      <c r="E301" s="345">
        <f t="shared" si="15"/>
        <v>26070</v>
      </c>
      <c r="F301" s="346">
        <f t="shared" ref="F301:F364" si="16">TRUNC(D301*$K$1/1000)</f>
        <v>26070</v>
      </c>
      <c r="G301" s="356"/>
      <c r="H301" s="355"/>
      <c r="I301" s="356"/>
      <c r="J301" s="356"/>
      <c r="K301" s="357"/>
    </row>
    <row r="302" spans="1:11">
      <c r="A302" s="358"/>
      <c r="B302" s="351" t="s">
        <v>675</v>
      </c>
      <c r="C302" s="364" t="s">
        <v>2533</v>
      </c>
      <c r="D302" s="353">
        <v>24167</v>
      </c>
      <c r="E302" s="345">
        <f t="shared" si="15"/>
        <v>27978</v>
      </c>
      <c r="F302" s="346">
        <f t="shared" si="16"/>
        <v>27978</v>
      </c>
      <c r="G302" s="356"/>
      <c r="H302" s="355"/>
      <c r="I302" s="356"/>
      <c r="J302" s="356"/>
      <c r="K302" s="357"/>
    </row>
    <row r="303" spans="1:11">
      <c r="A303" s="358"/>
      <c r="B303" s="351" t="s">
        <v>676</v>
      </c>
      <c r="C303" s="364" t="s">
        <v>2534</v>
      </c>
      <c r="D303" s="353">
        <v>28383</v>
      </c>
      <c r="E303" s="345">
        <f t="shared" si="15"/>
        <v>32858</v>
      </c>
      <c r="F303" s="346">
        <f t="shared" si="16"/>
        <v>32858</v>
      </c>
      <c r="G303" s="356"/>
      <c r="H303" s="355"/>
      <c r="I303" s="356"/>
      <c r="J303" s="356"/>
      <c r="K303" s="357"/>
    </row>
    <row r="304" spans="1:11">
      <c r="A304" s="358"/>
      <c r="B304" s="351" t="s">
        <v>677</v>
      </c>
      <c r="C304" s="364" t="s">
        <v>1438</v>
      </c>
      <c r="D304" s="353">
        <v>30423</v>
      </c>
      <c r="E304" s="345">
        <f t="shared" si="15"/>
        <v>35220</v>
      </c>
      <c r="F304" s="346">
        <f t="shared" si="16"/>
        <v>35220</v>
      </c>
      <c r="G304" s="356"/>
      <c r="H304" s="355"/>
      <c r="I304" s="356"/>
      <c r="J304" s="356"/>
      <c r="K304" s="357"/>
    </row>
    <row r="305" spans="1:11">
      <c r="A305" s="358"/>
      <c r="B305" s="351" t="s">
        <v>678</v>
      </c>
      <c r="C305" s="388" t="s">
        <v>1439</v>
      </c>
      <c r="D305" s="353">
        <v>40829</v>
      </c>
      <c r="E305" s="345">
        <f t="shared" si="15"/>
        <v>47267</v>
      </c>
      <c r="F305" s="346">
        <f t="shared" si="16"/>
        <v>47267</v>
      </c>
      <c r="G305" s="356"/>
      <c r="H305" s="355"/>
      <c r="I305" s="356"/>
      <c r="J305" s="356"/>
      <c r="K305" s="357"/>
    </row>
    <row r="306" spans="1:11">
      <c r="A306" s="358"/>
      <c r="B306" s="351" t="s">
        <v>679</v>
      </c>
      <c r="C306" s="364" t="s">
        <v>1440</v>
      </c>
      <c r="D306" s="353">
        <v>61739</v>
      </c>
      <c r="E306" s="345">
        <f t="shared" si="15"/>
        <v>71475</v>
      </c>
      <c r="F306" s="346">
        <f t="shared" si="16"/>
        <v>71475</v>
      </c>
      <c r="G306" s="356"/>
      <c r="H306" s="355"/>
      <c r="I306" s="356"/>
      <c r="J306" s="356"/>
      <c r="K306" s="357"/>
    </row>
    <row r="307" spans="1:11">
      <c r="A307" s="358"/>
      <c r="B307" s="351" t="s">
        <v>680</v>
      </c>
      <c r="C307" s="364" t="s">
        <v>2147</v>
      </c>
      <c r="D307" s="353">
        <v>63950</v>
      </c>
      <c r="E307" s="345">
        <f t="shared" si="15"/>
        <v>74034</v>
      </c>
      <c r="F307" s="346">
        <f t="shared" si="16"/>
        <v>74034</v>
      </c>
      <c r="G307" s="356"/>
      <c r="H307" s="355"/>
      <c r="I307" s="356"/>
      <c r="J307" s="356"/>
      <c r="K307" s="357"/>
    </row>
    <row r="308" spans="1:11">
      <c r="A308" s="358"/>
      <c r="B308" s="351" t="s">
        <v>319</v>
      </c>
      <c r="C308" s="364" t="s">
        <v>2148</v>
      </c>
      <c r="D308" s="353">
        <v>99161</v>
      </c>
      <c r="E308" s="345">
        <f t="shared" si="15"/>
        <v>114798</v>
      </c>
      <c r="F308" s="346">
        <f t="shared" si="16"/>
        <v>114798</v>
      </c>
      <c r="G308" s="356"/>
      <c r="H308" s="355"/>
      <c r="I308" s="356"/>
      <c r="J308" s="356"/>
      <c r="K308" s="357"/>
    </row>
    <row r="309" spans="1:11">
      <c r="A309" s="358"/>
      <c r="B309" s="351" t="s">
        <v>1951</v>
      </c>
      <c r="C309" s="364" t="s">
        <v>2149</v>
      </c>
      <c r="D309" s="353">
        <v>119903</v>
      </c>
      <c r="E309" s="345">
        <f t="shared" si="15"/>
        <v>138811</v>
      </c>
      <c r="F309" s="346">
        <f t="shared" si="16"/>
        <v>138811</v>
      </c>
      <c r="G309" s="356"/>
      <c r="H309" s="355"/>
      <c r="I309" s="356"/>
      <c r="J309" s="356"/>
      <c r="K309" s="357"/>
    </row>
    <row r="310" spans="1:11">
      <c r="A310" s="358"/>
      <c r="B310" s="351" t="s">
        <v>1952</v>
      </c>
      <c r="C310" s="364" t="s">
        <v>2149</v>
      </c>
      <c r="D310" s="353">
        <v>123290</v>
      </c>
      <c r="E310" s="345">
        <f t="shared" si="15"/>
        <v>142732</v>
      </c>
      <c r="F310" s="346">
        <f t="shared" si="16"/>
        <v>142732</v>
      </c>
      <c r="G310" s="356"/>
      <c r="H310" s="355"/>
      <c r="I310" s="356"/>
      <c r="J310" s="356"/>
      <c r="K310" s="357"/>
    </row>
    <row r="311" spans="1:11">
      <c r="A311" s="359"/>
      <c r="B311" s="351" t="s">
        <v>1953</v>
      </c>
      <c r="C311" s="364" t="s">
        <v>2150</v>
      </c>
      <c r="D311" s="353">
        <v>285326</v>
      </c>
      <c r="E311" s="345">
        <f t="shared" si="15"/>
        <v>330321</v>
      </c>
      <c r="F311" s="346">
        <f t="shared" si="16"/>
        <v>330321</v>
      </c>
      <c r="G311" s="356"/>
      <c r="H311" s="355"/>
      <c r="I311" s="356"/>
      <c r="J311" s="356"/>
      <c r="K311" s="357"/>
    </row>
    <row r="312" spans="1:11">
      <c r="A312" s="360" t="s">
        <v>2353</v>
      </c>
      <c r="B312" s="361" t="s">
        <v>956</v>
      </c>
      <c r="C312" s="388" t="s">
        <v>2151</v>
      </c>
      <c r="D312" s="353">
        <v>17551</v>
      </c>
      <c r="E312" s="345">
        <f t="shared" si="15"/>
        <v>20318</v>
      </c>
      <c r="F312" s="346">
        <f t="shared" si="16"/>
        <v>20318</v>
      </c>
      <c r="G312" s="356"/>
      <c r="H312" s="355"/>
      <c r="I312" s="356"/>
      <c r="J312" s="356"/>
      <c r="K312" s="357"/>
    </row>
    <row r="313" spans="1:11">
      <c r="A313" s="358"/>
      <c r="B313" s="351" t="s">
        <v>957</v>
      </c>
      <c r="C313" s="388" t="s">
        <v>2152</v>
      </c>
      <c r="D313" s="353">
        <v>24644</v>
      </c>
      <c r="E313" s="345">
        <f t="shared" si="15"/>
        <v>28530</v>
      </c>
      <c r="F313" s="346">
        <f t="shared" si="16"/>
        <v>28530</v>
      </c>
      <c r="G313" s="356"/>
      <c r="H313" s="355"/>
      <c r="I313" s="356"/>
      <c r="J313" s="356"/>
      <c r="K313" s="357"/>
    </row>
    <row r="314" spans="1:11">
      <c r="A314" s="358"/>
      <c r="B314" s="351" t="s">
        <v>958</v>
      </c>
      <c r="C314" s="364" t="s">
        <v>2153</v>
      </c>
      <c r="D314" s="353">
        <v>38910</v>
      </c>
      <c r="E314" s="345">
        <f t="shared" si="15"/>
        <v>45046</v>
      </c>
      <c r="F314" s="346">
        <f t="shared" si="16"/>
        <v>45046</v>
      </c>
      <c r="G314" s="356"/>
      <c r="H314" s="355"/>
      <c r="I314" s="356"/>
      <c r="J314" s="356"/>
      <c r="K314" s="357"/>
    </row>
    <row r="315" spans="1:11">
      <c r="A315" s="358"/>
      <c r="B315" s="351" t="s">
        <v>959</v>
      </c>
      <c r="C315" s="364" t="s">
        <v>2154</v>
      </c>
      <c r="D315" s="353">
        <v>52174</v>
      </c>
      <c r="E315" s="345">
        <f t="shared" si="15"/>
        <v>60401</v>
      </c>
      <c r="F315" s="346">
        <f t="shared" si="16"/>
        <v>60401</v>
      </c>
      <c r="G315" s="356"/>
      <c r="H315" s="355"/>
      <c r="I315" s="356"/>
      <c r="J315" s="356"/>
      <c r="K315" s="357"/>
    </row>
    <row r="316" spans="1:11">
      <c r="A316" s="358"/>
      <c r="B316" s="351" t="s">
        <v>960</v>
      </c>
      <c r="C316" s="364" t="s">
        <v>2155</v>
      </c>
      <c r="D316" s="353">
        <v>53842</v>
      </c>
      <c r="E316" s="345">
        <f t="shared" si="15"/>
        <v>62332</v>
      </c>
      <c r="F316" s="346">
        <f t="shared" si="16"/>
        <v>62332</v>
      </c>
      <c r="G316" s="356"/>
      <c r="H316" s="355"/>
      <c r="I316" s="356"/>
      <c r="J316" s="356"/>
      <c r="K316" s="357"/>
    </row>
    <row r="317" spans="1:11">
      <c r="A317" s="358"/>
      <c r="B317" s="351" t="s">
        <v>961</v>
      </c>
      <c r="C317" s="388" t="s">
        <v>2156</v>
      </c>
      <c r="D317" s="353">
        <v>71563</v>
      </c>
      <c r="E317" s="345">
        <f t="shared" si="15"/>
        <v>82848</v>
      </c>
      <c r="F317" s="346">
        <f t="shared" si="16"/>
        <v>82848</v>
      </c>
      <c r="G317" s="356"/>
      <c r="H317" s="355"/>
      <c r="I317" s="356"/>
      <c r="J317" s="356"/>
      <c r="K317" s="357"/>
    </row>
    <row r="318" spans="1:11">
      <c r="A318" s="358"/>
      <c r="B318" s="351" t="s">
        <v>962</v>
      </c>
      <c r="C318" s="364" t="s">
        <v>2157</v>
      </c>
      <c r="D318" s="353">
        <v>100321</v>
      </c>
      <c r="E318" s="345">
        <f t="shared" si="15"/>
        <v>116141</v>
      </c>
      <c r="F318" s="346">
        <f t="shared" si="16"/>
        <v>116141</v>
      </c>
      <c r="G318" s="356"/>
      <c r="H318" s="355"/>
      <c r="I318" s="356"/>
      <c r="J318" s="356"/>
      <c r="K318" s="357"/>
    </row>
    <row r="319" spans="1:11">
      <c r="A319" s="359"/>
      <c r="B319" s="351" t="s">
        <v>963</v>
      </c>
      <c r="C319" s="364" t="s">
        <v>2158</v>
      </c>
      <c r="D319" s="353">
        <v>123971</v>
      </c>
      <c r="E319" s="345">
        <f t="shared" si="15"/>
        <v>143521</v>
      </c>
      <c r="F319" s="346">
        <f t="shared" si="16"/>
        <v>143521</v>
      </c>
      <c r="G319" s="356"/>
      <c r="H319" s="355"/>
      <c r="I319" s="356"/>
      <c r="J319" s="356"/>
      <c r="K319" s="357"/>
    </row>
    <row r="320" spans="1:11">
      <c r="A320" s="360" t="s">
        <v>2354</v>
      </c>
      <c r="B320" s="361" t="s">
        <v>964</v>
      </c>
      <c r="C320" s="364" t="s">
        <v>2159</v>
      </c>
      <c r="D320" s="353">
        <v>46066</v>
      </c>
      <c r="E320" s="345">
        <f t="shared" si="15"/>
        <v>53330</v>
      </c>
      <c r="F320" s="346">
        <f t="shared" si="16"/>
        <v>53330</v>
      </c>
      <c r="G320" s="356"/>
      <c r="H320" s="355"/>
      <c r="I320" s="356"/>
      <c r="J320" s="356"/>
      <c r="K320" s="357"/>
    </row>
    <row r="321" spans="1:11">
      <c r="A321" s="358"/>
      <c r="B321" s="351" t="s">
        <v>1543</v>
      </c>
      <c r="C321" s="364" t="s">
        <v>2160</v>
      </c>
      <c r="D321" s="353">
        <v>70666</v>
      </c>
      <c r="E321" s="345">
        <f t="shared" si="15"/>
        <v>81810</v>
      </c>
      <c r="F321" s="346">
        <f t="shared" si="16"/>
        <v>81810</v>
      </c>
      <c r="G321" s="356"/>
      <c r="H321" s="355"/>
      <c r="I321" s="356"/>
      <c r="J321" s="356"/>
      <c r="K321" s="357"/>
    </row>
    <row r="322" spans="1:11">
      <c r="A322" s="358"/>
      <c r="B322" s="351" t="s">
        <v>1544</v>
      </c>
      <c r="C322" s="364" t="s">
        <v>2161</v>
      </c>
      <c r="D322" s="353">
        <v>108087</v>
      </c>
      <c r="E322" s="345">
        <f t="shared" si="15"/>
        <v>125132</v>
      </c>
      <c r="F322" s="346">
        <f t="shared" si="16"/>
        <v>125132</v>
      </c>
      <c r="G322" s="356"/>
      <c r="H322" s="355"/>
      <c r="I322" s="356"/>
      <c r="J322" s="356"/>
      <c r="K322" s="357"/>
    </row>
    <row r="323" spans="1:11">
      <c r="A323" s="359"/>
      <c r="B323" s="351" t="s">
        <v>1545</v>
      </c>
      <c r="C323" s="388" t="s">
        <v>2162</v>
      </c>
      <c r="D323" s="353">
        <v>119783</v>
      </c>
      <c r="E323" s="345">
        <f t="shared" si="15"/>
        <v>138672</v>
      </c>
      <c r="F323" s="346">
        <f t="shared" si="16"/>
        <v>138672</v>
      </c>
      <c r="G323" s="356"/>
      <c r="H323" s="355"/>
      <c r="I323" s="356"/>
      <c r="J323" s="356"/>
      <c r="K323" s="357"/>
    </row>
    <row r="324" spans="1:11">
      <c r="A324" s="360" t="s">
        <v>2355</v>
      </c>
      <c r="B324" s="361" t="s">
        <v>1546</v>
      </c>
      <c r="C324" s="388" t="s">
        <v>2163</v>
      </c>
      <c r="D324" s="353">
        <v>13841</v>
      </c>
      <c r="E324" s="345">
        <f t="shared" si="15"/>
        <v>16023</v>
      </c>
      <c r="F324" s="346">
        <f t="shared" si="16"/>
        <v>16023</v>
      </c>
      <c r="G324" s="356"/>
      <c r="H324" s="355"/>
      <c r="I324" s="356"/>
      <c r="J324" s="356"/>
      <c r="K324" s="357"/>
    </row>
    <row r="325" spans="1:11">
      <c r="A325" s="358"/>
      <c r="B325" s="351" t="s">
        <v>1547</v>
      </c>
      <c r="C325" s="388" t="s">
        <v>2164</v>
      </c>
      <c r="D325" s="353">
        <v>15141</v>
      </c>
      <c r="E325" s="345">
        <f t="shared" si="15"/>
        <v>17528</v>
      </c>
      <c r="F325" s="346">
        <f t="shared" si="16"/>
        <v>17528</v>
      </c>
      <c r="G325" s="356"/>
      <c r="H325" s="355"/>
      <c r="I325" s="356"/>
      <c r="J325" s="356"/>
      <c r="K325" s="357"/>
    </row>
    <row r="326" spans="1:11">
      <c r="A326" s="358"/>
      <c r="B326" s="351" t="s">
        <v>1548</v>
      </c>
      <c r="C326" s="388" t="s">
        <v>2165</v>
      </c>
      <c r="D326" s="353">
        <v>16065</v>
      </c>
      <c r="E326" s="345">
        <f t="shared" si="15"/>
        <v>18598</v>
      </c>
      <c r="F326" s="346">
        <f t="shared" si="16"/>
        <v>18598</v>
      </c>
      <c r="G326" s="356"/>
      <c r="H326" s="355"/>
      <c r="I326" s="356"/>
      <c r="J326" s="356"/>
      <c r="K326" s="357"/>
    </row>
    <row r="327" spans="1:11">
      <c r="A327" s="358"/>
      <c r="B327" s="351" t="s">
        <v>1549</v>
      </c>
      <c r="C327" s="388" t="s">
        <v>2166</v>
      </c>
      <c r="D327" s="353">
        <v>16317</v>
      </c>
      <c r="E327" s="345">
        <f t="shared" si="15"/>
        <v>18890</v>
      </c>
      <c r="F327" s="346">
        <f t="shared" si="16"/>
        <v>18890</v>
      </c>
      <c r="G327" s="356"/>
      <c r="H327" s="355"/>
      <c r="I327" s="356"/>
      <c r="J327" s="356"/>
      <c r="K327" s="357"/>
    </row>
    <row r="328" spans="1:11">
      <c r="A328" s="358"/>
      <c r="B328" s="351" t="s">
        <v>1550</v>
      </c>
      <c r="C328" s="388" t="s">
        <v>6</v>
      </c>
      <c r="D328" s="353">
        <v>16652</v>
      </c>
      <c r="E328" s="345">
        <f t="shared" si="15"/>
        <v>19278</v>
      </c>
      <c r="F328" s="346">
        <f t="shared" si="16"/>
        <v>19278</v>
      </c>
      <c r="G328" s="356"/>
      <c r="H328" s="355"/>
      <c r="I328" s="356"/>
      <c r="J328" s="356"/>
      <c r="K328" s="357"/>
    </row>
    <row r="329" spans="1:11">
      <c r="A329" s="358"/>
      <c r="B329" s="351" t="s">
        <v>1551</v>
      </c>
      <c r="C329" s="388" t="s">
        <v>7</v>
      </c>
      <c r="D329" s="353">
        <v>17466</v>
      </c>
      <c r="E329" s="345">
        <f t="shared" si="15"/>
        <v>20220</v>
      </c>
      <c r="F329" s="346">
        <f t="shared" si="16"/>
        <v>20220</v>
      </c>
      <c r="G329" s="356"/>
      <c r="H329" s="355"/>
      <c r="I329" s="356"/>
      <c r="J329" s="356"/>
      <c r="K329" s="357"/>
    </row>
    <row r="330" spans="1:11">
      <c r="A330" s="358"/>
      <c r="B330" s="351" t="s">
        <v>1552</v>
      </c>
      <c r="C330" s="388" t="s">
        <v>8</v>
      </c>
      <c r="D330" s="353">
        <v>28770</v>
      </c>
      <c r="E330" s="345">
        <f t="shared" si="15"/>
        <v>33307</v>
      </c>
      <c r="F330" s="346">
        <f t="shared" si="16"/>
        <v>33307</v>
      </c>
      <c r="G330" s="356"/>
      <c r="H330" s="355"/>
      <c r="I330" s="356"/>
      <c r="J330" s="356"/>
      <c r="K330" s="357"/>
    </row>
    <row r="331" spans="1:11">
      <c r="A331" s="359"/>
      <c r="B331" s="351" t="s">
        <v>1553</v>
      </c>
      <c r="C331" s="388" t="s">
        <v>9</v>
      </c>
      <c r="D331" s="353">
        <v>29774</v>
      </c>
      <c r="E331" s="345">
        <f t="shared" si="15"/>
        <v>34469</v>
      </c>
      <c r="F331" s="346">
        <f t="shared" si="16"/>
        <v>34469</v>
      </c>
      <c r="G331" s="356"/>
      <c r="H331" s="355"/>
      <c r="I331" s="356"/>
      <c r="J331" s="356"/>
      <c r="K331" s="357"/>
    </row>
    <row r="332" spans="1:11">
      <c r="A332" s="360" t="s">
        <v>2356</v>
      </c>
      <c r="B332" s="361" t="s">
        <v>1554</v>
      </c>
      <c r="C332" s="364" t="s">
        <v>10</v>
      </c>
      <c r="D332" s="353">
        <v>17059</v>
      </c>
      <c r="E332" s="345">
        <f t="shared" si="15"/>
        <v>19749</v>
      </c>
      <c r="F332" s="346">
        <f t="shared" si="16"/>
        <v>19749</v>
      </c>
      <c r="G332" s="356"/>
      <c r="H332" s="355"/>
      <c r="I332" s="356"/>
      <c r="J332" s="356"/>
      <c r="K332" s="357"/>
    </row>
    <row r="333" spans="1:11">
      <c r="A333" s="358"/>
      <c r="B333" s="351" t="s">
        <v>1555</v>
      </c>
      <c r="C333" s="388" t="s">
        <v>11</v>
      </c>
      <c r="D333" s="353">
        <v>17346</v>
      </c>
      <c r="E333" s="345">
        <f t="shared" si="15"/>
        <v>20081</v>
      </c>
      <c r="F333" s="346">
        <f t="shared" si="16"/>
        <v>20081</v>
      </c>
      <c r="G333" s="356"/>
      <c r="H333" s="355"/>
      <c r="I333" s="356"/>
      <c r="J333" s="356"/>
      <c r="K333" s="357"/>
    </row>
    <row r="334" spans="1:11">
      <c r="A334" s="358"/>
      <c r="B334" s="351" t="s">
        <v>2257</v>
      </c>
      <c r="C334" s="388" t="s">
        <v>12</v>
      </c>
      <c r="D334" s="353">
        <v>18920</v>
      </c>
      <c r="E334" s="345">
        <f t="shared" si="15"/>
        <v>21903</v>
      </c>
      <c r="F334" s="346">
        <f t="shared" si="16"/>
        <v>21903</v>
      </c>
      <c r="G334" s="356"/>
      <c r="H334" s="355"/>
      <c r="I334" s="356"/>
      <c r="J334" s="356"/>
      <c r="K334" s="357"/>
    </row>
    <row r="335" spans="1:11">
      <c r="A335" s="358"/>
      <c r="B335" s="351" t="s">
        <v>2258</v>
      </c>
      <c r="C335" s="388" t="s">
        <v>13</v>
      </c>
      <c r="D335" s="353">
        <v>19869</v>
      </c>
      <c r="E335" s="345">
        <f t="shared" si="15"/>
        <v>23002</v>
      </c>
      <c r="F335" s="346">
        <f t="shared" si="16"/>
        <v>23002</v>
      </c>
      <c r="G335" s="356"/>
      <c r="H335" s="355"/>
      <c r="I335" s="356"/>
      <c r="J335" s="356"/>
      <c r="K335" s="357"/>
    </row>
    <row r="336" spans="1:11">
      <c r="A336" s="358"/>
      <c r="B336" s="351" t="s">
        <v>2259</v>
      </c>
      <c r="C336" s="388" t="s">
        <v>14</v>
      </c>
      <c r="D336" s="353">
        <v>21026</v>
      </c>
      <c r="E336" s="345">
        <f t="shared" si="15"/>
        <v>24341</v>
      </c>
      <c r="F336" s="346">
        <f t="shared" si="16"/>
        <v>24341</v>
      </c>
      <c r="G336" s="356"/>
      <c r="H336" s="355"/>
      <c r="I336" s="356"/>
      <c r="J336" s="356"/>
      <c r="K336" s="357"/>
    </row>
    <row r="337" spans="1:11">
      <c r="A337" s="358"/>
      <c r="B337" s="351" t="s">
        <v>2260</v>
      </c>
      <c r="C337" s="388" t="s">
        <v>15</v>
      </c>
      <c r="D337" s="353">
        <v>31835</v>
      </c>
      <c r="E337" s="345">
        <f t="shared" si="15"/>
        <v>36855</v>
      </c>
      <c r="F337" s="346">
        <f t="shared" si="16"/>
        <v>36855</v>
      </c>
      <c r="G337" s="356"/>
      <c r="H337" s="355"/>
      <c r="I337" s="356"/>
      <c r="J337" s="356"/>
      <c r="K337" s="357"/>
    </row>
    <row r="338" spans="1:11">
      <c r="A338" s="358"/>
      <c r="B338" s="351" t="s">
        <v>2261</v>
      </c>
      <c r="C338" s="388" t="s">
        <v>16</v>
      </c>
      <c r="D338" s="353">
        <v>33117</v>
      </c>
      <c r="E338" s="345">
        <f t="shared" si="15"/>
        <v>38339</v>
      </c>
      <c r="F338" s="346">
        <f t="shared" si="16"/>
        <v>38339</v>
      </c>
      <c r="G338" s="356"/>
      <c r="H338" s="355"/>
      <c r="I338" s="356"/>
      <c r="J338" s="356"/>
      <c r="K338" s="357"/>
    </row>
    <row r="339" spans="1:11">
      <c r="A339" s="359"/>
      <c r="B339" s="351" t="s">
        <v>2262</v>
      </c>
      <c r="C339" s="388" t="s">
        <v>17</v>
      </c>
      <c r="D339" s="353">
        <v>37680</v>
      </c>
      <c r="E339" s="345">
        <f t="shared" si="15"/>
        <v>43622</v>
      </c>
      <c r="F339" s="346">
        <f t="shared" si="16"/>
        <v>43622</v>
      </c>
      <c r="G339" s="356"/>
      <c r="H339" s="355"/>
      <c r="I339" s="356"/>
      <c r="J339" s="356"/>
      <c r="K339" s="357"/>
    </row>
    <row r="340" spans="1:11">
      <c r="A340" s="372">
        <v>5118</v>
      </c>
      <c r="B340" s="361" t="s">
        <v>2046</v>
      </c>
      <c r="C340" s="388" t="s">
        <v>2047</v>
      </c>
      <c r="D340" s="353">
        <v>4365</v>
      </c>
      <c r="E340" s="345">
        <f t="shared" si="15"/>
        <v>5053</v>
      </c>
      <c r="F340" s="346">
        <f t="shared" si="16"/>
        <v>5053</v>
      </c>
      <c r="G340" s="356"/>
      <c r="H340" s="355"/>
      <c r="I340" s="356"/>
      <c r="J340" s="356"/>
      <c r="K340" s="357"/>
    </row>
    <row r="341" spans="1:11">
      <c r="A341" s="358" t="s">
        <v>2048</v>
      </c>
      <c r="B341" s="351" t="s">
        <v>2049</v>
      </c>
      <c r="C341" s="388" t="s">
        <v>18</v>
      </c>
      <c r="D341" s="353">
        <v>5039</v>
      </c>
      <c r="E341" s="345">
        <f t="shared" si="15"/>
        <v>5833</v>
      </c>
      <c r="F341" s="346">
        <f t="shared" si="16"/>
        <v>5833</v>
      </c>
      <c r="G341" s="356"/>
      <c r="H341" s="355"/>
      <c r="I341" s="356"/>
      <c r="J341" s="356"/>
      <c r="K341" s="357"/>
    </row>
    <row r="342" spans="1:11">
      <c r="A342" s="358"/>
      <c r="B342" s="351" t="s">
        <v>2050</v>
      </c>
      <c r="C342" s="388" t="s">
        <v>19</v>
      </c>
      <c r="D342" s="353">
        <v>7473</v>
      </c>
      <c r="E342" s="345">
        <f t="shared" si="15"/>
        <v>8651</v>
      </c>
      <c r="F342" s="346">
        <f t="shared" si="16"/>
        <v>8651</v>
      </c>
      <c r="G342" s="356"/>
      <c r="H342" s="355"/>
      <c r="I342" s="356"/>
      <c r="J342" s="356"/>
      <c r="K342" s="357"/>
    </row>
    <row r="343" spans="1:11">
      <c r="A343" s="358"/>
      <c r="B343" s="351" t="s">
        <v>2051</v>
      </c>
      <c r="C343" s="364" t="s">
        <v>20</v>
      </c>
      <c r="D343" s="353">
        <v>9928</v>
      </c>
      <c r="E343" s="345">
        <f t="shared" si="15"/>
        <v>11493</v>
      </c>
      <c r="F343" s="346">
        <f t="shared" si="16"/>
        <v>11493</v>
      </c>
      <c r="G343" s="356"/>
      <c r="H343" s="355"/>
      <c r="I343" s="356"/>
      <c r="J343" s="356"/>
      <c r="K343" s="357"/>
    </row>
    <row r="344" spans="1:11">
      <c r="A344" s="358"/>
      <c r="B344" s="351" t="s">
        <v>2052</v>
      </c>
      <c r="C344" s="364" t="s">
        <v>21</v>
      </c>
      <c r="D344" s="353">
        <v>15314</v>
      </c>
      <c r="E344" s="345">
        <f t="shared" si="15"/>
        <v>17729</v>
      </c>
      <c r="F344" s="346">
        <f t="shared" si="16"/>
        <v>17729</v>
      </c>
      <c r="G344" s="356"/>
      <c r="H344" s="355"/>
      <c r="I344" s="356"/>
      <c r="J344" s="356"/>
      <c r="K344" s="357"/>
    </row>
    <row r="345" spans="1:11">
      <c r="A345" s="358"/>
      <c r="B345" s="351" t="s">
        <v>2053</v>
      </c>
      <c r="C345" s="364" t="s">
        <v>22</v>
      </c>
      <c r="D345" s="353">
        <v>20338</v>
      </c>
      <c r="E345" s="345">
        <f t="shared" si="15"/>
        <v>23545</v>
      </c>
      <c r="F345" s="346">
        <f t="shared" si="16"/>
        <v>23545</v>
      </c>
      <c r="G345" s="356"/>
      <c r="H345" s="355"/>
      <c r="I345" s="356"/>
      <c r="J345" s="356"/>
      <c r="K345" s="357"/>
    </row>
    <row r="346" spans="1:11">
      <c r="A346" s="359"/>
      <c r="B346" s="351" t="s">
        <v>2054</v>
      </c>
      <c r="C346" s="364" t="s">
        <v>23</v>
      </c>
      <c r="D346" s="353">
        <v>21600</v>
      </c>
      <c r="E346" s="345">
        <f t="shared" si="15"/>
        <v>25006</v>
      </c>
      <c r="F346" s="346">
        <f t="shared" si="16"/>
        <v>25006</v>
      </c>
      <c r="G346" s="356"/>
      <c r="H346" s="355"/>
      <c r="I346" s="356"/>
      <c r="J346" s="356"/>
      <c r="K346" s="357"/>
    </row>
    <row r="347" spans="1:11">
      <c r="A347" s="389" t="s">
        <v>2357</v>
      </c>
      <c r="B347" s="361" t="s">
        <v>2055</v>
      </c>
      <c r="C347" s="364" t="s">
        <v>2056</v>
      </c>
      <c r="D347" s="353"/>
      <c r="E347" s="345">
        <v>55000</v>
      </c>
      <c r="F347" s="346">
        <f t="shared" si="16"/>
        <v>0</v>
      </c>
      <c r="G347" s="356"/>
      <c r="H347" s="355"/>
      <c r="I347" s="356">
        <v>1</v>
      </c>
      <c r="J347" s="356"/>
      <c r="K347" s="357"/>
    </row>
    <row r="348" spans="1:11">
      <c r="A348" s="372">
        <v>5202</v>
      </c>
      <c r="B348" s="361" t="s">
        <v>320</v>
      </c>
      <c r="C348" s="364" t="s">
        <v>321</v>
      </c>
      <c r="D348" s="353">
        <v>124700</v>
      </c>
      <c r="E348" s="345">
        <f t="shared" si="15"/>
        <v>144365</v>
      </c>
      <c r="F348" s="346">
        <f t="shared" si="16"/>
        <v>144365</v>
      </c>
      <c r="G348" s="356"/>
      <c r="H348" s="355"/>
      <c r="I348" s="356"/>
      <c r="J348" s="356"/>
      <c r="K348" s="357"/>
    </row>
    <row r="349" spans="1:11">
      <c r="A349" s="358" t="s">
        <v>322</v>
      </c>
      <c r="B349" s="351" t="s">
        <v>323</v>
      </c>
      <c r="C349" s="375">
        <v>240</v>
      </c>
      <c r="D349" s="353">
        <v>279295</v>
      </c>
      <c r="E349" s="345">
        <f t="shared" si="15"/>
        <v>323339</v>
      </c>
      <c r="F349" s="346">
        <f t="shared" si="16"/>
        <v>323339</v>
      </c>
      <c r="G349" s="356"/>
      <c r="H349" s="355"/>
      <c r="I349" s="356"/>
      <c r="J349" s="356"/>
      <c r="K349" s="357"/>
    </row>
    <row r="350" spans="1:11">
      <c r="A350" s="359" t="s">
        <v>324</v>
      </c>
      <c r="B350" s="351" t="s">
        <v>325</v>
      </c>
      <c r="C350" s="375">
        <v>300</v>
      </c>
      <c r="D350" s="353">
        <v>445643</v>
      </c>
      <c r="E350" s="345">
        <f t="shared" si="15"/>
        <v>515920</v>
      </c>
      <c r="F350" s="346">
        <f t="shared" si="16"/>
        <v>515920</v>
      </c>
      <c r="G350" s="356"/>
      <c r="H350" s="355"/>
      <c r="I350" s="356"/>
      <c r="J350" s="356"/>
      <c r="K350" s="357"/>
    </row>
    <row r="351" spans="1:11">
      <c r="A351" s="372">
        <v>5203</v>
      </c>
      <c r="B351" s="361" t="s">
        <v>326</v>
      </c>
      <c r="C351" s="364" t="s">
        <v>327</v>
      </c>
      <c r="D351" s="353">
        <v>30495</v>
      </c>
      <c r="E351" s="345">
        <f>F351</f>
        <v>35304</v>
      </c>
      <c r="F351" s="346">
        <f t="shared" si="16"/>
        <v>35304</v>
      </c>
      <c r="G351" s="356"/>
      <c r="H351" s="355"/>
      <c r="I351" s="356"/>
      <c r="J351" s="356"/>
      <c r="K351" s="357"/>
    </row>
    <row r="352" spans="1:11">
      <c r="A352" s="358" t="s">
        <v>322</v>
      </c>
      <c r="B352" s="351" t="s">
        <v>921</v>
      </c>
      <c r="C352" s="364" t="s">
        <v>922</v>
      </c>
      <c r="D352" s="353">
        <v>36787</v>
      </c>
      <c r="E352" s="345">
        <f>F352</f>
        <v>42588</v>
      </c>
      <c r="F352" s="346">
        <f t="shared" si="16"/>
        <v>42588</v>
      </c>
      <c r="G352" s="356"/>
      <c r="H352" s="355"/>
      <c r="I352" s="356"/>
      <c r="J352" s="356"/>
      <c r="K352" s="357"/>
    </row>
    <row r="353" spans="1:11">
      <c r="A353" s="358" t="s">
        <v>923</v>
      </c>
      <c r="B353" s="351" t="s">
        <v>924</v>
      </c>
      <c r="C353" s="364" t="s">
        <v>925</v>
      </c>
      <c r="D353" s="353">
        <v>54001</v>
      </c>
      <c r="E353" s="345">
        <f>F353</f>
        <v>62516</v>
      </c>
      <c r="F353" s="346">
        <f t="shared" si="16"/>
        <v>62516</v>
      </c>
      <c r="G353" s="356"/>
      <c r="H353" s="355"/>
      <c r="I353" s="356"/>
      <c r="J353" s="356"/>
      <c r="K353" s="357"/>
    </row>
    <row r="354" spans="1:11">
      <c r="A354" s="358"/>
      <c r="B354" s="351" t="s">
        <v>926</v>
      </c>
      <c r="C354" s="364" t="s">
        <v>927</v>
      </c>
      <c r="D354" s="353">
        <v>77409</v>
      </c>
      <c r="E354" s="345">
        <f>F354</f>
        <v>89616</v>
      </c>
      <c r="F354" s="346">
        <f t="shared" si="16"/>
        <v>89616</v>
      </c>
      <c r="G354" s="356"/>
      <c r="H354" s="355"/>
      <c r="I354" s="356"/>
      <c r="J354" s="356"/>
      <c r="K354" s="357"/>
    </row>
    <row r="355" spans="1:11">
      <c r="A355" s="359"/>
      <c r="B355" s="351" t="s">
        <v>928</v>
      </c>
      <c r="C355" s="364" t="s">
        <v>929</v>
      </c>
      <c r="D355" s="353">
        <v>126012</v>
      </c>
      <c r="E355" s="345">
        <f>F355</f>
        <v>145884</v>
      </c>
      <c r="F355" s="346">
        <f t="shared" si="16"/>
        <v>145884</v>
      </c>
      <c r="G355" s="356"/>
      <c r="H355" s="355"/>
      <c r="I355" s="356"/>
      <c r="J355" s="356"/>
      <c r="K355" s="357"/>
    </row>
    <row r="356" spans="1:11">
      <c r="A356" s="372">
        <v>5204</v>
      </c>
      <c r="B356" s="361" t="s">
        <v>930</v>
      </c>
      <c r="C356" s="364" t="s">
        <v>931</v>
      </c>
      <c r="D356" s="353"/>
      <c r="E356" s="345">
        <v>40987</v>
      </c>
      <c r="F356" s="346">
        <f t="shared" si="16"/>
        <v>0</v>
      </c>
      <c r="G356" s="356"/>
      <c r="H356" s="355"/>
      <c r="I356" s="356"/>
      <c r="J356" s="356"/>
      <c r="K356" s="357"/>
    </row>
    <row r="357" spans="1:11">
      <c r="A357" s="358" t="s">
        <v>932</v>
      </c>
      <c r="B357" s="351" t="s">
        <v>1171</v>
      </c>
      <c r="C357" s="364" t="s">
        <v>1172</v>
      </c>
      <c r="D357" s="353"/>
      <c r="E357" s="345">
        <v>45187</v>
      </c>
      <c r="F357" s="346">
        <f t="shared" si="16"/>
        <v>0</v>
      </c>
      <c r="G357" s="356"/>
      <c r="H357" s="355"/>
      <c r="I357" s="356"/>
      <c r="J357" s="356"/>
      <c r="K357" s="357"/>
    </row>
    <row r="358" spans="1:11">
      <c r="A358" s="358"/>
      <c r="B358" s="351" t="s">
        <v>1173</v>
      </c>
      <c r="C358" s="364" t="s">
        <v>1174</v>
      </c>
      <c r="D358" s="353"/>
      <c r="E358" s="345">
        <v>47637</v>
      </c>
      <c r="F358" s="346">
        <f t="shared" si="16"/>
        <v>0</v>
      </c>
      <c r="G358" s="356"/>
      <c r="H358" s="355"/>
      <c r="I358" s="356"/>
      <c r="J358" s="356"/>
      <c r="K358" s="357"/>
    </row>
    <row r="359" spans="1:11">
      <c r="A359" s="358"/>
      <c r="B359" s="351" t="s">
        <v>1175</v>
      </c>
      <c r="C359" s="364" t="s">
        <v>1176</v>
      </c>
      <c r="D359" s="353"/>
      <c r="E359" s="345">
        <v>53600</v>
      </c>
      <c r="F359" s="346">
        <f t="shared" si="16"/>
        <v>0</v>
      </c>
      <c r="G359" s="356"/>
      <c r="H359" s="355"/>
      <c r="I359" s="356"/>
      <c r="J359" s="356"/>
      <c r="K359" s="357"/>
    </row>
    <row r="360" spans="1:11">
      <c r="A360" s="359"/>
      <c r="B360" s="351" t="s">
        <v>1177</v>
      </c>
      <c r="C360" s="364" t="s">
        <v>1178</v>
      </c>
      <c r="D360" s="353"/>
      <c r="E360" s="345">
        <v>61675</v>
      </c>
      <c r="F360" s="346">
        <f t="shared" si="16"/>
        <v>0</v>
      </c>
      <c r="G360" s="356"/>
      <c r="H360" s="355"/>
      <c r="I360" s="356"/>
      <c r="J360" s="356"/>
      <c r="K360" s="357"/>
    </row>
    <row r="361" spans="1:11">
      <c r="A361" s="372">
        <v>5205</v>
      </c>
      <c r="B361" s="361" t="s">
        <v>1179</v>
      </c>
      <c r="C361" s="388" t="s">
        <v>1180</v>
      </c>
      <c r="D361" s="353"/>
      <c r="E361" s="345">
        <v>12426</v>
      </c>
      <c r="F361" s="346">
        <f t="shared" si="16"/>
        <v>0</v>
      </c>
      <c r="G361" s="356">
        <v>6.2</v>
      </c>
      <c r="H361" s="355">
        <v>16</v>
      </c>
      <c r="I361" s="356">
        <v>1</v>
      </c>
      <c r="J361" s="356"/>
      <c r="K361" s="357"/>
    </row>
    <row r="362" spans="1:11">
      <c r="A362" s="358" t="s">
        <v>1181</v>
      </c>
      <c r="B362" s="351" t="s">
        <v>1182</v>
      </c>
      <c r="C362" s="364" t="s">
        <v>24</v>
      </c>
      <c r="D362" s="353"/>
      <c r="E362" s="345">
        <v>17575</v>
      </c>
      <c r="F362" s="346">
        <f t="shared" si="16"/>
        <v>0</v>
      </c>
      <c r="G362" s="391">
        <v>10</v>
      </c>
      <c r="H362" s="392">
        <v>16</v>
      </c>
      <c r="I362" s="391">
        <v>1</v>
      </c>
      <c r="J362" s="391"/>
      <c r="K362" s="393"/>
    </row>
    <row r="363" spans="1:11">
      <c r="A363" s="358" t="s">
        <v>1183</v>
      </c>
      <c r="B363" s="351" t="s">
        <v>1184</v>
      </c>
      <c r="C363" s="388" t="s">
        <v>25</v>
      </c>
      <c r="D363" s="353"/>
      <c r="E363" s="345">
        <v>27727</v>
      </c>
      <c r="F363" s="346">
        <f t="shared" si="16"/>
        <v>0</v>
      </c>
      <c r="G363" s="391">
        <v>14.2</v>
      </c>
      <c r="H363" s="392">
        <v>16</v>
      </c>
      <c r="I363" s="391">
        <v>1</v>
      </c>
      <c r="J363" s="391"/>
      <c r="K363" s="393"/>
    </row>
    <row r="364" spans="1:11">
      <c r="A364" s="358"/>
      <c r="B364" s="351" t="s">
        <v>328</v>
      </c>
      <c r="C364" s="388" t="s">
        <v>26</v>
      </c>
      <c r="D364" s="353"/>
      <c r="E364" s="345">
        <v>29579</v>
      </c>
      <c r="F364" s="346">
        <f t="shared" si="16"/>
        <v>0</v>
      </c>
      <c r="G364" s="391">
        <v>23.5</v>
      </c>
      <c r="H364" s="392">
        <v>16</v>
      </c>
      <c r="I364" s="391">
        <v>1</v>
      </c>
      <c r="J364" s="391"/>
      <c r="K364" s="393"/>
    </row>
    <row r="365" spans="1:11">
      <c r="A365" s="358"/>
      <c r="B365" s="351" t="s">
        <v>329</v>
      </c>
      <c r="C365" s="388" t="s">
        <v>27</v>
      </c>
      <c r="D365" s="353"/>
      <c r="E365" s="345">
        <v>40283</v>
      </c>
      <c r="F365" s="346">
        <f t="shared" ref="F365:F431" si="17">TRUNC(D365*$K$1/1000)</f>
        <v>0</v>
      </c>
      <c r="G365" s="391">
        <v>27.6</v>
      </c>
      <c r="H365" s="392">
        <v>16</v>
      </c>
      <c r="I365" s="391">
        <v>1</v>
      </c>
      <c r="J365" s="391"/>
      <c r="K365" s="393"/>
    </row>
    <row r="366" spans="1:11">
      <c r="A366" s="359"/>
      <c r="B366" s="351" t="s">
        <v>330</v>
      </c>
      <c r="C366" s="364" t="s">
        <v>28</v>
      </c>
      <c r="D366" s="353"/>
      <c r="E366" s="345">
        <v>58780</v>
      </c>
      <c r="F366" s="346">
        <f t="shared" si="17"/>
        <v>0</v>
      </c>
      <c r="G366" s="391">
        <v>32.299999999999997</v>
      </c>
      <c r="H366" s="392">
        <v>16</v>
      </c>
      <c r="I366" s="391">
        <v>1</v>
      </c>
      <c r="J366" s="391"/>
      <c r="K366" s="393"/>
    </row>
    <row r="367" spans="1:11">
      <c r="A367" s="372">
        <v>5210</v>
      </c>
      <c r="B367" s="361" t="s">
        <v>331</v>
      </c>
      <c r="C367" s="364" t="s">
        <v>332</v>
      </c>
      <c r="D367" s="353">
        <v>1443</v>
      </c>
      <c r="E367" s="345">
        <f t="shared" ref="E367:E375" si="18">F367</f>
        <v>1670</v>
      </c>
      <c r="F367" s="346">
        <f t="shared" si="17"/>
        <v>1670</v>
      </c>
      <c r="G367" s="391"/>
      <c r="H367" s="392"/>
      <c r="I367" s="391"/>
      <c r="J367" s="391"/>
      <c r="K367" s="393"/>
    </row>
    <row r="368" spans="1:11">
      <c r="A368" s="342" t="s">
        <v>333</v>
      </c>
      <c r="B368" s="394" t="s">
        <v>334</v>
      </c>
      <c r="C368" s="395" t="s">
        <v>29</v>
      </c>
      <c r="D368" s="379">
        <v>1424</v>
      </c>
      <c r="E368" s="363">
        <f t="shared" si="18"/>
        <v>1648</v>
      </c>
      <c r="F368" s="396">
        <f t="shared" si="17"/>
        <v>1648</v>
      </c>
      <c r="G368" s="391"/>
      <c r="H368" s="392"/>
      <c r="I368" s="391"/>
      <c r="J368" s="391"/>
      <c r="K368" s="393"/>
    </row>
    <row r="369" spans="1:11">
      <c r="A369" s="359"/>
      <c r="B369" s="351" t="s">
        <v>335</v>
      </c>
      <c r="C369" s="364" t="s">
        <v>30</v>
      </c>
      <c r="D369" s="353">
        <v>2016</v>
      </c>
      <c r="E369" s="345">
        <f t="shared" si="18"/>
        <v>2333</v>
      </c>
      <c r="F369" s="346">
        <f t="shared" si="17"/>
        <v>2333</v>
      </c>
      <c r="G369" s="391"/>
      <c r="H369" s="392"/>
      <c r="I369" s="391"/>
      <c r="J369" s="391"/>
      <c r="K369" s="393"/>
    </row>
    <row r="370" spans="1:11">
      <c r="A370" s="365" t="s">
        <v>2358</v>
      </c>
      <c r="B370" s="361" t="s">
        <v>336</v>
      </c>
      <c r="C370" s="388" t="s">
        <v>337</v>
      </c>
      <c r="D370" s="353">
        <v>13686</v>
      </c>
      <c r="E370" s="345">
        <f t="shared" si="18"/>
        <v>15844</v>
      </c>
      <c r="F370" s="346">
        <f t="shared" si="17"/>
        <v>15844</v>
      </c>
      <c r="G370" s="391"/>
      <c r="H370" s="392"/>
      <c r="I370" s="391"/>
      <c r="J370" s="391"/>
      <c r="K370" s="393"/>
    </row>
    <row r="371" spans="1:11">
      <c r="A371" s="372">
        <v>5401</v>
      </c>
      <c r="B371" s="361" t="s">
        <v>338</v>
      </c>
      <c r="C371" s="388" t="s">
        <v>339</v>
      </c>
      <c r="D371" s="353">
        <v>79010</v>
      </c>
      <c r="E371" s="345">
        <f t="shared" si="18"/>
        <v>91469</v>
      </c>
      <c r="F371" s="346">
        <f t="shared" si="17"/>
        <v>91469</v>
      </c>
      <c r="G371" s="391"/>
      <c r="H371" s="392"/>
      <c r="I371" s="391"/>
      <c r="J371" s="391"/>
      <c r="K371" s="393"/>
    </row>
    <row r="372" spans="1:11">
      <c r="A372" s="359" t="s">
        <v>3124</v>
      </c>
      <c r="B372" s="351" t="s">
        <v>340</v>
      </c>
      <c r="C372" s="364" t="s">
        <v>31</v>
      </c>
      <c r="D372" s="353"/>
      <c r="E372" s="345">
        <v>41279</v>
      </c>
      <c r="F372" s="346">
        <f t="shared" si="17"/>
        <v>0</v>
      </c>
      <c r="G372" s="391"/>
      <c r="H372" s="392"/>
      <c r="I372" s="391">
        <v>1</v>
      </c>
      <c r="J372" s="391"/>
      <c r="K372" s="393"/>
    </row>
    <row r="373" spans="1:11">
      <c r="A373" s="365" t="s">
        <v>3125</v>
      </c>
      <c r="B373" s="361" t="s">
        <v>341</v>
      </c>
      <c r="C373" s="388" t="s">
        <v>342</v>
      </c>
      <c r="D373" s="353">
        <v>2431</v>
      </c>
      <c r="E373" s="345">
        <f t="shared" si="18"/>
        <v>2814</v>
      </c>
      <c r="F373" s="346">
        <f t="shared" si="17"/>
        <v>2814</v>
      </c>
      <c r="G373" s="391"/>
      <c r="H373" s="392"/>
      <c r="I373" s="391"/>
      <c r="J373" s="391"/>
      <c r="K373" s="393"/>
    </row>
    <row r="374" spans="1:11">
      <c r="A374" s="360">
        <v>5701</v>
      </c>
      <c r="B374" s="361" t="s">
        <v>343</v>
      </c>
      <c r="C374" s="397" t="s">
        <v>344</v>
      </c>
      <c r="D374" s="353">
        <v>264311</v>
      </c>
      <c r="E374" s="345">
        <f t="shared" si="18"/>
        <v>305992</v>
      </c>
      <c r="F374" s="346">
        <f t="shared" si="17"/>
        <v>305992</v>
      </c>
      <c r="G374" s="391">
        <v>13.9</v>
      </c>
      <c r="H374" s="392">
        <v>16</v>
      </c>
      <c r="I374" s="391">
        <v>1</v>
      </c>
      <c r="J374" s="391"/>
      <c r="K374" s="393"/>
    </row>
    <row r="375" spans="1:11">
      <c r="A375" s="359" t="s">
        <v>345</v>
      </c>
      <c r="B375" s="351" t="s">
        <v>346</v>
      </c>
      <c r="C375" s="397" t="s">
        <v>347</v>
      </c>
      <c r="D375" s="353">
        <v>360000</v>
      </c>
      <c r="E375" s="345">
        <f t="shared" si="18"/>
        <v>416772</v>
      </c>
      <c r="F375" s="346">
        <f t="shared" si="17"/>
        <v>416772</v>
      </c>
      <c r="G375" s="391">
        <v>52.7</v>
      </c>
      <c r="H375" s="392">
        <v>16</v>
      </c>
      <c r="I375" s="391">
        <v>1</v>
      </c>
      <c r="J375" s="391"/>
      <c r="K375" s="393"/>
    </row>
    <row r="376" spans="1:11">
      <c r="A376" s="372">
        <v>5801</v>
      </c>
      <c r="B376" s="361" t="s">
        <v>348</v>
      </c>
      <c r="C376" s="397" t="s">
        <v>349</v>
      </c>
      <c r="D376" s="353"/>
      <c r="E376" s="345" t="s">
        <v>1904</v>
      </c>
      <c r="F376" s="346">
        <f t="shared" si="17"/>
        <v>0</v>
      </c>
      <c r="G376" s="398"/>
      <c r="H376" s="392"/>
      <c r="I376" s="391"/>
      <c r="J376" s="391"/>
      <c r="K376" s="393"/>
    </row>
    <row r="377" spans="1:11">
      <c r="A377" s="342" t="s">
        <v>350</v>
      </c>
      <c r="B377" s="351" t="s">
        <v>351</v>
      </c>
      <c r="C377" s="364">
        <v>3.5</v>
      </c>
      <c r="D377" s="353"/>
      <c r="E377" s="345" t="s">
        <v>1904</v>
      </c>
      <c r="F377" s="346">
        <f t="shared" si="17"/>
        <v>0</v>
      </c>
      <c r="G377" s="398"/>
      <c r="H377" s="392"/>
      <c r="I377" s="391"/>
      <c r="J377" s="391"/>
      <c r="K377" s="393"/>
    </row>
    <row r="378" spans="1:11">
      <c r="A378" s="342" t="s">
        <v>2359</v>
      </c>
      <c r="B378" s="351" t="s">
        <v>352</v>
      </c>
      <c r="C378" s="364">
        <v>4.5</v>
      </c>
      <c r="D378" s="353"/>
      <c r="E378" s="345" t="s">
        <v>1904</v>
      </c>
      <c r="F378" s="346">
        <f t="shared" si="17"/>
        <v>0</v>
      </c>
      <c r="G378" s="398" t="s">
        <v>353</v>
      </c>
      <c r="H378" s="392">
        <v>10</v>
      </c>
      <c r="I378" s="391"/>
      <c r="J378" s="391"/>
      <c r="K378" s="393"/>
    </row>
    <row r="379" spans="1:11">
      <c r="A379" s="359"/>
      <c r="B379" s="351" t="s">
        <v>354</v>
      </c>
      <c r="C379" s="364">
        <v>7</v>
      </c>
      <c r="D379" s="353"/>
      <c r="E379" s="345" t="s">
        <v>1904</v>
      </c>
      <c r="F379" s="346">
        <f t="shared" si="17"/>
        <v>0</v>
      </c>
      <c r="G379" s="398"/>
      <c r="H379" s="392"/>
      <c r="I379" s="391"/>
      <c r="J379" s="391"/>
      <c r="K379" s="393"/>
    </row>
    <row r="380" spans="1:11">
      <c r="A380" s="358">
        <v>5805</v>
      </c>
      <c r="B380" s="361" t="s">
        <v>355</v>
      </c>
      <c r="C380" s="364" t="s">
        <v>356</v>
      </c>
      <c r="D380" s="353"/>
      <c r="E380" s="345">
        <v>444039</v>
      </c>
      <c r="F380" s="346">
        <f t="shared" si="17"/>
        <v>0</v>
      </c>
      <c r="G380" s="398" t="s">
        <v>357</v>
      </c>
      <c r="H380" s="392">
        <v>6</v>
      </c>
      <c r="I380" s="391">
        <v>1</v>
      </c>
      <c r="J380" s="391"/>
      <c r="K380" s="393"/>
    </row>
    <row r="381" spans="1:11">
      <c r="A381" s="358" t="s">
        <v>358</v>
      </c>
      <c r="B381" s="361" t="s">
        <v>359</v>
      </c>
      <c r="C381" s="364" t="s">
        <v>360</v>
      </c>
      <c r="D381" s="353"/>
      <c r="E381" s="345">
        <v>883964</v>
      </c>
      <c r="F381" s="346">
        <f t="shared" si="17"/>
        <v>0</v>
      </c>
      <c r="G381" s="398" t="s">
        <v>361</v>
      </c>
      <c r="H381" s="392">
        <v>10</v>
      </c>
      <c r="I381" s="391">
        <v>1</v>
      </c>
      <c r="J381" s="391"/>
      <c r="K381" s="393"/>
    </row>
    <row r="382" spans="1:11">
      <c r="A382" s="372">
        <v>5901</v>
      </c>
      <c r="B382" s="361" t="s">
        <v>362</v>
      </c>
      <c r="C382" s="395" t="s">
        <v>3715</v>
      </c>
      <c r="D382" s="353"/>
      <c r="E382" s="345">
        <v>713</v>
      </c>
      <c r="F382" s="346">
        <f t="shared" si="17"/>
        <v>0</v>
      </c>
      <c r="G382" s="398"/>
      <c r="H382" s="392"/>
      <c r="I382" s="391"/>
      <c r="J382" s="391"/>
      <c r="K382" s="393"/>
    </row>
    <row r="383" spans="1:11">
      <c r="A383" s="358" t="s">
        <v>363</v>
      </c>
      <c r="B383" s="351" t="s">
        <v>364</v>
      </c>
      <c r="C383" s="395" t="s">
        <v>3716</v>
      </c>
      <c r="D383" s="353"/>
      <c r="E383" s="345">
        <v>1007</v>
      </c>
      <c r="F383" s="346">
        <f t="shared" si="17"/>
        <v>0</v>
      </c>
      <c r="G383" s="398"/>
      <c r="H383" s="392"/>
      <c r="I383" s="391"/>
      <c r="J383" s="391"/>
      <c r="K383" s="393"/>
    </row>
    <row r="384" spans="1:11">
      <c r="A384" s="612" t="s">
        <v>3717</v>
      </c>
      <c r="B384" s="361" t="s">
        <v>3718</v>
      </c>
      <c r="C384" s="386" t="s">
        <v>3719</v>
      </c>
      <c r="D384" s="353"/>
      <c r="E384" s="376">
        <v>1800</v>
      </c>
      <c r="F384" s="605">
        <f>TRUNC(D384*$K$1/1000)</f>
        <v>0</v>
      </c>
      <c r="G384" s="419"/>
      <c r="H384" s="419"/>
      <c r="I384" s="391"/>
      <c r="J384" s="391"/>
      <c r="K384" s="606"/>
    </row>
    <row r="385" spans="1:11">
      <c r="A385" s="372">
        <v>6105</v>
      </c>
      <c r="B385" s="361" t="s">
        <v>365</v>
      </c>
      <c r="C385" s="388" t="s">
        <v>366</v>
      </c>
      <c r="D385" s="353">
        <v>1498</v>
      </c>
      <c r="E385" s="345">
        <f>F385</f>
        <v>1734</v>
      </c>
      <c r="F385" s="346">
        <f t="shared" si="17"/>
        <v>1734</v>
      </c>
      <c r="G385" s="398"/>
      <c r="H385" s="392"/>
      <c r="I385" s="391"/>
      <c r="J385" s="391"/>
      <c r="K385" s="393"/>
    </row>
    <row r="386" spans="1:11">
      <c r="A386" s="359" t="s">
        <v>367</v>
      </c>
      <c r="B386" s="351" t="s">
        <v>368</v>
      </c>
      <c r="C386" s="364" t="s">
        <v>32</v>
      </c>
      <c r="D386" s="353">
        <v>3117</v>
      </c>
      <c r="E386" s="345">
        <f>F386</f>
        <v>3608</v>
      </c>
      <c r="F386" s="346">
        <f t="shared" si="17"/>
        <v>3608</v>
      </c>
      <c r="G386" s="398"/>
      <c r="H386" s="392"/>
      <c r="I386" s="391"/>
      <c r="J386" s="391"/>
      <c r="K386" s="393"/>
    </row>
    <row r="387" spans="1:11">
      <c r="A387" s="365" t="s">
        <v>2360</v>
      </c>
      <c r="B387" s="361" t="s">
        <v>369</v>
      </c>
      <c r="C387" s="388" t="s">
        <v>370</v>
      </c>
      <c r="D387" s="353"/>
      <c r="E387" s="345"/>
      <c r="F387" s="346"/>
      <c r="G387" s="398"/>
      <c r="H387" s="392"/>
      <c r="I387" s="391"/>
      <c r="J387" s="391"/>
      <c r="K387" s="393"/>
    </row>
    <row r="388" spans="1:11">
      <c r="A388" s="365" t="s">
        <v>3126</v>
      </c>
      <c r="B388" s="361" t="s">
        <v>371</v>
      </c>
      <c r="C388" s="364" t="s">
        <v>372</v>
      </c>
      <c r="D388" s="353"/>
      <c r="E388" s="345" t="s">
        <v>1904</v>
      </c>
      <c r="F388" s="346">
        <f t="shared" si="17"/>
        <v>0</v>
      </c>
      <c r="G388" s="398"/>
      <c r="H388" s="392"/>
      <c r="I388" s="391"/>
      <c r="J388" s="391"/>
      <c r="K388" s="393"/>
    </row>
    <row r="389" spans="1:11">
      <c r="A389" s="360" t="s">
        <v>2361</v>
      </c>
      <c r="B389" s="361" t="s">
        <v>373</v>
      </c>
      <c r="C389" s="364" t="s">
        <v>33</v>
      </c>
      <c r="D389" s="353">
        <v>3386</v>
      </c>
      <c r="E389" s="345">
        <f t="shared" ref="E389:E403" si="19">F389</f>
        <v>3919</v>
      </c>
      <c r="F389" s="346">
        <f t="shared" si="17"/>
        <v>3919</v>
      </c>
      <c r="G389" s="398"/>
      <c r="H389" s="392"/>
      <c r="I389" s="391"/>
      <c r="J389" s="391"/>
      <c r="K389" s="393"/>
    </row>
    <row r="390" spans="1:11">
      <c r="A390" s="358"/>
      <c r="B390" s="351" t="s">
        <v>374</v>
      </c>
      <c r="C390" s="364" t="s">
        <v>34</v>
      </c>
      <c r="D390" s="353">
        <v>4930</v>
      </c>
      <c r="E390" s="345">
        <f t="shared" si="19"/>
        <v>5707</v>
      </c>
      <c r="F390" s="346">
        <f t="shared" si="17"/>
        <v>5707</v>
      </c>
      <c r="G390" s="398"/>
      <c r="H390" s="392"/>
      <c r="I390" s="391"/>
      <c r="J390" s="391"/>
      <c r="K390" s="393"/>
    </row>
    <row r="391" spans="1:11">
      <c r="A391" s="359"/>
      <c r="B391" s="351" t="s">
        <v>375</v>
      </c>
      <c r="C391" s="388" t="s">
        <v>35</v>
      </c>
      <c r="D391" s="353">
        <v>7119</v>
      </c>
      <c r="E391" s="345">
        <f t="shared" si="19"/>
        <v>8241</v>
      </c>
      <c r="F391" s="346">
        <f t="shared" si="17"/>
        <v>8241</v>
      </c>
      <c r="G391" s="398"/>
      <c r="H391" s="392"/>
      <c r="I391" s="391"/>
      <c r="J391" s="391"/>
      <c r="K391" s="393"/>
    </row>
    <row r="392" spans="1:11">
      <c r="A392" s="365" t="s">
        <v>2362</v>
      </c>
      <c r="B392" s="361" t="s">
        <v>376</v>
      </c>
      <c r="C392" s="364" t="s">
        <v>377</v>
      </c>
      <c r="D392" s="353"/>
      <c r="E392" s="345" t="s">
        <v>1904</v>
      </c>
      <c r="F392" s="346">
        <f t="shared" si="17"/>
        <v>0</v>
      </c>
      <c r="G392" s="398">
        <v>7.5</v>
      </c>
      <c r="H392" s="392">
        <v>18</v>
      </c>
      <c r="I392" s="391">
        <v>1</v>
      </c>
      <c r="J392" s="391"/>
      <c r="K392" s="393"/>
    </row>
    <row r="393" spans="1:11">
      <c r="A393" s="372">
        <v>6330</v>
      </c>
      <c r="B393" s="361" t="s">
        <v>378</v>
      </c>
      <c r="C393" s="364" t="s">
        <v>130</v>
      </c>
      <c r="D393" s="353">
        <v>23047</v>
      </c>
      <c r="E393" s="345">
        <f t="shared" si="19"/>
        <v>26681</v>
      </c>
      <c r="F393" s="346">
        <f t="shared" si="17"/>
        <v>26681</v>
      </c>
      <c r="G393" s="398">
        <v>7.3</v>
      </c>
      <c r="H393" s="392">
        <v>36</v>
      </c>
      <c r="I393" s="391">
        <v>1</v>
      </c>
      <c r="J393" s="391"/>
      <c r="K393" s="393"/>
    </row>
    <row r="394" spans="1:11">
      <c r="A394" s="358" t="s">
        <v>379</v>
      </c>
      <c r="B394" s="351" t="s">
        <v>2454</v>
      </c>
      <c r="C394" s="364">
        <v>2.2000000000000002</v>
      </c>
      <c r="D394" s="353">
        <v>34790</v>
      </c>
      <c r="E394" s="345">
        <f t="shared" si="19"/>
        <v>40276</v>
      </c>
      <c r="F394" s="346">
        <f t="shared" si="17"/>
        <v>40276</v>
      </c>
      <c r="G394" s="398">
        <v>11.8</v>
      </c>
      <c r="H394" s="392">
        <v>36</v>
      </c>
      <c r="I394" s="391">
        <v>1</v>
      </c>
      <c r="J394" s="391"/>
      <c r="K394" s="393"/>
    </row>
    <row r="395" spans="1:11">
      <c r="A395" s="358"/>
      <c r="B395" s="351" t="s">
        <v>2455</v>
      </c>
      <c r="C395" s="364">
        <v>3.2</v>
      </c>
      <c r="D395" s="353">
        <v>52182</v>
      </c>
      <c r="E395" s="345">
        <f t="shared" si="19"/>
        <v>60411</v>
      </c>
      <c r="F395" s="346">
        <f t="shared" si="17"/>
        <v>60411</v>
      </c>
      <c r="G395" s="398">
        <v>15.5</v>
      </c>
      <c r="H395" s="392">
        <v>36</v>
      </c>
      <c r="I395" s="391">
        <v>1</v>
      </c>
      <c r="J395" s="391"/>
      <c r="K395" s="393"/>
    </row>
    <row r="396" spans="1:11">
      <c r="A396" s="359"/>
      <c r="B396" s="351" t="s">
        <v>2456</v>
      </c>
      <c r="C396" s="364">
        <v>4</v>
      </c>
      <c r="D396" s="353">
        <v>67153</v>
      </c>
      <c r="E396" s="345">
        <f t="shared" si="19"/>
        <v>77743</v>
      </c>
      <c r="F396" s="346">
        <f t="shared" si="17"/>
        <v>77743</v>
      </c>
      <c r="G396" s="398">
        <v>20</v>
      </c>
      <c r="H396" s="392">
        <v>36</v>
      </c>
      <c r="I396" s="391">
        <v>1</v>
      </c>
      <c r="J396" s="391"/>
      <c r="K396" s="393"/>
    </row>
    <row r="397" spans="1:11">
      <c r="A397" s="372" t="s">
        <v>2363</v>
      </c>
      <c r="B397" s="361" t="s">
        <v>2457</v>
      </c>
      <c r="C397" s="388" t="s">
        <v>36</v>
      </c>
      <c r="D397" s="353">
        <v>5063</v>
      </c>
      <c r="E397" s="345">
        <f t="shared" si="19"/>
        <v>5861</v>
      </c>
      <c r="F397" s="346">
        <f t="shared" si="17"/>
        <v>5861</v>
      </c>
      <c r="G397" s="398"/>
      <c r="H397" s="392"/>
      <c r="I397" s="391"/>
      <c r="J397" s="391"/>
      <c r="K397" s="393"/>
    </row>
    <row r="398" spans="1:11">
      <c r="A398" s="342"/>
      <c r="B398" s="351" t="s">
        <v>1185</v>
      </c>
      <c r="C398" s="388" t="s">
        <v>37</v>
      </c>
      <c r="D398" s="353">
        <v>5690</v>
      </c>
      <c r="E398" s="345">
        <f t="shared" si="19"/>
        <v>6587</v>
      </c>
      <c r="F398" s="346">
        <f t="shared" si="17"/>
        <v>6587</v>
      </c>
      <c r="G398" s="398"/>
      <c r="H398" s="392"/>
      <c r="I398" s="391"/>
      <c r="J398" s="391"/>
      <c r="K398" s="393"/>
    </row>
    <row r="399" spans="1:11">
      <c r="A399" s="358"/>
      <c r="B399" s="351" t="s">
        <v>1186</v>
      </c>
      <c r="C399" s="388" t="s">
        <v>38</v>
      </c>
      <c r="D399" s="353">
        <v>6063</v>
      </c>
      <c r="E399" s="345">
        <f t="shared" si="19"/>
        <v>7019</v>
      </c>
      <c r="F399" s="346">
        <f t="shared" si="17"/>
        <v>7019</v>
      </c>
      <c r="G399" s="398"/>
      <c r="H399" s="392"/>
      <c r="I399" s="391"/>
      <c r="J399" s="391"/>
      <c r="K399" s="393"/>
    </row>
    <row r="400" spans="1:11">
      <c r="A400" s="358"/>
      <c r="B400" s="351" t="s">
        <v>1187</v>
      </c>
      <c r="C400" s="388" t="s">
        <v>39</v>
      </c>
      <c r="D400" s="353">
        <v>10086</v>
      </c>
      <c r="E400" s="345">
        <f t="shared" si="19"/>
        <v>11676</v>
      </c>
      <c r="F400" s="346">
        <f t="shared" si="17"/>
        <v>11676</v>
      </c>
      <c r="G400" s="398"/>
      <c r="H400" s="392"/>
      <c r="I400" s="391"/>
      <c r="J400" s="391"/>
      <c r="K400" s="393"/>
    </row>
    <row r="401" spans="1:11">
      <c r="A401" s="342"/>
      <c r="B401" s="351" t="s">
        <v>1188</v>
      </c>
      <c r="C401" s="364" t="s">
        <v>40</v>
      </c>
      <c r="D401" s="353">
        <v>12406</v>
      </c>
      <c r="E401" s="345">
        <f t="shared" si="19"/>
        <v>14362</v>
      </c>
      <c r="F401" s="346">
        <f t="shared" si="17"/>
        <v>14362</v>
      </c>
      <c r="G401" s="398"/>
      <c r="H401" s="392"/>
      <c r="I401" s="391"/>
      <c r="J401" s="391"/>
      <c r="K401" s="393"/>
    </row>
    <row r="402" spans="1:11">
      <c r="A402" s="358"/>
      <c r="B402" s="351" t="s">
        <v>1189</v>
      </c>
      <c r="C402" s="364" t="s">
        <v>41</v>
      </c>
      <c r="D402" s="353">
        <v>15512</v>
      </c>
      <c r="E402" s="345">
        <f t="shared" si="19"/>
        <v>17958</v>
      </c>
      <c r="F402" s="346">
        <f t="shared" si="17"/>
        <v>17958</v>
      </c>
      <c r="G402" s="398"/>
      <c r="H402" s="392"/>
      <c r="I402" s="391"/>
      <c r="J402" s="391"/>
      <c r="K402" s="393"/>
    </row>
    <row r="403" spans="1:11">
      <c r="A403" s="359"/>
      <c r="B403" s="351" t="s">
        <v>2081</v>
      </c>
      <c r="C403" s="364" t="s">
        <v>42</v>
      </c>
      <c r="D403" s="353">
        <v>17451</v>
      </c>
      <c r="E403" s="345">
        <f t="shared" si="19"/>
        <v>20203</v>
      </c>
      <c r="F403" s="346">
        <f t="shared" si="17"/>
        <v>20203</v>
      </c>
      <c r="G403" s="398"/>
      <c r="H403" s="392"/>
      <c r="I403" s="391"/>
      <c r="J403" s="391"/>
      <c r="K403" s="393"/>
    </row>
    <row r="404" spans="1:11">
      <c r="A404" s="372">
        <v>6409</v>
      </c>
      <c r="B404" s="361" t="s">
        <v>2082</v>
      </c>
      <c r="C404" s="364" t="s">
        <v>2083</v>
      </c>
      <c r="D404" s="353"/>
      <c r="E404" s="345"/>
      <c r="F404" s="346"/>
      <c r="G404" s="398"/>
      <c r="H404" s="392"/>
      <c r="I404" s="391"/>
      <c r="J404" s="391"/>
      <c r="K404" s="393"/>
    </row>
    <row r="405" spans="1:11">
      <c r="A405" s="367" t="s">
        <v>2084</v>
      </c>
      <c r="B405" s="351" t="s">
        <v>2085</v>
      </c>
      <c r="C405" s="388" t="s">
        <v>2086</v>
      </c>
      <c r="D405" s="353"/>
      <c r="E405" s="345"/>
      <c r="F405" s="346"/>
      <c r="G405" s="398"/>
      <c r="H405" s="392"/>
      <c r="I405" s="391"/>
      <c r="J405" s="391"/>
      <c r="K405" s="393"/>
    </row>
    <row r="406" spans="1:11">
      <c r="A406" s="360">
        <v>6410</v>
      </c>
      <c r="B406" s="361" t="s">
        <v>2087</v>
      </c>
      <c r="C406" s="364" t="s">
        <v>2088</v>
      </c>
      <c r="D406" s="353"/>
      <c r="E406" s="345">
        <v>45000</v>
      </c>
      <c r="F406" s="346">
        <f t="shared" si="17"/>
        <v>0</v>
      </c>
      <c r="G406" s="398"/>
      <c r="H406" s="392"/>
      <c r="I406" s="391"/>
      <c r="J406" s="391"/>
      <c r="K406" s="393"/>
    </row>
    <row r="407" spans="1:11">
      <c r="A407" s="358" t="s">
        <v>2089</v>
      </c>
      <c r="B407" s="351" t="s">
        <v>2090</v>
      </c>
      <c r="C407" s="383">
        <v>100</v>
      </c>
      <c r="D407" s="353"/>
      <c r="E407" s="345">
        <v>57500</v>
      </c>
      <c r="F407" s="346">
        <f t="shared" si="17"/>
        <v>0</v>
      </c>
      <c r="G407" s="398"/>
      <c r="H407" s="392"/>
      <c r="I407" s="391"/>
      <c r="J407" s="391"/>
      <c r="K407" s="393"/>
    </row>
    <row r="408" spans="1:11">
      <c r="A408" s="342"/>
      <c r="B408" s="351" t="s">
        <v>2091</v>
      </c>
      <c r="C408" s="383">
        <v>120</v>
      </c>
      <c r="D408" s="353"/>
      <c r="E408" s="345">
        <v>70000</v>
      </c>
      <c r="F408" s="346">
        <f t="shared" si="17"/>
        <v>0</v>
      </c>
      <c r="G408" s="398"/>
      <c r="H408" s="392"/>
      <c r="I408" s="391"/>
      <c r="J408" s="391"/>
      <c r="K408" s="393"/>
    </row>
    <row r="409" spans="1:11">
      <c r="A409" s="342"/>
      <c r="B409" s="351" t="s">
        <v>2092</v>
      </c>
      <c r="C409" s="383">
        <v>150</v>
      </c>
      <c r="D409" s="353"/>
      <c r="E409" s="345">
        <v>139667</v>
      </c>
      <c r="F409" s="346">
        <f t="shared" si="17"/>
        <v>0</v>
      </c>
      <c r="G409" s="398"/>
      <c r="H409" s="392"/>
      <c r="I409" s="391"/>
      <c r="J409" s="391"/>
      <c r="K409" s="393"/>
    </row>
    <row r="410" spans="1:11">
      <c r="A410" s="367"/>
      <c r="B410" s="351" t="s">
        <v>2093</v>
      </c>
      <c r="C410" s="383">
        <v>200</v>
      </c>
      <c r="D410" s="353"/>
      <c r="E410" s="345">
        <v>155000</v>
      </c>
      <c r="F410" s="346">
        <f t="shared" si="17"/>
        <v>0</v>
      </c>
      <c r="G410" s="398"/>
      <c r="H410" s="392"/>
      <c r="I410" s="391"/>
      <c r="J410" s="391"/>
      <c r="K410" s="393"/>
    </row>
    <row r="411" spans="1:11">
      <c r="A411" s="365" t="s">
        <v>3810</v>
      </c>
      <c r="B411" s="361" t="s">
        <v>2094</v>
      </c>
      <c r="C411" s="364" t="s">
        <v>2095</v>
      </c>
      <c r="D411" s="353"/>
      <c r="E411" s="345">
        <v>315000</v>
      </c>
      <c r="F411" s="346">
        <f t="shared" si="17"/>
        <v>0</v>
      </c>
      <c r="G411" s="398"/>
      <c r="H411" s="392"/>
      <c r="I411" s="391"/>
      <c r="J411" s="391"/>
      <c r="K411" s="393"/>
    </row>
    <row r="412" spans="1:11">
      <c r="A412" s="365" t="s">
        <v>2364</v>
      </c>
      <c r="B412" s="361" t="s">
        <v>2096</v>
      </c>
      <c r="C412" s="364" t="s">
        <v>2097</v>
      </c>
      <c r="D412" s="353"/>
      <c r="E412" s="345">
        <v>82940</v>
      </c>
      <c r="F412" s="346">
        <f t="shared" si="17"/>
        <v>0</v>
      </c>
      <c r="G412" s="398"/>
      <c r="H412" s="392"/>
      <c r="I412" s="391"/>
      <c r="J412" s="391"/>
      <c r="K412" s="393"/>
    </row>
    <row r="413" spans="1:11">
      <c r="A413" s="372">
        <v>6516</v>
      </c>
      <c r="B413" s="361" t="s">
        <v>3720</v>
      </c>
      <c r="C413" s="386" t="s">
        <v>1362</v>
      </c>
      <c r="D413" s="353"/>
      <c r="E413" s="376">
        <v>5630</v>
      </c>
      <c r="F413" s="605">
        <f>TRUNC(D413*$K$1/1000)</f>
        <v>0</v>
      </c>
      <c r="G413" s="419"/>
      <c r="H413" s="419"/>
      <c r="I413" s="391"/>
      <c r="J413" s="391"/>
      <c r="K413" s="606"/>
    </row>
    <row r="414" spans="1:11">
      <c r="A414" s="611" t="s">
        <v>3726</v>
      </c>
      <c r="B414" s="361" t="s">
        <v>3721</v>
      </c>
      <c r="C414" s="386" t="s">
        <v>3722</v>
      </c>
      <c r="D414" s="353"/>
      <c r="E414" s="376">
        <v>6830</v>
      </c>
      <c r="F414" s="605">
        <f>TRUNC(D414*$K$1/1000)</f>
        <v>0</v>
      </c>
      <c r="G414" s="419"/>
      <c r="H414" s="419"/>
      <c r="I414" s="391"/>
      <c r="J414" s="391"/>
      <c r="K414" s="606"/>
    </row>
    <row r="415" spans="1:11">
      <c r="A415" s="365" t="s">
        <v>3127</v>
      </c>
      <c r="B415" s="361" t="s">
        <v>2098</v>
      </c>
      <c r="C415" s="364" t="s">
        <v>2095</v>
      </c>
      <c r="D415" s="353"/>
      <c r="E415" s="345">
        <v>592500</v>
      </c>
      <c r="F415" s="346">
        <f t="shared" si="17"/>
        <v>0</v>
      </c>
      <c r="G415" s="398"/>
      <c r="H415" s="392"/>
      <c r="I415" s="391"/>
      <c r="J415" s="391"/>
      <c r="K415" s="393"/>
    </row>
    <row r="416" spans="1:11">
      <c r="A416" s="389" t="s">
        <v>2365</v>
      </c>
      <c r="B416" s="361" t="s">
        <v>2099</v>
      </c>
      <c r="C416" s="364" t="s">
        <v>2100</v>
      </c>
      <c r="D416" s="353"/>
      <c r="E416" s="345"/>
      <c r="F416" s="346">
        <f t="shared" si="17"/>
        <v>0</v>
      </c>
      <c r="G416" s="398"/>
      <c r="H416" s="392"/>
      <c r="I416" s="391"/>
      <c r="J416" s="391"/>
      <c r="K416" s="393"/>
    </row>
    <row r="417" spans="1:11">
      <c r="A417" s="372">
        <v>6530</v>
      </c>
      <c r="B417" s="361" t="s">
        <v>2101</v>
      </c>
      <c r="C417" s="364" t="s">
        <v>2102</v>
      </c>
      <c r="D417" s="353">
        <v>57960</v>
      </c>
      <c r="E417" s="345">
        <f t="shared" ref="E417:E428" si="20">F417</f>
        <v>67100</v>
      </c>
      <c r="F417" s="346">
        <f t="shared" si="17"/>
        <v>67100</v>
      </c>
      <c r="G417" s="398"/>
      <c r="H417" s="392"/>
      <c r="I417" s="391"/>
      <c r="J417" s="391"/>
      <c r="K417" s="393"/>
    </row>
    <row r="418" spans="1:11">
      <c r="A418" s="358" t="s">
        <v>2103</v>
      </c>
      <c r="B418" s="351" t="s">
        <v>2104</v>
      </c>
      <c r="C418" s="375">
        <v>40</v>
      </c>
      <c r="D418" s="353">
        <v>72324</v>
      </c>
      <c r="E418" s="345">
        <f t="shared" si="20"/>
        <v>83729</v>
      </c>
      <c r="F418" s="346">
        <f t="shared" si="17"/>
        <v>83729</v>
      </c>
      <c r="G418" s="398"/>
      <c r="H418" s="392"/>
      <c r="I418" s="391"/>
      <c r="J418" s="391"/>
      <c r="K418" s="393"/>
    </row>
    <row r="419" spans="1:11">
      <c r="A419" s="358"/>
      <c r="B419" s="351" t="s">
        <v>2105</v>
      </c>
      <c r="C419" s="375">
        <v>45</v>
      </c>
      <c r="D419" s="353">
        <v>80615</v>
      </c>
      <c r="E419" s="345">
        <f t="shared" si="20"/>
        <v>93327</v>
      </c>
      <c r="F419" s="346">
        <f t="shared" si="17"/>
        <v>93327</v>
      </c>
      <c r="G419" s="398"/>
      <c r="H419" s="392"/>
      <c r="I419" s="391"/>
      <c r="J419" s="391"/>
      <c r="K419" s="393"/>
    </row>
    <row r="420" spans="1:11">
      <c r="A420" s="358"/>
      <c r="B420" s="351" t="s">
        <v>2106</v>
      </c>
      <c r="C420" s="375">
        <v>60</v>
      </c>
      <c r="D420" s="353">
        <v>103509</v>
      </c>
      <c r="E420" s="345">
        <f t="shared" si="20"/>
        <v>119832</v>
      </c>
      <c r="F420" s="346">
        <f t="shared" si="17"/>
        <v>119832</v>
      </c>
      <c r="G420" s="398"/>
      <c r="H420" s="392"/>
      <c r="I420" s="391"/>
      <c r="J420" s="391"/>
      <c r="K420" s="393"/>
    </row>
    <row r="421" spans="1:11">
      <c r="A421" s="358"/>
      <c r="B421" s="351" t="s">
        <v>2107</v>
      </c>
      <c r="C421" s="375">
        <v>90</v>
      </c>
      <c r="D421" s="353">
        <v>164228</v>
      </c>
      <c r="E421" s="345">
        <f t="shared" si="20"/>
        <v>190126</v>
      </c>
      <c r="F421" s="346">
        <f t="shared" si="17"/>
        <v>190126</v>
      </c>
      <c r="G421" s="398"/>
      <c r="H421" s="392"/>
      <c r="I421" s="391"/>
      <c r="J421" s="391"/>
      <c r="K421" s="393"/>
    </row>
    <row r="422" spans="1:11">
      <c r="A422" s="359"/>
      <c r="B422" s="351" t="s">
        <v>2108</v>
      </c>
      <c r="C422" s="375">
        <v>120</v>
      </c>
      <c r="D422" s="353">
        <v>212940</v>
      </c>
      <c r="E422" s="345">
        <f t="shared" si="20"/>
        <v>246520</v>
      </c>
      <c r="F422" s="346">
        <f t="shared" si="17"/>
        <v>246520</v>
      </c>
      <c r="G422" s="398"/>
      <c r="H422" s="392"/>
      <c r="I422" s="391"/>
      <c r="J422" s="391"/>
      <c r="K422" s="393"/>
    </row>
    <row r="423" spans="1:11">
      <c r="A423" s="389" t="s">
        <v>3128</v>
      </c>
      <c r="B423" s="361" t="s">
        <v>2109</v>
      </c>
      <c r="C423" s="364" t="s">
        <v>934</v>
      </c>
      <c r="D423" s="353"/>
      <c r="E423" s="345" t="s">
        <v>1904</v>
      </c>
      <c r="F423" s="346">
        <f t="shared" si="17"/>
        <v>0</v>
      </c>
      <c r="G423" s="398"/>
      <c r="H423" s="392"/>
      <c r="I423" s="391"/>
      <c r="J423" s="391"/>
      <c r="K423" s="393"/>
    </row>
    <row r="424" spans="1:11">
      <c r="A424" s="389" t="s">
        <v>2366</v>
      </c>
      <c r="B424" s="361" t="s">
        <v>935</v>
      </c>
      <c r="C424" s="364" t="s">
        <v>936</v>
      </c>
      <c r="D424" s="353">
        <v>151200</v>
      </c>
      <c r="E424" s="345">
        <f t="shared" si="20"/>
        <v>175044</v>
      </c>
      <c r="F424" s="346">
        <f t="shared" si="17"/>
        <v>175044</v>
      </c>
      <c r="G424" s="398">
        <v>25</v>
      </c>
      <c r="H424" s="392">
        <v>18</v>
      </c>
      <c r="I424" s="391"/>
      <c r="J424" s="391"/>
      <c r="K424" s="393"/>
    </row>
    <row r="425" spans="1:11">
      <c r="A425" s="372">
        <v>6550</v>
      </c>
      <c r="B425" s="361" t="s">
        <v>937</v>
      </c>
      <c r="C425" s="364" t="s">
        <v>938</v>
      </c>
      <c r="D425" s="353"/>
      <c r="E425" s="345" t="s">
        <v>1904</v>
      </c>
      <c r="F425" s="346">
        <f t="shared" si="17"/>
        <v>0</v>
      </c>
      <c r="G425" s="398"/>
      <c r="H425" s="392"/>
      <c r="I425" s="391"/>
      <c r="J425" s="391"/>
      <c r="K425" s="393"/>
    </row>
    <row r="426" spans="1:11">
      <c r="A426" s="359" t="s">
        <v>939</v>
      </c>
      <c r="B426" s="351" t="s">
        <v>940</v>
      </c>
      <c r="C426" s="364" t="s">
        <v>2453</v>
      </c>
      <c r="D426" s="353">
        <v>750733</v>
      </c>
      <c r="E426" s="345">
        <f t="shared" si="20"/>
        <v>869123</v>
      </c>
      <c r="F426" s="346">
        <f t="shared" si="17"/>
        <v>869123</v>
      </c>
      <c r="G426" s="398"/>
      <c r="H426" s="392"/>
      <c r="I426" s="391"/>
      <c r="J426" s="391"/>
      <c r="K426" s="393"/>
    </row>
    <row r="427" spans="1:11">
      <c r="A427" s="389" t="s">
        <v>3129</v>
      </c>
      <c r="B427" s="361" t="s">
        <v>941</v>
      </c>
      <c r="C427" s="364" t="s">
        <v>942</v>
      </c>
      <c r="D427" s="353">
        <v>2042318</v>
      </c>
      <c r="E427" s="345">
        <f t="shared" si="20"/>
        <v>2364391</v>
      </c>
      <c r="F427" s="346">
        <f t="shared" si="17"/>
        <v>2364391</v>
      </c>
      <c r="G427" s="398"/>
      <c r="H427" s="392"/>
      <c r="I427" s="391"/>
      <c r="J427" s="391"/>
      <c r="K427" s="393"/>
    </row>
    <row r="428" spans="1:11">
      <c r="A428" s="365" t="s">
        <v>3130</v>
      </c>
      <c r="B428" s="400" t="s">
        <v>943</v>
      </c>
      <c r="C428" s="388" t="s">
        <v>944</v>
      </c>
      <c r="D428" s="401">
        <v>1493250</v>
      </c>
      <c r="E428" s="345">
        <f t="shared" si="20"/>
        <v>1728735</v>
      </c>
      <c r="F428" s="346">
        <f t="shared" si="17"/>
        <v>1728735</v>
      </c>
      <c r="G428" s="402">
        <v>59.2</v>
      </c>
      <c r="H428" s="403">
        <v>18</v>
      </c>
      <c r="I428" s="402">
        <v>1</v>
      </c>
      <c r="J428" s="402"/>
      <c r="K428" s="404"/>
    </row>
    <row r="429" spans="1:11">
      <c r="A429" s="360" t="s">
        <v>945</v>
      </c>
      <c r="B429" s="400" t="s">
        <v>946</v>
      </c>
      <c r="C429" s="388" t="s">
        <v>1515</v>
      </c>
      <c r="D429" s="401"/>
      <c r="E429" s="345">
        <v>94500</v>
      </c>
      <c r="F429" s="346">
        <f t="shared" si="17"/>
        <v>0</v>
      </c>
      <c r="G429" s="402">
        <v>15.4</v>
      </c>
      <c r="H429" s="392">
        <v>18</v>
      </c>
      <c r="I429" s="405"/>
      <c r="J429" s="405"/>
      <c r="K429" s="406"/>
    </row>
    <row r="430" spans="1:11">
      <c r="A430" s="342" t="s">
        <v>947</v>
      </c>
      <c r="B430" s="407" t="s">
        <v>948</v>
      </c>
      <c r="C430" s="408">
        <v>5</v>
      </c>
      <c r="D430" s="409"/>
      <c r="E430" s="345">
        <v>129276</v>
      </c>
      <c r="F430" s="346">
        <f t="shared" si="17"/>
        <v>0</v>
      </c>
      <c r="G430" s="402">
        <v>19.3</v>
      </c>
      <c r="H430" s="392">
        <v>18</v>
      </c>
      <c r="I430" s="410"/>
      <c r="J430" s="410"/>
      <c r="K430" s="411"/>
    </row>
    <row r="431" spans="1:11">
      <c r="A431" s="342"/>
      <c r="B431" s="407" t="s">
        <v>949</v>
      </c>
      <c r="C431" s="408">
        <v>7</v>
      </c>
      <c r="D431" s="409"/>
      <c r="E431" s="345">
        <v>142884</v>
      </c>
      <c r="F431" s="346">
        <f t="shared" si="17"/>
        <v>0</v>
      </c>
      <c r="G431" s="402">
        <v>24</v>
      </c>
      <c r="H431" s="392">
        <v>18</v>
      </c>
      <c r="I431" s="410"/>
      <c r="J431" s="410"/>
      <c r="K431" s="411"/>
    </row>
    <row r="432" spans="1:11">
      <c r="A432" s="342"/>
      <c r="B432" s="407" t="s">
        <v>950</v>
      </c>
      <c r="C432" s="408">
        <v>10</v>
      </c>
      <c r="D432" s="409"/>
      <c r="E432" s="345">
        <v>197316</v>
      </c>
      <c r="F432" s="346">
        <f t="shared" ref="F432:F498" si="21">TRUNC(D432*$K$1/1000)</f>
        <v>0</v>
      </c>
      <c r="G432" s="402">
        <v>31.8</v>
      </c>
      <c r="H432" s="392">
        <v>18</v>
      </c>
      <c r="I432" s="410"/>
      <c r="J432" s="410"/>
      <c r="K432" s="411"/>
    </row>
    <row r="433" spans="1:11">
      <c r="A433" s="367"/>
      <c r="B433" s="407" t="s">
        <v>951</v>
      </c>
      <c r="C433" s="408">
        <v>13</v>
      </c>
      <c r="D433" s="409"/>
      <c r="E433" s="345">
        <v>238140</v>
      </c>
      <c r="F433" s="346">
        <f t="shared" si="21"/>
        <v>0</v>
      </c>
      <c r="G433" s="402">
        <v>42.3</v>
      </c>
      <c r="H433" s="392">
        <v>18</v>
      </c>
      <c r="I433" s="410"/>
      <c r="J433" s="410"/>
      <c r="K433" s="411"/>
    </row>
    <row r="434" spans="1:11">
      <c r="A434" s="389" t="s">
        <v>3131</v>
      </c>
      <c r="B434" s="361" t="s">
        <v>952</v>
      </c>
      <c r="C434" s="364" t="s">
        <v>953</v>
      </c>
      <c r="D434" s="353">
        <v>367000</v>
      </c>
      <c r="E434" s="345">
        <f>F434</f>
        <v>424875</v>
      </c>
      <c r="F434" s="346">
        <f t="shared" si="21"/>
        <v>424875</v>
      </c>
      <c r="G434" s="398">
        <v>39.5</v>
      </c>
      <c r="H434" s="392">
        <v>50</v>
      </c>
      <c r="I434" s="391">
        <v>1</v>
      </c>
      <c r="J434" s="391"/>
      <c r="K434" s="393"/>
    </row>
    <row r="435" spans="1:11">
      <c r="A435" s="389" t="s">
        <v>2367</v>
      </c>
      <c r="B435" s="361" t="s">
        <v>2268</v>
      </c>
      <c r="C435" s="364" t="s">
        <v>2269</v>
      </c>
      <c r="D435" s="353"/>
      <c r="E435" s="345">
        <v>775</v>
      </c>
      <c r="F435" s="346">
        <f t="shared" si="21"/>
        <v>0</v>
      </c>
      <c r="G435" s="398"/>
      <c r="H435" s="392"/>
      <c r="I435" s="391"/>
      <c r="J435" s="391"/>
      <c r="K435" s="393"/>
    </row>
    <row r="436" spans="1:11">
      <c r="A436" s="389" t="s">
        <v>2368</v>
      </c>
      <c r="B436" s="361" t="s">
        <v>2270</v>
      </c>
      <c r="C436" s="364" t="s">
        <v>2269</v>
      </c>
      <c r="D436" s="353"/>
      <c r="E436" s="345">
        <v>1483</v>
      </c>
      <c r="F436" s="346">
        <f t="shared" si="21"/>
        <v>0</v>
      </c>
      <c r="G436" s="398"/>
      <c r="H436" s="392"/>
      <c r="I436" s="391"/>
      <c r="J436" s="391"/>
      <c r="K436" s="393"/>
    </row>
    <row r="437" spans="1:11">
      <c r="A437" s="389" t="s">
        <v>3132</v>
      </c>
      <c r="B437" s="361" t="s">
        <v>2271</v>
      </c>
      <c r="C437" s="364" t="s">
        <v>2272</v>
      </c>
      <c r="D437" s="353">
        <v>45593</v>
      </c>
      <c r="E437" s="345">
        <f>F437</f>
        <v>52783</v>
      </c>
      <c r="F437" s="346">
        <f t="shared" si="21"/>
        <v>52783</v>
      </c>
      <c r="G437" s="398">
        <v>3.2</v>
      </c>
      <c r="H437" s="392">
        <v>24</v>
      </c>
      <c r="I437" s="391">
        <v>1</v>
      </c>
      <c r="J437" s="391"/>
      <c r="K437" s="393"/>
    </row>
    <row r="438" spans="1:11">
      <c r="A438" s="1000" t="s">
        <v>3555</v>
      </c>
      <c r="B438" s="361" t="s">
        <v>3556</v>
      </c>
      <c r="C438" s="388" t="s">
        <v>43</v>
      </c>
      <c r="D438" s="353"/>
      <c r="E438" s="345">
        <v>13375</v>
      </c>
      <c r="F438" s="346">
        <v>0</v>
      </c>
      <c r="G438" s="398" t="s">
        <v>117</v>
      </c>
      <c r="H438" s="392"/>
      <c r="I438" s="391"/>
      <c r="J438" s="391"/>
      <c r="K438" s="393"/>
    </row>
    <row r="439" spans="1:11">
      <c r="A439" s="1001"/>
      <c r="B439" s="361" t="s">
        <v>3557</v>
      </c>
      <c r="C439" s="388" t="s">
        <v>3558</v>
      </c>
      <c r="D439" s="353"/>
      <c r="E439" s="345">
        <v>15825</v>
      </c>
      <c r="F439" s="346">
        <v>0</v>
      </c>
      <c r="G439" s="398" t="s">
        <v>117</v>
      </c>
      <c r="H439" s="392"/>
      <c r="I439" s="391"/>
      <c r="J439" s="391"/>
      <c r="K439" s="393"/>
    </row>
    <row r="440" spans="1:11">
      <c r="A440" s="360" t="s">
        <v>2369</v>
      </c>
      <c r="B440" s="361" t="s">
        <v>118</v>
      </c>
      <c r="C440" s="364" t="s">
        <v>119</v>
      </c>
      <c r="D440" s="353"/>
      <c r="E440" s="345">
        <v>38257</v>
      </c>
      <c r="F440" s="346">
        <f t="shared" si="21"/>
        <v>0</v>
      </c>
      <c r="G440" s="398">
        <v>9.3000000000000007</v>
      </c>
      <c r="H440" s="392">
        <v>30</v>
      </c>
      <c r="I440" s="391">
        <v>1</v>
      </c>
      <c r="J440" s="391"/>
      <c r="K440" s="393"/>
    </row>
    <row r="441" spans="1:11">
      <c r="A441" s="359" t="s">
        <v>120</v>
      </c>
      <c r="B441" s="351" t="s">
        <v>121</v>
      </c>
      <c r="C441" s="364" t="s">
        <v>122</v>
      </c>
      <c r="D441" s="353"/>
      <c r="E441" s="345">
        <v>73375</v>
      </c>
      <c r="F441" s="346">
        <f t="shared" si="21"/>
        <v>0</v>
      </c>
      <c r="G441" s="398">
        <v>12.9</v>
      </c>
      <c r="H441" s="392">
        <v>30</v>
      </c>
      <c r="I441" s="391">
        <v>1</v>
      </c>
      <c r="J441" s="391"/>
      <c r="K441" s="393"/>
    </row>
    <row r="442" spans="1:11">
      <c r="A442" s="359" t="s">
        <v>3133</v>
      </c>
      <c r="B442" s="361" t="s">
        <v>123</v>
      </c>
      <c r="C442" s="364" t="s">
        <v>3134</v>
      </c>
      <c r="D442" s="353"/>
      <c r="E442" s="345">
        <v>120000</v>
      </c>
      <c r="F442" s="346">
        <f t="shared" si="21"/>
        <v>0</v>
      </c>
      <c r="G442" s="398"/>
      <c r="H442" s="392"/>
      <c r="I442" s="391">
        <v>1</v>
      </c>
      <c r="J442" s="391"/>
      <c r="K442" s="393"/>
    </row>
    <row r="443" spans="1:11">
      <c r="A443" s="359" t="s">
        <v>3135</v>
      </c>
      <c r="B443" s="361" t="s">
        <v>124</v>
      </c>
      <c r="C443" s="364" t="s">
        <v>125</v>
      </c>
      <c r="D443" s="353"/>
      <c r="E443" s="345">
        <v>6300</v>
      </c>
      <c r="F443" s="346">
        <f t="shared" si="21"/>
        <v>0</v>
      </c>
      <c r="G443" s="398"/>
      <c r="H443" s="392"/>
      <c r="I443" s="391"/>
      <c r="J443" s="391"/>
      <c r="K443" s="393"/>
    </row>
    <row r="444" spans="1:11">
      <c r="A444" s="612" t="s">
        <v>3723</v>
      </c>
      <c r="B444" s="361" t="s">
        <v>3724</v>
      </c>
      <c r="C444" s="386" t="s">
        <v>3725</v>
      </c>
      <c r="D444" s="353"/>
      <c r="E444" s="376">
        <v>770</v>
      </c>
      <c r="F444" s="605">
        <f>TRUNC(D444*$K$1/1000)</f>
        <v>0</v>
      </c>
      <c r="G444" s="419"/>
      <c r="H444" s="419"/>
      <c r="I444" s="391"/>
      <c r="J444" s="391"/>
      <c r="K444" s="606"/>
    </row>
    <row r="445" spans="1:11">
      <c r="A445" s="389" t="s">
        <v>2370</v>
      </c>
      <c r="B445" s="361" t="s">
        <v>126</v>
      </c>
      <c r="C445" s="364" t="s">
        <v>127</v>
      </c>
      <c r="D445" s="353"/>
      <c r="E445" s="345">
        <v>54585</v>
      </c>
      <c r="F445" s="346">
        <f t="shared" si="21"/>
        <v>0</v>
      </c>
      <c r="G445" s="398">
        <v>20.7</v>
      </c>
      <c r="H445" s="392">
        <v>4</v>
      </c>
      <c r="I445" s="391">
        <v>1</v>
      </c>
      <c r="J445" s="391"/>
      <c r="K445" s="393"/>
    </row>
    <row r="446" spans="1:11">
      <c r="A446" s="389" t="s">
        <v>2371</v>
      </c>
      <c r="B446" s="361" t="s">
        <v>128</v>
      </c>
      <c r="C446" s="364" t="s">
        <v>1588</v>
      </c>
      <c r="D446" s="353"/>
      <c r="E446" s="345">
        <v>10450</v>
      </c>
      <c r="F446" s="346">
        <f t="shared" si="21"/>
        <v>0</v>
      </c>
      <c r="G446" s="398" t="s">
        <v>1589</v>
      </c>
      <c r="H446" s="392">
        <v>20</v>
      </c>
      <c r="I446" s="391">
        <v>1</v>
      </c>
      <c r="J446" s="391"/>
      <c r="K446" s="393"/>
    </row>
    <row r="447" spans="1:11">
      <c r="A447" s="372">
        <v>7430</v>
      </c>
      <c r="B447" s="351" t="s">
        <v>1590</v>
      </c>
      <c r="C447" s="364" t="s">
        <v>1591</v>
      </c>
      <c r="D447" s="353"/>
      <c r="E447" s="345">
        <v>1134</v>
      </c>
      <c r="F447" s="346">
        <f t="shared" si="21"/>
        <v>0</v>
      </c>
      <c r="G447" s="398"/>
      <c r="H447" s="392"/>
      <c r="I447" s="391"/>
      <c r="J447" s="391"/>
      <c r="K447" s="393"/>
    </row>
    <row r="448" spans="1:11">
      <c r="A448" s="358" t="s">
        <v>2043</v>
      </c>
      <c r="B448" s="351" t="s">
        <v>2044</v>
      </c>
      <c r="C448" s="364" t="s">
        <v>44</v>
      </c>
      <c r="D448" s="353"/>
      <c r="E448" s="345">
        <v>1890</v>
      </c>
      <c r="F448" s="346">
        <f t="shared" si="21"/>
        <v>0</v>
      </c>
      <c r="G448" s="398"/>
      <c r="H448" s="392"/>
      <c r="I448" s="391"/>
      <c r="J448" s="391"/>
      <c r="K448" s="393"/>
    </row>
    <row r="449" spans="1:11">
      <c r="A449" s="358"/>
      <c r="B449" s="351" t="s">
        <v>2535</v>
      </c>
      <c r="C449" s="388" t="s">
        <v>45</v>
      </c>
      <c r="D449" s="353"/>
      <c r="E449" s="345">
        <v>2520</v>
      </c>
      <c r="F449" s="346">
        <f t="shared" si="21"/>
        <v>0</v>
      </c>
      <c r="G449" s="398"/>
      <c r="H449" s="392"/>
      <c r="I449" s="391"/>
      <c r="J449" s="391"/>
      <c r="K449" s="393"/>
    </row>
    <row r="450" spans="1:11">
      <c r="A450" s="358"/>
      <c r="B450" s="351" t="s">
        <v>1968</v>
      </c>
      <c r="C450" s="364" t="s">
        <v>44</v>
      </c>
      <c r="D450" s="353"/>
      <c r="E450" s="345">
        <v>4032</v>
      </c>
      <c r="F450" s="346">
        <f t="shared" si="21"/>
        <v>0</v>
      </c>
      <c r="G450" s="398"/>
      <c r="H450" s="392"/>
      <c r="I450" s="391"/>
      <c r="J450" s="391"/>
      <c r="K450" s="393"/>
    </row>
    <row r="451" spans="1:11">
      <c r="A451" s="359"/>
      <c r="B451" s="351" t="s">
        <v>1969</v>
      </c>
      <c r="C451" s="388" t="s">
        <v>45</v>
      </c>
      <c r="D451" s="353"/>
      <c r="E451" s="345">
        <v>5292</v>
      </c>
      <c r="F451" s="346">
        <f t="shared" si="21"/>
        <v>0</v>
      </c>
      <c r="G451" s="398"/>
      <c r="H451" s="392"/>
      <c r="I451" s="391"/>
      <c r="J451" s="391"/>
      <c r="K451" s="393"/>
    </row>
    <row r="452" spans="1:11">
      <c r="A452" s="372">
        <v>7431</v>
      </c>
      <c r="B452" s="361" t="s">
        <v>1970</v>
      </c>
      <c r="C452" s="388" t="s">
        <v>1971</v>
      </c>
      <c r="D452" s="353"/>
      <c r="E452" s="345">
        <v>3087</v>
      </c>
      <c r="F452" s="346">
        <f t="shared" si="21"/>
        <v>0</v>
      </c>
      <c r="G452" s="398"/>
      <c r="H452" s="392"/>
      <c r="I452" s="391"/>
      <c r="J452" s="391"/>
      <c r="K452" s="393"/>
    </row>
    <row r="453" spans="1:11">
      <c r="A453" s="358" t="s">
        <v>1972</v>
      </c>
      <c r="B453" s="351" t="s">
        <v>1973</v>
      </c>
      <c r="C453" s="364" t="s">
        <v>44</v>
      </c>
      <c r="D453" s="353"/>
      <c r="E453" s="345">
        <v>5292</v>
      </c>
      <c r="F453" s="346">
        <f t="shared" si="21"/>
        <v>0</v>
      </c>
      <c r="G453" s="398"/>
      <c r="H453" s="392"/>
      <c r="I453" s="391"/>
      <c r="J453" s="391"/>
      <c r="K453" s="393"/>
    </row>
    <row r="454" spans="1:11">
      <c r="A454" s="358"/>
      <c r="B454" s="351" t="s">
        <v>1974</v>
      </c>
      <c r="C454" s="364" t="s">
        <v>44</v>
      </c>
      <c r="D454" s="353"/>
      <c r="E454" s="345">
        <v>8190</v>
      </c>
      <c r="F454" s="346">
        <f t="shared" si="21"/>
        <v>0</v>
      </c>
      <c r="G454" s="398"/>
      <c r="H454" s="392"/>
      <c r="I454" s="391"/>
      <c r="J454" s="391"/>
      <c r="K454" s="393"/>
    </row>
    <row r="455" spans="1:11">
      <c r="A455" s="359"/>
      <c r="B455" s="351" t="s">
        <v>1975</v>
      </c>
      <c r="C455" s="388" t="s">
        <v>45</v>
      </c>
      <c r="D455" s="353"/>
      <c r="E455" s="345">
        <v>18900</v>
      </c>
      <c r="F455" s="346">
        <f t="shared" si="21"/>
        <v>0</v>
      </c>
      <c r="G455" s="398"/>
      <c r="H455" s="392"/>
      <c r="I455" s="391"/>
      <c r="J455" s="391"/>
      <c r="K455" s="393"/>
    </row>
    <row r="456" spans="1:11">
      <c r="A456" s="372">
        <v>7505</v>
      </c>
      <c r="B456" s="361" t="s">
        <v>1976</v>
      </c>
      <c r="C456" s="364" t="s">
        <v>1977</v>
      </c>
      <c r="D456" s="353"/>
      <c r="E456" s="345">
        <v>11800</v>
      </c>
      <c r="F456" s="346">
        <f t="shared" si="21"/>
        <v>0</v>
      </c>
      <c r="G456" s="398">
        <v>4.3</v>
      </c>
      <c r="H456" s="392">
        <v>24</v>
      </c>
      <c r="I456" s="391">
        <v>1</v>
      </c>
      <c r="J456" s="391"/>
      <c r="K456" s="393"/>
    </row>
    <row r="457" spans="1:11">
      <c r="A457" s="358" t="s">
        <v>1978</v>
      </c>
      <c r="B457" s="351" t="s">
        <v>1979</v>
      </c>
      <c r="C457" s="375">
        <v>50</v>
      </c>
      <c r="D457" s="353"/>
      <c r="E457" s="345">
        <v>16360</v>
      </c>
      <c r="F457" s="346">
        <f t="shared" si="21"/>
        <v>0</v>
      </c>
      <c r="G457" s="398">
        <v>8.6999999999999993</v>
      </c>
      <c r="H457" s="392">
        <v>24</v>
      </c>
      <c r="I457" s="391">
        <v>1</v>
      </c>
      <c r="J457" s="391"/>
      <c r="K457" s="393"/>
    </row>
    <row r="458" spans="1:11">
      <c r="A458" s="358"/>
      <c r="B458" s="351" t="s">
        <v>1980</v>
      </c>
      <c r="C458" s="375">
        <v>100</v>
      </c>
      <c r="D458" s="353"/>
      <c r="E458" s="345">
        <v>19764</v>
      </c>
      <c r="F458" s="346">
        <f t="shared" si="21"/>
        <v>0</v>
      </c>
      <c r="G458" s="398">
        <v>17.399999999999999</v>
      </c>
      <c r="H458" s="392">
        <v>24</v>
      </c>
      <c r="I458" s="391">
        <v>1</v>
      </c>
      <c r="J458" s="391"/>
      <c r="K458" s="393"/>
    </row>
    <row r="459" spans="1:11">
      <c r="A459" s="358"/>
      <c r="B459" s="351" t="s">
        <v>1981</v>
      </c>
      <c r="C459" s="375">
        <v>125</v>
      </c>
      <c r="D459" s="353"/>
      <c r="E459" s="345">
        <v>24600</v>
      </c>
      <c r="F459" s="346">
        <f t="shared" si="21"/>
        <v>0</v>
      </c>
      <c r="G459" s="398">
        <v>19.399999999999999</v>
      </c>
      <c r="H459" s="392">
        <v>24</v>
      </c>
      <c r="I459" s="391">
        <v>1</v>
      </c>
      <c r="J459" s="391"/>
      <c r="K459" s="393"/>
    </row>
    <row r="460" spans="1:11">
      <c r="A460" s="358"/>
      <c r="B460" s="351" t="s">
        <v>1982</v>
      </c>
      <c r="C460" s="375">
        <v>150</v>
      </c>
      <c r="D460" s="353"/>
      <c r="E460" s="345">
        <v>25250</v>
      </c>
      <c r="F460" s="346">
        <f t="shared" si="21"/>
        <v>0</v>
      </c>
      <c r="G460" s="398">
        <v>23</v>
      </c>
      <c r="H460" s="392">
        <v>24</v>
      </c>
      <c r="I460" s="391">
        <v>1</v>
      </c>
      <c r="J460" s="391"/>
      <c r="K460" s="393"/>
    </row>
    <row r="461" spans="1:11">
      <c r="A461" s="358"/>
      <c r="B461" s="351" t="s">
        <v>717</v>
      </c>
      <c r="C461" s="375">
        <v>200</v>
      </c>
      <c r="D461" s="353"/>
      <c r="E461" s="345">
        <v>33116</v>
      </c>
      <c r="F461" s="346">
        <f t="shared" si="21"/>
        <v>0</v>
      </c>
      <c r="G461" s="398">
        <v>30.6</v>
      </c>
      <c r="H461" s="392">
        <v>24</v>
      </c>
      <c r="I461" s="391">
        <v>1</v>
      </c>
      <c r="J461" s="391"/>
      <c r="K461" s="393"/>
    </row>
    <row r="462" spans="1:11">
      <c r="A462" s="358"/>
      <c r="B462" s="351" t="s">
        <v>718</v>
      </c>
      <c r="C462" s="375">
        <v>250</v>
      </c>
      <c r="D462" s="353"/>
      <c r="E462" s="345">
        <v>42566</v>
      </c>
      <c r="F462" s="346">
        <f t="shared" si="21"/>
        <v>0</v>
      </c>
      <c r="G462" s="398">
        <v>38.299999999999997</v>
      </c>
      <c r="H462" s="392">
        <v>24</v>
      </c>
      <c r="I462" s="391">
        <v>1</v>
      </c>
      <c r="J462" s="391"/>
      <c r="K462" s="393"/>
    </row>
    <row r="463" spans="1:11">
      <c r="A463" s="358"/>
      <c r="B463" s="351" t="s">
        <v>719</v>
      </c>
      <c r="C463" s="375">
        <v>350</v>
      </c>
      <c r="D463" s="353"/>
      <c r="E463" s="345">
        <v>51994</v>
      </c>
      <c r="F463" s="346">
        <f t="shared" si="21"/>
        <v>0</v>
      </c>
      <c r="G463" s="398">
        <v>53.6</v>
      </c>
      <c r="H463" s="392">
        <v>24</v>
      </c>
      <c r="I463" s="391">
        <v>1</v>
      </c>
      <c r="J463" s="391"/>
      <c r="K463" s="393"/>
    </row>
    <row r="464" spans="1:11">
      <c r="A464" s="358"/>
      <c r="B464" s="351" t="s">
        <v>720</v>
      </c>
      <c r="C464" s="375">
        <v>450</v>
      </c>
      <c r="D464" s="353"/>
      <c r="E464" s="345">
        <v>76673</v>
      </c>
      <c r="F464" s="346">
        <f t="shared" si="21"/>
        <v>0</v>
      </c>
      <c r="G464" s="398">
        <v>68.900000000000006</v>
      </c>
      <c r="H464" s="392">
        <v>24</v>
      </c>
      <c r="I464" s="391">
        <v>1</v>
      </c>
      <c r="J464" s="391"/>
      <c r="K464" s="393"/>
    </row>
    <row r="465" spans="1:11">
      <c r="A465" s="358"/>
      <c r="B465" s="351" t="s">
        <v>721</v>
      </c>
      <c r="C465" s="375">
        <v>500</v>
      </c>
      <c r="D465" s="353"/>
      <c r="E465" s="345">
        <v>84096</v>
      </c>
      <c r="F465" s="346">
        <f t="shared" si="21"/>
        <v>0</v>
      </c>
      <c r="G465" s="398">
        <v>76.599999999999994</v>
      </c>
      <c r="H465" s="392">
        <v>24</v>
      </c>
      <c r="I465" s="391">
        <v>1</v>
      </c>
      <c r="J465" s="391"/>
      <c r="K465" s="393"/>
    </row>
    <row r="466" spans="1:11">
      <c r="A466" s="359"/>
      <c r="B466" s="412" t="s">
        <v>722</v>
      </c>
      <c r="C466" s="375">
        <v>700</v>
      </c>
      <c r="D466" s="353"/>
      <c r="E466" s="345">
        <v>130485</v>
      </c>
      <c r="F466" s="346">
        <f t="shared" si="21"/>
        <v>0</v>
      </c>
      <c r="G466" s="398">
        <v>107.3</v>
      </c>
      <c r="H466" s="392">
        <v>24</v>
      </c>
      <c r="I466" s="391">
        <v>1</v>
      </c>
      <c r="J466" s="391"/>
      <c r="K466" s="393"/>
    </row>
    <row r="467" spans="1:11">
      <c r="A467" s="372">
        <v>7611</v>
      </c>
      <c r="B467" s="361" t="s">
        <v>723</v>
      </c>
      <c r="C467" s="364" t="s">
        <v>724</v>
      </c>
      <c r="D467" s="353"/>
      <c r="E467" s="345">
        <v>315</v>
      </c>
      <c r="F467" s="346">
        <f t="shared" si="21"/>
        <v>0</v>
      </c>
      <c r="G467" s="398"/>
      <c r="H467" s="392"/>
      <c r="I467" s="391"/>
      <c r="J467" s="391"/>
      <c r="K467" s="393"/>
    </row>
    <row r="468" spans="1:11">
      <c r="A468" s="358" t="s">
        <v>725</v>
      </c>
      <c r="B468" s="351" t="s">
        <v>726</v>
      </c>
      <c r="C468" s="375">
        <v>300</v>
      </c>
      <c r="D468" s="353"/>
      <c r="E468" s="345">
        <v>413</v>
      </c>
      <c r="F468" s="346">
        <f t="shared" si="21"/>
        <v>0</v>
      </c>
      <c r="G468" s="398"/>
      <c r="H468" s="392"/>
      <c r="I468" s="391"/>
      <c r="J468" s="391"/>
      <c r="K468" s="393"/>
    </row>
    <row r="469" spans="1:11">
      <c r="A469" s="358"/>
      <c r="B469" s="351" t="s">
        <v>727</v>
      </c>
      <c r="C469" s="375">
        <v>400</v>
      </c>
      <c r="D469" s="353"/>
      <c r="E469" s="345">
        <v>464</v>
      </c>
      <c r="F469" s="346">
        <f t="shared" si="21"/>
        <v>0</v>
      </c>
      <c r="G469" s="398"/>
      <c r="H469" s="392"/>
      <c r="I469" s="391"/>
      <c r="J469" s="391"/>
      <c r="K469" s="393"/>
    </row>
    <row r="470" spans="1:11">
      <c r="A470" s="359"/>
      <c r="B470" s="351" t="s">
        <v>728</v>
      </c>
      <c r="C470" s="375">
        <v>500</v>
      </c>
      <c r="D470" s="353"/>
      <c r="E470" s="345">
        <v>544</v>
      </c>
      <c r="F470" s="346">
        <f t="shared" si="21"/>
        <v>0</v>
      </c>
      <c r="G470" s="398"/>
      <c r="H470" s="392"/>
      <c r="I470" s="391"/>
      <c r="J470" s="391"/>
      <c r="K470" s="393"/>
    </row>
    <row r="471" spans="1:11">
      <c r="A471" s="372">
        <v>7612</v>
      </c>
      <c r="B471" s="361" t="s">
        <v>729</v>
      </c>
      <c r="C471" s="364" t="s">
        <v>724</v>
      </c>
      <c r="D471" s="353"/>
      <c r="E471" s="345">
        <v>1260</v>
      </c>
      <c r="F471" s="346">
        <f t="shared" si="21"/>
        <v>0</v>
      </c>
      <c r="G471" s="398"/>
      <c r="H471" s="392"/>
      <c r="I471" s="391"/>
      <c r="J471" s="391"/>
      <c r="K471" s="393"/>
    </row>
    <row r="472" spans="1:11">
      <c r="A472" s="342" t="s">
        <v>730</v>
      </c>
      <c r="B472" s="351" t="s">
        <v>731</v>
      </c>
      <c r="C472" s="375">
        <v>300</v>
      </c>
      <c r="D472" s="353"/>
      <c r="E472" s="345">
        <v>1449</v>
      </c>
      <c r="F472" s="346">
        <f t="shared" si="21"/>
        <v>0</v>
      </c>
      <c r="G472" s="398"/>
      <c r="H472" s="392"/>
      <c r="I472" s="391"/>
      <c r="J472" s="391"/>
      <c r="K472" s="393"/>
    </row>
    <row r="473" spans="1:11">
      <c r="A473" s="359"/>
      <c r="B473" s="351" t="s">
        <v>732</v>
      </c>
      <c r="C473" s="375">
        <v>400</v>
      </c>
      <c r="D473" s="353"/>
      <c r="E473" s="345">
        <v>1890</v>
      </c>
      <c r="F473" s="346">
        <f t="shared" si="21"/>
        <v>0</v>
      </c>
      <c r="G473" s="398"/>
      <c r="H473" s="392"/>
      <c r="I473" s="391"/>
      <c r="J473" s="391"/>
      <c r="K473" s="393"/>
    </row>
    <row r="474" spans="1:11">
      <c r="A474" s="372">
        <v>7613</v>
      </c>
      <c r="B474" s="361" t="s">
        <v>733</v>
      </c>
      <c r="C474" s="375" t="s">
        <v>734</v>
      </c>
      <c r="D474" s="353"/>
      <c r="E474" s="345">
        <v>2898</v>
      </c>
      <c r="F474" s="346">
        <f t="shared" si="21"/>
        <v>0</v>
      </c>
      <c r="G474" s="398"/>
      <c r="H474" s="392"/>
      <c r="I474" s="391"/>
      <c r="J474" s="391"/>
      <c r="K474" s="393"/>
    </row>
    <row r="475" spans="1:11">
      <c r="A475" s="358" t="s">
        <v>735</v>
      </c>
      <c r="B475" s="351" t="s">
        <v>736</v>
      </c>
      <c r="C475" s="375" t="s">
        <v>737</v>
      </c>
      <c r="D475" s="353"/>
      <c r="E475" s="345">
        <v>4410</v>
      </c>
      <c r="F475" s="346">
        <f t="shared" si="21"/>
        <v>0</v>
      </c>
      <c r="G475" s="398"/>
      <c r="H475" s="392"/>
      <c r="I475" s="391"/>
      <c r="J475" s="391"/>
      <c r="K475" s="393"/>
    </row>
    <row r="476" spans="1:11">
      <c r="A476" s="358"/>
      <c r="B476" s="351" t="s">
        <v>738</v>
      </c>
      <c r="C476" s="375" t="s">
        <v>739</v>
      </c>
      <c r="D476" s="353"/>
      <c r="E476" s="345">
        <v>6048</v>
      </c>
      <c r="F476" s="346">
        <f t="shared" si="21"/>
        <v>0</v>
      </c>
      <c r="G476" s="398"/>
      <c r="H476" s="392"/>
      <c r="I476" s="391"/>
      <c r="J476" s="391"/>
      <c r="K476" s="393"/>
    </row>
    <row r="477" spans="1:11">
      <c r="A477" s="358"/>
      <c r="B477" s="351" t="s">
        <v>740</v>
      </c>
      <c r="C477" s="375" t="s">
        <v>927</v>
      </c>
      <c r="D477" s="353"/>
      <c r="E477" s="345">
        <v>8190</v>
      </c>
      <c r="F477" s="346">
        <f t="shared" si="21"/>
        <v>0</v>
      </c>
      <c r="G477" s="398"/>
      <c r="H477" s="392"/>
      <c r="I477" s="391"/>
      <c r="J477" s="391"/>
      <c r="K477" s="393"/>
    </row>
    <row r="478" spans="1:11">
      <c r="A478" s="358"/>
      <c r="B478" s="351" t="s">
        <v>741</v>
      </c>
      <c r="C478" s="375" t="s">
        <v>742</v>
      </c>
      <c r="D478" s="353"/>
      <c r="E478" s="345">
        <v>10458</v>
      </c>
      <c r="F478" s="346">
        <f t="shared" si="21"/>
        <v>0</v>
      </c>
      <c r="G478" s="398"/>
      <c r="H478" s="392"/>
      <c r="I478" s="391"/>
      <c r="J478" s="391"/>
      <c r="K478" s="393"/>
    </row>
    <row r="479" spans="1:11">
      <c r="A479" s="359"/>
      <c r="B479" s="351" t="s">
        <v>743</v>
      </c>
      <c r="C479" s="375" t="s">
        <v>744</v>
      </c>
      <c r="D479" s="353"/>
      <c r="E479" s="345">
        <v>27600</v>
      </c>
      <c r="F479" s="346">
        <f t="shared" si="21"/>
        <v>0</v>
      </c>
      <c r="G479" s="398"/>
      <c r="H479" s="392"/>
      <c r="I479" s="391"/>
      <c r="J479" s="391"/>
      <c r="K479" s="393"/>
    </row>
    <row r="480" spans="1:11">
      <c r="A480" s="389" t="s">
        <v>2372</v>
      </c>
      <c r="B480" s="361" t="s">
        <v>745</v>
      </c>
      <c r="C480" s="375" t="s">
        <v>746</v>
      </c>
      <c r="D480" s="353"/>
      <c r="E480" s="345">
        <v>1630</v>
      </c>
      <c r="F480" s="346">
        <f t="shared" si="21"/>
        <v>0</v>
      </c>
      <c r="G480" s="398"/>
      <c r="H480" s="392"/>
      <c r="I480" s="391"/>
      <c r="J480" s="391"/>
      <c r="K480" s="393"/>
    </row>
    <row r="481" spans="1:11">
      <c r="A481" s="372">
        <v>7620</v>
      </c>
      <c r="B481" s="361" t="s">
        <v>747</v>
      </c>
      <c r="C481" s="375" t="s">
        <v>3231</v>
      </c>
      <c r="D481" s="353"/>
      <c r="E481" s="345">
        <v>427</v>
      </c>
      <c r="F481" s="346">
        <f t="shared" si="21"/>
        <v>0</v>
      </c>
      <c r="G481" s="398"/>
      <c r="H481" s="392"/>
      <c r="I481" s="391"/>
      <c r="J481" s="391"/>
      <c r="K481" s="393"/>
    </row>
    <row r="482" spans="1:11">
      <c r="A482" s="359" t="s">
        <v>3229</v>
      </c>
      <c r="B482" s="361" t="s">
        <v>3230</v>
      </c>
      <c r="C482" s="375" t="s">
        <v>3232</v>
      </c>
      <c r="D482" s="353"/>
      <c r="E482" s="345">
        <v>1350</v>
      </c>
      <c r="F482" s="346">
        <f t="shared" si="21"/>
        <v>0</v>
      </c>
      <c r="G482" s="398"/>
      <c r="H482" s="392"/>
      <c r="I482" s="391"/>
      <c r="J482" s="391"/>
      <c r="K482" s="393"/>
    </row>
    <row r="483" spans="1:11">
      <c r="A483" s="389" t="s">
        <v>3136</v>
      </c>
      <c r="B483" s="361" t="s">
        <v>748</v>
      </c>
      <c r="C483" s="375" t="s">
        <v>749</v>
      </c>
      <c r="D483" s="353"/>
      <c r="E483" s="345">
        <v>3100</v>
      </c>
      <c r="F483" s="346">
        <f t="shared" si="21"/>
        <v>0</v>
      </c>
      <c r="G483" s="398"/>
      <c r="H483" s="392"/>
      <c r="I483" s="391"/>
      <c r="J483" s="391"/>
      <c r="K483" s="393"/>
    </row>
    <row r="484" spans="1:11">
      <c r="A484" s="372">
        <v>7730</v>
      </c>
      <c r="B484" s="361" t="s">
        <v>750</v>
      </c>
      <c r="C484" s="375" t="s">
        <v>751</v>
      </c>
      <c r="D484" s="353"/>
      <c r="E484" s="345">
        <v>202</v>
      </c>
      <c r="F484" s="346">
        <f t="shared" si="21"/>
        <v>0</v>
      </c>
      <c r="G484" s="398"/>
      <c r="H484" s="392"/>
      <c r="I484" s="391"/>
      <c r="J484" s="391"/>
      <c r="K484" s="393"/>
    </row>
    <row r="485" spans="1:11">
      <c r="A485" s="358" t="s">
        <v>752</v>
      </c>
      <c r="B485" s="351" t="s">
        <v>753</v>
      </c>
      <c r="C485" s="383" t="s">
        <v>46</v>
      </c>
      <c r="D485" s="353"/>
      <c r="E485" s="345">
        <v>252</v>
      </c>
      <c r="F485" s="346">
        <f t="shared" si="21"/>
        <v>0</v>
      </c>
      <c r="G485" s="398"/>
      <c r="H485" s="392"/>
      <c r="I485" s="391"/>
      <c r="J485" s="391"/>
      <c r="K485" s="393"/>
    </row>
    <row r="486" spans="1:11">
      <c r="A486" s="358" t="s">
        <v>754</v>
      </c>
      <c r="B486" s="361" t="s">
        <v>3137</v>
      </c>
      <c r="C486" s="383" t="s">
        <v>47</v>
      </c>
      <c r="D486" s="353"/>
      <c r="E486" s="345">
        <v>290</v>
      </c>
      <c r="F486" s="346">
        <f t="shared" si="21"/>
        <v>0</v>
      </c>
      <c r="G486" s="398"/>
      <c r="H486" s="392"/>
      <c r="I486" s="391"/>
      <c r="J486" s="391"/>
      <c r="K486" s="393"/>
    </row>
    <row r="487" spans="1:11">
      <c r="A487" s="358"/>
      <c r="B487" s="351" t="s">
        <v>755</v>
      </c>
      <c r="C487" s="383" t="s">
        <v>48</v>
      </c>
      <c r="D487" s="353"/>
      <c r="E487" s="345">
        <v>696</v>
      </c>
      <c r="F487" s="346">
        <f t="shared" si="21"/>
        <v>0</v>
      </c>
      <c r="G487" s="398"/>
      <c r="H487" s="392"/>
      <c r="I487" s="391"/>
      <c r="J487" s="391"/>
      <c r="K487" s="393"/>
    </row>
    <row r="488" spans="1:11">
      <c r="A488" s="359"/>
      <c r="B488" s="351" t="s">
        <v>756</v>
      </c>
      <c r="C488" s="383" t="s">
        <v>49</v>
      </c>
      <c r="D488" s="353"/>
      <c r="E488" s="345">
        <v>912</v>
      </c>
      <c r="F488" s="346">
        <f t="shared" si="21"/>
        <v>0</v>
      </c>
      <c r="G488" s="398"/>
      <c r="H488" s="392"/>
      <c r="I488" s="391"/>
      <c r="J488" s="391"/>
      <c r="K488" s="393"/>
    </row>
    <row r="489" spans="1:11">
      <c r="A489" s="372">
        <v>7740</v>
      </c>
      <c r="B489" s="361" t="s">
        <v>757</v>
      </c>
      <c r="C489" s="375" t="s">
        <v>758</v>
      </c>
      <c r="D489" s="353"/>
      <c r="E489" s="345">
        <v>706</v>
      </c>
      <c r="F489" s="346">
        <f t="shared" si="21"/>
        <v>0</v>
      </c>
      <c r="G489" s="398"/>
      <c r="H489" s="392"/>
      <c r="I489" s="391"/>
      <c r="J489" s="391"/>
      <c r="K489" s="393"/>
    </row>
    <row r="490" spans="1:11">
      <c r="A490" s="358" t="s">
        <v>759</v>
      </c>
      <c r="B490" s="351" t="s">
        <v>3138</v>
      </c>
      <c r="C490" s="375">
        <v>100</v>
      </c>
      <c r="D490" s="353"/>
      <c r="E490" s="345">
        <v>819</v>
      </c>
      <c r="F490" s="346">
        <f t="shared" si="21"/>
        <v>0</v>
      </c>
      <c r="G490" s="398"/>
      <c r="H490" s="392"/>
      <c r="I490" s="391"/>
      <c r="J490" s="391"/>
      <c r="K490" s="393"/>
    </row>
    <row r="491" spans="1:11">
      <c r="A491" s="359"/>
      <c r="B491" s="351" t="s">
        <v>3139</v>
      </c>
      <c r="C491" s="375">
        <v>150</v>
      </c>
      <c r="D491" s="353"/>
      <c r="E491" s="345">
        <v>1424</v>
      </c>
      <c r="F491" s="346">
        <f t="shared" si="21"/>
        <v>0</v>
      </c>
      <c r="G491" s="398"/>
      <c r="H491" s="392"/>
      <c r="I491" s="391"/>
      <c r="J491" s="391"/>
      <c r="K491" s="393"/>
    </row>
    <row r="492" spans="1:11">
      <c r="A492" s="372">
        <v>7750</v>
      </c>
      <c r="B492" s="361" t="s">
        <v>760</v>
      </c>
      <c r="C492" s="375" t="s">
        <v>761</v>
      </c>
      <c r="D492" s="353"/>
      <c r="E492" s="345">
        <v>37246</v>
      </c>
      <c r="F492" s="346">
        <f t="shared" si="21"/>
        <v>0</v>
      </c>
      <c r="G492" s="398"/>
      <c r="H492" s="392"/>
      <c r="I492" s="391"/>
      <c r="J492" s="391"/>
      <c r="K492" s="393"/>
    </row>
    <row r="493" spans="1:11">
      <c r="A493" s="359" t="s">
        <v>762</v>
      </c>
      <c r="B493" s="351" t="s">
        <v>763</v>
      </c>
      <c r="C493" s="375">
        <v>25</v>
      </c>
      <c r="D493" s="353"/>
      <c r="E493" s="345">
        <v>58240</v>
      </c>
      <c r="F493" s="346">
        <f t="shared" si="21"/>
        <v>0</v>
      </c>
      <c r="G493" s="398"/>
      <c r="H493" s="392"/>
      <c r="I493" s="391"/>
      <c r="J493" s="391"/>
      <c r="K493" s="393"/>
    </row>
    <row r="494" spans="1:11">
      <c r="A494" s="389" t="s">
        <v>2373</v>
      </c>
      <c r="B494" s="361" t="s">
        <v>764</v>
      </c>
      <c r="C494" s="375" t="s">
        <v>765</v>
      </c>
      <c r="D494" s="353">
        <v>13757</v>
      </c>
      <c r="E494" s="345">
        <f>F494</f>
        <v>15926</v>
      </c>
      <c r="F494" s="346">
        <f t="shared" si="21"/>
        <v>15926</v>
      </c>
      <c r="G494" s="398"/>
      <c r="H494" s="392"/>
      <c r="I494" s="391"/>
      <c r="J494" s="391"/>
      <c r="K494" s="393"/>
    </row>
    <row r="495" spans="1:11">
      <c r="A495" s="372">
        <v>7811</v>
      </c>
      <c r="B495" s="361" t="s">
        <v>766</v>
      </c>
      <c r="C495" s="375" t="s">
        <v>767</v>
      </c>
      <c r="D495" s="353"/>
      <c r="E495" s="345">
        <v>158</v>
      </c>
      <c r="F495" s="346">
        <f t="shared" si="21"/>
        <v>0</v>
      </c>
      <c r="G495" s="413" t="s">
        <v>768</v>
      </c>
      <c r="H495" s="413">
        <v>20</v>
      </c>
      <c r="I495" s="392"/>
      <c r="J495" s="391"/>
      <c r="K495" s="393"/>
    </row>
    <row r="496" spans="1:11">
      <c r="A496" s="342" t="s">
        <v>769</v>
      </c>
      <c r="B496" s="351" t="s">
        <v>770</v>
      </c>
      <c r="C496" s="364">
        <v>3</v>
      </c>
      <c r="D496" s="353"/>
      <c r="E496" s="345">
        <v>175</v>
      </c>
      <c r="F496" s="346">
        <f t="shared" si="21"/>
        <v>0</v>
      </c>
      <c r="G496" s="414" t="s">
        <v>771</v>
      </c>
      <c r="H496" s="413">
        <v>20</v>
      </c>
      <c r="I496" s="391"/>
      <c r="J496" s="391"/>
      <c r="K496" s="393"/>
    </row>
    <row r="497" spans="1:11">
      <c r="A497" s="358"/>
      <c r="B497" s="351" t="s">
        <v>772</v>
      </c>
      <c r="C497" s="364">
        <v>4</v>
      </c>
      <c r="D497" s="353"/>
      <c r="E497" s="345">
        <v>231</v>
      </c>
      <c r="F497" s="346">
        <f t="shared" si="21"/>
        <v>0</v>
      </c>
      <c r="G497" s="414" t="s">
        <v>773</v>
      </c>
      <c r="H497" s="413">
        <v>20</v>
      </c>
      <c r="I497" s="391"/>
      <c r="J497" s="391"/>
      <c r="K497" s="393"/>
    </row>
    <row r="498" spans="1:11">
      <c r="A498" s="358"/>
      <c r="B498" s="351" t="s">
        <v>774</v>
      </c>
      <c r="C498" s="364">
        <v>4.5</v>
      </c>
      <c r="D498" s="353"/>
      <c r="E498" s="345">
        <v>288</v>
      </c>
      <c r="F498" s="346">
        <f t="shared" si="21"/>
        <v>0</v>
      </c>
      <c r="G498" s="414" t="s">
        <v>775</v>
      </c>
      <c r="H498" s="413">
        <v>20</v>
      </c>
      <c r="I498" s="391"/>
      <c r="J498" s="391"/>
      <c r="K498" s="393"/>
    </row>
    <row r="499" spans="1:11">
      <c r="A499" s="358"/>
      <c r="B499" s="351" t="s">
        <v>776</v>
      </c>
      <c r="C499" s="364">
        <v>7</v>
      </c>
      <c r="D499" s="353"/>
      <c r="E499" s="345">
        <v>407</v>
      </c>
      <c r="F499" s="346">
        <f t="shared" ref="F499:F572" si="22">TRUNC(D499*$K$1/1000)</f>
        <v>0</v>
      </c>
      <c r="G499" s="414" t="s">
        <v>777</v>
      </c>
      <c r="H499" s="413">
        <v>20</v>
      </c>
      <c r="I499" s="391"/>
      <c r="J499" s="391"/>
      <c r="K499" s="393"/>
    </row>
    <row r="500" spans="1:11">
      <c r="A500" s="359"/>
      <c r="B500" s="351" t="s">
        <v>778</v>
      </c>
      <c r="C500" s="375">
        <v>12</v>
      </c>
      <c r="D500" s="353"/>
      <c r="E500" s="345">
        <v>991</v>
      </c>
      <c r="F500" s="346">
        <f t="shared" si="22"/>
        <v>0</v>
      </c>
      <c r="G500" s="414" t="s">
        <v>779</v>
      </c>
      <c r="H500" s="413">
        <v>20</v>
      </c>
      <c r="I500" s="391"/>
      <c r="J500" s="391"/>
      <c r="K500" s="393"/>
    </row>
    <row r="501" spans="1:11">
      <c r="A501" s="372">
        <v>7812</v>
      </c>
      <c r="B501" s="361" t="s">
        <v>780</v>
      </c>
      <c r="C501" s="375" t="s">
        <v>781</v>
      </c>
      <c r="D501" s="353"/>
      <c r="E501" s="345">
        <v>243</v>
      </c>
      <c r="F501" s="346">
        <f t="shared" si="22"/>
        <v>0</v>
      </c>
      <c r="G501" s="398">
        <v>0.5</v>
      </c>
      <c r="H501" s="413">
        <v>16</v>
      </c>
      <c r="I501" s="391"/>
      <c r="J501" s="391"/>
      <c r="K501" s="393"/>
    </row>
    <row r="502" spans="1:11">
      <c r="A502" s="358" t="s">
        <v>782</v>
      </c>
      <c r="B502" s="351" t="s">
        <v>620</v>
      </c>
      <c r="C502" s="375">
        <v>7</v>
      </c>
      <c r="D502" s="353"/>
      <c r="E502" s="345">
        <v>286</v>
      </c>
      <c r="F502" s="346">
        <f t="shared" si="22"/>
        <v>0</v>
      </c>
      <c r="G502" s="398">
        <v>0.8</v>
      </c>
      <c r="H502" s="413">
        <v>16</v>
      </c>
      <c r="I502" s="391"/>
      <c r="J502" s="391"/>
      <c r="K502" s="393"/>
    </row>
    <row r="503" spans="1:11">
      <c r="A503" s="358" t="s">
        <v>621</v>
      </c>
      <c r="B503" s="351" t="s">
        <v>622</v>
      </c>
      <c r="C503" s="375">
        <v>9</v>
      </c>
      <c r="D503" s="353"/>
      <c r="E503" s="345">
        <v>362</v>
      </c>
      <c r="F503" s="346">
        <f t="shared" si="22"/>
        <v>0</v>
      </c>
      <c r="G503" s="398">
        <v>1</v>
      </c>
      <c r="H503" s="413">
        <v>16</v>
      </c>
      <c r="I503" s="391"/>
      <c r="J503" s="391"/>
      <c r="K503" s="393"/>
    </row>
    <row r="504" spans="1:11">
      <c r="A504" s="358"/>
      <c r="B504" s="351" t="s">
        <v>623</v>
      </c>
      <c r="C504" s="375">
        <v>15</v>
      </c>
      <c r="D504" s="353"/>
      <c r="E504" s="345">
        <v>947</v>
      </c>
      <c r="F504" s="346">
        <f t="shared" si="22"/>
        <v>0</v>
      </c>
      <c r="G504" s="398">
        <v>1.6</v>
      </c>
      <c r="H504" s="413">
        <v>16</v>
      </c>
      <c r="I504" s="391"/>
      <c r="J504" s="391"/>
      <c r="K504" s="393"/>
    </row>
    <row r="505" spans="1:11">
      <c r="A505" s="358"/>
      <c r="B505" s="351" t="s">
        <v>624</v>
      </c>
      <c r="C505" s="375">
        <v>18</v>
      </c>
      <c r="D505" s="353"/>
      <c r="E505" s="345">
        <v>1922</v>
      </c>
      <c r="F505" s="346">
        <f t="shared" si="22"/>
        <v>0</v>
      </c>
      <c r="G505" s="398">
        <v>2</v>
      </c>
      <c r="H505" s="413">
        <v>16</v>
      </c>
      <c r="I505" s="391"/>
      <c r="J505" s="391"/>
      <c r="K505" s="393"/>
    </row>
    <row r="506" spans="1:11">
      <c r="A506" s="358"/>
      <c r="B506" s="351" t="s">
        <v>625</v>
      </c>
      <c r="C506" s="375">
        <v>20</v>
      </c>
      <c r="D506" s="353"/>
      <c r="E506" s="345">
        <v>2573</v>
      </c>
      <c r="F506" s="346">
        <f t="shared" si="22"/>
        <v>0</v>
      </c>
      <c r="G506" s="398">
        <v>2.2000000000000002</v>
      </c>
      <c r="H506" s="413">
        <v>16</v>
      </c>
      <c r="I506" s="391"/>
      <c r="J506" s="391"/>
      <c r="K506" s="393"/>
    </row>
    <row r="507" spans="1:11">
      <c r="A507" s="358"/>
      <c r="B507" s="351" t="s">
        <v>626</v>
      </c>
      <c r="C507" s="375">
        <v>35</v>
      </c>
      <c r="D507" s="353"/>
      <c r="E507" s="345">
        <v>3000</v>
      </c>
      <c r="F507" s="346">
        <f t="shared" si="22"/>
        <v>0</v>
      </c>
      <c r="G507" s="398">
        <v>3.8</v>
      </c>
      <c r="H507" s="413">
        <v>16</v>
      </c>
      <c r="I507" s="391"/>
      <c r="J507" s="391"/>
      <c r="K507" s="393"/>
    </row>
    <row r="508" spans="1:11">
      <c r="A508" s="358"/>
      <c r="B508" s="351" t="s">
        <v>627</v>
      </c>
      <c r="C508" s="375">
        <v>70</v>
      </c>
      <c r="D508" s="353"/>
      <c r="E508" s="345">
        <v>3852</v>
      </c>
      <c r="F508" s="346">
        <f t="shared" si="22"/>
        <v>0</v>
      </c>
      <c r="G508" s="398">
        <v>7.6</v>
      </c>
      <c r="H508" s="413">
        <v>16</v>
      </c>
      <c r="I508" s="391"/>
      <c r="J508" s="391"/>
      <c r="K508" s="393"/>
    </row>
    <row r="509" spans="1:11">
      <c r="A509" s="358"/>
      <c r="B509" s="351" t="s">
        <v>628</v>
      </c>
      <c r="C509" s="375">
        <v>100</v>
      </c>
      <c r="D509" s="353"/>
      <c r="E509" s="345">
        <v>4582</v>
      </c>
      <c r="F509" s="346">
        <f t="shared" si="22"/>
        <v>0</v>
      </c>
      <c r="G509" s="398">
        <v>10.8</v>
      </c>
      <c r="H509" s="413">
        <v>16</v>
      </c>
      <c r="I509" s="391"/>
      <c r="J509" s="391"/>
      <c r="K509" s="393"/>
    </row>
    <row r="510" spans="1:11">
      <c r="A510" s="358"/>
      <c r="B510" s="351" t="s">
        <v>629</v>
      </c>
      <c r="C510" s="375">
        <v>150</v>
      </c>
      <c r="D510" s="353"/>
      <c r="E510" s="345">
        <v>5800</v>
      </c>
      <c r="F510" s="346">
        <f t="shared" si="22"/>
        <v>0</v>
      </c>
      <c r="G510" s="398">
        <v>16.3</v>
      </c>
      <c r="H510" s="413">
        <v>16</v>
      </c>
      <c r="I510" s="391"/>
      <c r="J510" s="391"/>
      <c r="K510" s="393"/>
    </row>
    <row r="511" spans="1:11">
      <c r="A511" s="359"/>
      <c r="B511" s="351" t="s">
        <v>630</v>
      </c>
      <c r="C511" s="375">
        <v>200</v>
      </c>
      <c r="D511" s="353"/>
      <c r="E511" s="345">
        <v>11000</v>
      </c>
      <c r="F511" s="346">
        <f t="shared" si="22"/>
        <v>0</v>
      </c>
      <c r="G511" s="398">
        <v>21.7</v>
      </c>
      <c r="H511" s="413">
        <v>16</v>
      </c>
      <c r="I511" s="391"/>
      <c r="J511" s="391"/>
      <c r="K511" s="393"/>
    </row>
    <row r="512" spans="1:11">
      <c r="A512" s="389" t="s">
        <v>2374</v>
      </c>
      <c r="B512" s="361" t="s">
        <v>631</v>
      </c>
      <c r="C512" s="383" t="s">
        <v>632</v>
      </c>
      <c r="D512" s="353"/>
      <c r="E512" s="345" t="s">
        <v>1904</v>
      </c>
      <c r="F512" s="346"/>
      <c r="G512" s="609"/>
      <c r="H512" s="413"/>
      <c r="I512" s="391"/>
      <c r="J512" s="391"/>
      <c r="K512" s="393"/>
    </row>
    <row r="513" spans="1:11">
      <c r="A513" s="372">
        <v>7930</v>
      </c>
      <c r="B513" s="361" t="s">
        <v>633</v>
      </c>
      <c r="C513" s="364" t="s">
        <v>634</v>
      </c>
      <c r="D513" s="353"/>
      <c r="E513" s="345">
        <v>134</v>
      </c>
      <c r="F513" s="346">
        <f t="shared" si="22"/>
        <v>0</v>
      </c>
      <c r="G513" s="399"/>
      <c r="H513" s="413"/>
      <c r="I513" s="391"/>
      <c r="J513" s="391"/>
      <c r="K513" s="393"/>
    </row>
    <row r="514" spans="1:11">
      <c r="A514" s="358" t="s">
        <v>635</v>
      </c>
      <c r="B514" s="351" t="s">
        <v>636</v>
      </c>
      <c r="C514" s="375">
        <v>2</v>
      </c>
      <c r="D514" s="353"/>
      <c r="E514" s="345">
        <v>157</v>
      </c>
      <c r="F514" s="346">
        <f t="shared" si="22"/>
        <v>0</v>
      </c>
      <c r="G514" s="415"/>
      <c r="H514" s="413"/>
      <c r="I514" s="391"/>
      <c r="J514" s="391"/>
      <c r="K514" s="393"/>
    </row>
    <row r="515" spans="1:11">
      <c r="A515" s="358"/>
      <c r="B515" s="351" t="s">
        <v>637</v>
      </c>
      <c r="C515" s="375">
        <v>3</v>
      </c>
      <c r="D515" s="353"/>
      <c r="E515" s="345">
        <v>188</v>
      </c>
      <c r="F515" s="346">
        <f t="shared" si="22"/>
        <v>0</v>
      </c>
      <c r="G515" s="399"/>
      <c r="H515" s="413"/>
      <c r="I515" s="391"/>
      <c r="J515" s="391"/>
      <c r="K515" s="393"/>
    </row>
    <row r="516" spans="1:11">
      <c r="A516" s="358"/>
      <c r="B516" s="351" t="s">
        <v>638</v>
      </c>
      <c r="C516" s="375">
        <v>5</v>
      </c>
      <c r="D516" s="353"/>
      <c r="E516" s="345">
        <v>239</v>
      </c>
      <c r="F516" s="346">
        <f t="shared" si="22"/>
        <v>0</v>
      </c>
      <c r="G516" s="399"/>
      <c r="H516" s="413"/>
      <c r="I516" s="391"/>
      <c r="J516" s="391"/>
      <c r="K516" s="393"/>
    </row>
    <row r="517" spans="1:11">
      <c r="A517" s="358"/>
      <c r="B517" s="351" t="s">
        <v>639</v>
      </c>
      <c r="C517" s="364">
        <v>7.5</v>
      </c>
      <c r="D517" s="353"/>
      <c r="E517" s="345">
        <v>304</v>
      </c>
      <c r="F517" s="346">
        <f t="shared" si="22"/>
        <v>0</v>
      </c>
      <c r="G517" s="399"/>
      <c r="H517" s="413"/>
      <c r="I517" s="391"/>
      <c r="J517" s="391"/>
      <c r="K517" s="393"/>
    </row>
    <row r="518" spans="1:11">
      <c r="A518" s="358"/>
      <c r="B518" s="351" t="s">
        <v>640</v>
      </c>
      <c r="C518" s="375">
        <v>10</v>
      </c>
      <c r="D518" s="353"/>
      <c r="E518" s="345">
        <v>402</v>
      </c>
      <c r="F518" s="346">
        <f t="shared" si="22"/>
        <v>0</v>
      </c>
      <c r="G518" s="399"/>
      <c r="H518" s="413"/>
      <c r="I518" s="391"/>
      <c r="J518" s="391"/>
      <c r="K518" s="393"/>
    </row>
    <row r="519" spans="1:11">
      <c r="A519" s="358"/>
      <c r="B519" s="351" t="s">
        <v>641</v>
      </c>
      <c r="C519" s="375">
        <v>15</v>
      </c>
      <c r="D519" s="353"/>
      <c r="E519" s="345">
        <v>491</v>
      </c>
      <c r="F519" s="346">
        <f t="shared" si="22"/>
        <v>0</v>
      </c>
      <c r="G519" s="399"/>
      <c r="H519" s="413"/>
      <c r="I519" s="391"/>
      <c r="J519" s="391"/>
      <c r="K519" s="393"/>
    </row>
    <row r="520" spans="1:11">
      <c r="A520" s="358"/>
      <c r="B520" s="351" t="s">
        <v>642</v>
      </c>
      <c r="C520" s="375">
        <v>20</v>
      </c>
      <c r="D520" s="353"/>
      <c r="E520" s="345">
        <v>706</v>
      </c>
      <c r="F520" s="346">
        <f t="shared" si="22"/>
        <v>0</v>
      </c>
      <c r="G520" s="399"/>
      <c r="H520" s="413"/>
      <c r="I520" s="391"/>
      <c r="J520" s="391"/>
      <c r="K520" s="393"/>
    </row>
    <row r="521" spans="1:11">
      <c r="A521" s="358"/>
      <c r="B521" s="351" t="s">
        <v>643</v>
      </c>
      <c r="C521" s="375">
        <v>25</v>
      </c>
      <c r="D521" s="353"/>
      <c r="E521" s="345">
        <v>926</v>
      </c>
      <c r="F521" s="346">
        <f t="shared" si="22"/>
        <v>0</v>
      </c>
      <c r="G521" s="399"/>
      <c r="H521" s="413"/>
      <c r="I521" s="391"/>
      <c r="J521" s="391"/>
      <c r="K521" s="393"/>
    </row>
    <row r="522" spans="1:11">
      <c r="A522" s="358"/>
      <c r="B522" s="351" t="s">
        <v>644</v>
      </c>
      <c r="C522" s="375">
        <v>30</v>
      </c>
      <c r="D522" s="353"/>
      <c r="E522" s="345">
        <v>1272</v>
      </c>
      <c r="F522" s="346">
        <f t="shared" si="22"/>
        <v>0</v>
      </c>
      <c r="G522" s="399"/>
      <c r="H522" s="413"/>
      <c r="I522" s="391"/>
      <c r="J522" s="391"/>
      <c r="K522" s="393"/>
    </row>
    <row r="523" spans="1:11">
      <c r="A523" s="358"/>
      <c r="B523" s="351" t="s">
        <v>645</v>
      </c>
      <c r="C523" s="375">
        <v>40</v>
      </c>
      <c r="D523" s="353"/>
      <c r="E523" s="345">
        <v>1546</v>
      </c>
      <c r="F523" s="346">
        <f t="shared" si="22"/>
        <v>0</v>
      </c>
      <c r="G523" s="399"/>
      <c r="H523" s="399"/>
      <c r="I523" s="391"/>
      <c r="J523" s="391"/>
      <c r="K523" s="393"/>
    </row>
    <row r="524" spans="1:11">
      <c r="A524" s="358"/>
      <c r="B524" s="351" t="s">
        <v>646</v>
      </c>
      <c r="C524" s="375">
        <v>50</v>
      </c>
      <c r="D524" s="353"/>
      <c r="E524" s="345">
        <v>1772</v>
      </c>
      <c r="F524" s="346">
        <f t="shared" si="22"/>
        <v>0</v>
      </c>
      <c r="G524" s="399"/>
      <c r="H524" s="399"/>
      <c r="I524" s="391"/>
      <c r="J524" s="391"/>
      <c r="K524" s="393"/>
    </row>
    <row r="525" spans="1:11">
      <c r="A525" s="358"/>
      <c r="B525" s="351" t="s">
        <v>647</v>
      </c>
      <c r="C525" s="375">
        <v>75</v>
      </c>
      <c r="D525" s="353"/>
      <c r="E525" s="345">
        <v>3064</v>
      </c>
      <c r="F525" s="346">
        <f t="shared" si="22"/>
        <v>0</v>
      </c>
      <c r="G525" s="399"/>
      <c r="H525" s="399"/>
      <c r="I525" s="391"/>
      <c r="J525" s="391"/>
      <c r="K525" s="393"/>
    </row>
    <row r="526" spans="1:11">
      <c r="A526" s="359"/>
      <c r="B526" s="351" t="s">
        <v>648</v>
      </c>
      <c r="C526" s="375">
        <v>100</v>
      </c>
      <c r="D526" s="353"/>
      <c r="E526" s="345">
        <v>5322</v>
      </c>
      <c r="F526" s="346">
        <f t="shared" si="22"/>
        <v>0</v>
      </c>
      <c r="G526" s="399"/>
      <c r="H526" s="399"/>
      <c r="I526" s="391"/>
      <c r="J526" s="391"/>
      <c r="K526" s="393"/>
    </row>
    <row r="527" spans="1:11">
      <c r="A527" s="372">
        <v>7991</v>
      </c>
      <c r="B527" s="361" t="s">
        <v>1849</v>
      </c>
      <c r="C527" s="607" t="s">
        <v>3730</v>
      </c>
      <c r="D527" s="353"/>
      <c r="E527" s="345">
        <v>13517</v>
      </c>
      <c r="F527" s="346">
        <f t="shared" ref="F527:F534" si="23">TRUNC(D527*$K$1/1000)</f>
        <v>0</v>
      </c>
      <c r="G527" s="398" t="s">
        <v>1850</v>
      </c>
      <c r="H527" s="419"/>
      <c r="I527" s="391"/>
      <c r="J527" s="391"/>
      <c r="K527" s="416"/>
    </row>
    <row r="528" spans="1:11">
      <c r="A528" s="358" t="s">
        <v>1851</v>
      </c>
      <c r="B528" s="351" t="s">
        <v>1852</v>
      </c>
      <c r="C528" s="607" t="s">
        <v>3731</v>
      </c>
      <c r="D528" s="353"/>
      <c r="E528" s="345">
        <v>17716</v>
      </c>
      <c r="F528" s="346">
        <f t="shared" si="23"/>
        <v>0</v>
      </c>
      <c r="G528" s="398" t="s">
        <v>1853</v>
      </c>
      <c r="H528" s="419"/>
      <c r="I528" s="391"/>
      <c r="J528" s="391"/>
      <c r="K528" s="416"/>
    </row>
    <row r="529" spans="1:11">
      <c r="A529" s="612"/>
      <c r="B529" s="361" t="s">
        <v>3727</v>
      </c>
      <c r="C529" s="607" t="s">
        <v>3729</v>
      </c>
      <c r="D529" s="353"/>
      <c r="E529" s="376">
        <v>33000</v>
      </c>
      <c r="F529" s="605">
        <f>TRUNC(D529*$K$1/1000)</f>
        <v>0</v>
      </c>
      <c r="G529" s="398" t="s">
        <v>3728</v>
      </c>
      <c r="H529" s="419"/>
      <c r="I529" s="391"/>
      <c r="J529" s="391"/>
      <c r="K529" s="606"/>
    </row>
    <row r="530" spans="1:11">
      <c r="A530" s="389" t="s">
        <v>2379</v>
      </c>
      <c r="B530" s="361" t="s">
        <v>1854</v>
      </c>
      <c r="C530" s="386" t="s">
        <v>1855</v>
      </c>
      <c r="D530" s="353"/>
      <c r="E530" s="345">
        <v>4552</v>
      </c>
      <c r="F530" s="346">
        <f t="shared" si="23"/>
        <v>0</v>
      </c>
      <c r="G530" s="398" t="s">
        <v>1310</v>
      </c>
      <c r="H530" s="413">
        <v>2</v>
      </c>
      <c r="I530" s="391"/>
      <c r="J530" s="391"/>
      <c r="K530" s="416"/>
    </row>
    <row r="531" spans="1:11">
      <c r="A531" s="389" t="s">
        <v>2380</v>
      </c>
      <c r="B531" s="361" t="s">
        <v>1856</v>
      </c>
      <c r="C531" s="386" t="s">
        <v>1857</v>
      </c>
      <c r="D531" s="353"/>
      <c r="E531" s="345">
        <v>30</v>
      </c>
      <c r="F531" s="346">
        <f t="shared" si="23"/>
        <v>0</v>
      </c>
      <c r="G531" s="398" t="s">
        <v>1858</v>
      </c>
      <c r="H531" s="419"/>
      <c r="I531" s="391"/>
      <c r="J531" s="391"/>
      <c r="K531" s="416"/>
    </row>
    <row r="532" spans="1:11">
      <c r="A532" s="365" t="s">
        <v>2381</v>
      </c>
      <c r="B532" s="361" t="s">
        <v>1859</v>
      </c>
      <c r="C532" s="386" t="s">
        <v>781</v>
      </c>
      <c r="D532" s="353"/>
      <c r="E532" s="345">
        <v>2142</v>
      </c>
      <c r="F532" s="346">
        <f t="shared" si="23"/>
        <v>0</v>
      </c>
      <c r="G532" s="398" t="s">
        <v>1860</v>
      </c>
      <c r="H532" s="413">
        <v>10</v>
      </c>
      <c r="I532" s="391"/>
      <c r="J532" s="391"/>
      <c r="K532" s="416"/>
    </row>
    <row r="533" spans="1:11">
      <c r="A533" s="365" t="s">
        <v>2382</v>
      </c>
      <c r="B533" s="361" t="s">
        <v>1861</v>
      </c>
      <c r="C533" s="387" t="s">
        <v>1862</v>
      </c>
      <c r="D533" s="353"/>
      <c r="E533" s="345">
        <v>13</v>
      </c>
      <c r="F533" s="346">
        <f t="shared" si="23"/>
        <v>0</v>
      </c>
      <c r="G533" s="398"/>
      <c r="H533" s="419"/>
      <c r="I533" s="391"/>
      <c r="J533" s="391"/>
      <c r="K533" s="416"/>
    </row>
    <row r="534" spans="1:11">
      <c r="A534" s="372" t="s">
        <v>2383</v>
      </c>
      <c r="B534" s="597" t="s">
        <v>1863</v>
      </c>
      <c r="C534" s="598" t="s">
        <v>1300</v>
      </c>
      <c r="D534" s="599"/>
      <c r="E534" s="600">
        <v>25</v>
      </c>
      <c r="F534" s="601">
        <f t="shared" si="23"/>
        <v>0</v>
      </c>
      <c r="G534" s="602"/>
      <c r="H534" s="602"/>
      <c r="I534" s="603"/>
      <c r="J534" s="603"/>
      <c r="K534" s="604"/>
    </row>
    <row r="535" spans="1:11">
      <c r="A535" s="372">
        <v>8801</v>
      </c>
      <c r="B535" s="361" t="s">
        <v>649</v>
      </c>
      <c r="C535" s="387" t="s">
        <v>650</v>
      </c>
      <c r="D535" s="353"/>
      <c r="E535" s="345">
        <v>97</v>
      </c>
      <c r="F535" s="346">
        <f t="shared" si="22"/>
        <v>0</v>
      </c>
      <c r="G535" s="399"/>
      <c r="H535" s="399"/>
      <c r="I535" s="391"/>
      <c r="J535" s="391"/>
      <c r="K535" s="393"/>
    </row>
    <row r="536" spans="1:11">
      <c r="A536" s="358" t="s">
        <v>651</v>
      </c>
      <c r="B536" s="351" t="s">
        <v>652</v>
      </c>
      <c r="C536" s="387" t="s">
        <v>50</v>
      </c>
      <c r="D536" s="353"/>
      <c r="E536" s="345">
        <v>78</v>
      </c>
      <c r="F536" s="346">
        <f t="shared" si="22"/>
        <v>0</v>
      </c>
      <c r="G536" s="399"/>
      <c r="H536" s="399"/>
      <c r="I536" s="391"/>
      <c r="J536" s="391"/>
      <c r="K536" s="393"/>
    </row>
    <row r="537" spans="1:11">
      <c r="A537" s="358"/>
      <c r="B537" s="351" t="s">
        <v>653</v>
      </c>
      <c r="C537" s="387" t="s">
        <v>654</v>
      </c>
      <c r="D537" s="353"/>
      <c r="E537" s="345">
        <v>76</v>
      </c>
      <c r="F537" s="346">
        <f t="shared" si="22"/>
        <v>0</v>
      </c>
      <c r="G537" s="399"/>
      <c r="H537" s="399"/>
      <c r="I537" s="391"/>
      <c r="J537" s="391"/>
      <c r="K537" s="393"/>
    </row>
    <row r="538" spans="1:11">
      <c r="A538" s="359"/>
      <c r="B538" s="351" t="s">
        <v>655</v>
      </c>
      <c r="C538" s="387" t="s">
        <v>51</v>
      </c>
      <c r="D538" s="353"/>
      <c r="E538" s="345">
        <v>109</v>
      </c>
      <c r="F538" s="346">
        <f t="shared" si="22"/>
        <v>0</v>
      </c>
      <c r="G538" s="399"/>
      <c r="H538" s="399"/>
      <c r="I538" s="391"/>
      <c r="J538" s="391"/>
      <c r="K538" s="393"/>
    </row>
    <row r="539" spans="1:11">
      <c r="A539" s="389" t="s">
        <v>2375</v>
      </c>
      <c r="B539" s="361" t="s">
        <v>656</v>
      </c>
      <c r="C539" s="387" t="s">
        <v>657</v>
      </c>
      <c r="D539" s="353"/>
      <c r="E539" s="345">
        <v>88</v>
      </c>
      <c r="F539" s="346">
        <f t="shared" si="22"/>
        <v>0</v>
      </c>
      <c r="G539" s="399"/>
      <c r="H539" s="399"/>
      <c r="I539" s="391"/>
      <c r="J539" s="391"/>
      <c r="K539" s="393"/>
    </row>
    <row r="540" spans="1:11">
      <c r="A540" s="372">
        <v>8803</v>
      </c>
      <c r="B540" s="361" t="s">
        <v>658</v>
      </c>
      <c r="C540" s="386" t="s">
        <v>659</v>
      </c>
      <c r="D540" s="353">
        <v>23</v>
      </c>
      <c r="E540" s="345">
        <f t="shared" ref="E540:E596" si="24">F540</f>
        <v>26</v>
      </c>
      <c r="F540" s="346">
        <f t="shared" si="22"/>
        <v>26</v>
      </c>
      <c r="G540" s="399"/>
      <c r="H540" s="399"/>
      <c r="I540" s="391"/>
      <c r="J540" s="391"/>
      <c r="K540" s="393"/>
    </row>
    <row r="541" spans="1:11">
      <c r="A541" s="358" t="s">
        <v>660</v>
      </c>
      <c r="B541" s="351" t="s">
        <v>661</v>
      </c>
      <c r="C541" s="386" t="s">
        <v>52</v>
      </c>
      <c r="D541" s="353">
        <v>34</v>
      </c>
      <c r="E541" s="345">
        <f t="shared" si="24"/>
        <v>39</v>
      </c>
      <c r="F541" s="346">
        <f t="shared" si="22"/>
        <v>39</v>
      </c>
      <c r="G541" s="399"/>
      <c r="H541" s="399"/>
      <c r="I541" s="391"/>
      <c r="J541" s="391"/>
      <c r="K541" s="393"/>
    </row>
    <row r="542" spans="1:11">
      <c r="A542" s="358" t="s">
        <v>662</v>
      </c>
      <c r="B542" s="351" t="s">
        <v>663</v>
      </c>
      <c r="C542" s="387" t="s">
        <v>53</v>
      </c>
      <c r="D542" s="353">
        <v>43</v>
      </c>
      <c r="E542" s="345">
        <f t="shared" si="24"/>
        <v>49</v>
      </c>
      <c r="F542" s="346">
        <f t="shared" si="22"/>
        <v>49</v>
      </c>
      <c r="G542" s="399"/>
      <c r="H542" s="399"/>
      <c r="I542" s="391"/>
      <c r="J542" s="391"/>
      <c r="K542" s="393"/>
    </row>
    <row r="543" spans="1:11">
      <c r="A543" s="358"/>
      <c r="B543" s="351" t="s">
        <v>1842</v>
      </c>
      <c r="C543" s="387" t="s">
        <v>1843</v>
      </c>
      <c r="D543" s="353">
        <v>62</v>
      </c>
      <c r="E543" s="345">
        <f t="shared" si="24"/>
        <v>71</v>
      </c>
      <c r="F543" s="346">
        <f t="shared" si="22"/>
        <v>71</v>
      </c>
      <c r="G543" s="399"/>
      <c r="H543" s="399"/>
      <c r="I543" s="391"/>
      <c r="J543" s="391"/>
      <c r="K543" s="393"/>
    </row>
    <row r="544" spans="1:11">
      <c r="A544" s="358"/>
      <c r="B544" s="351" t="s">
        <v>1844</v>
      </c>
      <c r="C544" s="386" t="s">
        <v>54</v>
      </c>
      <c r="D544" s="353">
        <v>78</v>
      </c>
      <c r="E544" s="345">
        <f t="shared" si="24"/>
        <v>90</v>
      </c>
      <c r="F544" s="346">
        <f t="shared" si="22"/>
        <v>90</v>
      </c>
      <c r="G544" s="399"/>
      <c r="H544" s="399"/>
      <c r="I544" s="391"/>
      <c r="J544" s="391"/>
      <c r="K544" s="393"/>
    </row>
    <row r="545" spans="1:11">
      <c r="A545" s="359"/>
      <c r="B545" s="351" t="s">
        <v>1845</v>
      </c>
      <c r="C545" s="386" t="s">
        <v>55</v>
      </c>
      <c r="D545" s="353">
        <v>95</v>
      </c>
      <c r="E545" s="345">
        <f t="shared" si="24"/>
        <v>109</v>
      </c>
      <c r="F545" s="346">
        <f t="shared" si="22"/>
        <v>109</v>
      </c>
      <c r="G545" s="399"/>
      <c r="H545" s="399"/>
      <c r="I545" s="391"/>
      <c r="J545" s="391"/>
      <c r="K545" s="393"/>
    </row>
    <row r="546" spans="1:11">
      <c r="A546" s="372">
        <v>8804</v>
      </c>
      <c r="B546" s="361" t="s">
        <v>1846</v>
      </c>
      <c r="C546" s="387" t="s">
        <v>56</v>
      </c>
      <c r="D546" s="353">
        <v>190</v>
      </c>
      <c r="E546" s="345">
        <f t="shared" si="24"/>
        <v>219</v>
      </c>
      <c r="F546" s="346">
        <f t="shared" si="22"/>
        <v>219</v>
      </c>
      <c r="G546" s="399"/>
      <c r="H546" s="399"/>
      <c r="I546" s="391"/>
      <c r="J546" s="391"/>
      <c r="K546" s="393"/>
    </row>
    <row r="547" spans="1:11">
      <c r="A547" s="358" t="s">
        <v>849</v>
      </c>
      <c r="B547" s="351" t="s">
        <v>850</v>
      </c>
      <c r="C547" s="387" t="s">
        <v>57</v>
      </c>
      <c r="D547" s="353">
        <v>341</v>
      </c>
      <c r="E547" s="345">
        <f t="shared" si="24"/>
        <v>394</v>
      </c>
      <c r="F547" s="346">
        <f t="shared" si="22"/>
        <v>394</v>
      </c>
      <c r="G547" s="399"/>
      <c r="H547" s="399"/>
      <c r="I547" s="391"/>
      <c r="J547" s="391"/>
      <c r="K547" s="393"/>
    </row>
    <row r="548" spans="1:11">
      <c r="A548" s="358"/>
      <c r="B548" s="351" t="s">
        <v>851</v>
      </c>
      <c r="C548" s="387" t="s">
        <v>58</v>
      </c>
      <c r="D548" s="353">
        <v>512</v>
      </c>
      <c r="E548" s="345">
        <f t="shared" si="24"/>
        <v>592</v>
      </c>
      <c r="F548" s="346">
        <f t="shared" si="22"/>
        <v>592</v>
      </c>
      <c r="G548" s="399"/>
      <c r="H548" s="399"/>
      <c r="I548" s="391"/>
      <c r="J548" s="391"/>
      <c r="K548" s="416"/>
    </row>
    <row r="549" spans="1:11">
      <c r="A549" s="358"/>
      <c r="B549" s="351" t="s">
        <v>852</v>
      </c>
      <c r="C549" s="387" t="s">
        <v>59</v>
      </c>
      <c r="D549" s="353">
        <v>703</v>
      </c>
      <c r="E549" s="345">
        <f t="shared" si="24"/>
        <v>813</v>
      </c>
      <c r="F549" s="346">
        <f t="shared" si="22"/>
        <v>813</v>
      </c>
      <c r="G549" s="399"/>
      <c r="H549" s="399"/>
      <c r="I549" s="391"/>
      <c r="J549" s="391"/>
      <c r="K549" s="416"/>
    </row>
    <row r="550" spans="1:11">
      <c r="A550" s="359"/>
      <c r="B550" s="351" t="s">
        <v>1472</v>
      </c>
      <c r="C550" s="387" t="s">
        <v>60</v>
      </c>
      <c r="D550" s="353">
        <v>725</v>
      </c>
      <c r="E550" s="345">
        <f t="shared" si="24"/>
        <v>839</v>
      </c>
      <c r="F550" s="346">
        <f t="shared" si="22"/>
        <v>839</v>
      </c>
      <c r="G550" s="399"/>
      <c r="H550" s="399"/>
      <c r="I550" s="391"/>
      <c r="J550" s="391"/>
      <c r="K550" s="416"/>
    </row>
    <row r="551" spans="1:11">
      <c r="A551" s="372">
        <v>8805</v>
      </c>
      <c r="B551" s="361" t="s">
        <v>1473</v>
      </c>
      <c r="C551" s="387" t="s">
        <v>61</v>
      </c>
      <c r="D551" s="353">
        <v>1298</v>
      </c>
      <c r="E551" s="345">
        <f t="shared" si="24"/>
        <v>1502</v>
      </c>
      <c r="F551" s="346">
        <f t="shared" si="22"/>
        <v>1502</v>
      </c>
      <c r="G551" s="399"/>
      <c r="H551" s="399"/>
      <c r="I551" s="391"/>
      <c r="J551" s="391"/>
      <c r="K551" s="416"/>
    </row>
    <row r="552" spans="1:11">
      <c r="A552" s="358" t="s">
        <v>1474</v>
      </c>
      <c r="B552" s="351" t="s">
        <v>1475</v>
      </c>
      <c r="C552" s="387" t="s">
        <v>62</v>
      </c>
      <c r="D552" s="353">
        <v>1525</v>
      </c>
      <c r="E552" s="345">
        <f t="shared" si="24"/>
        <v>1765</v>
      </c>
      <c r="F552" s="346">
        <f t="shared" si="22"/>
        <v>1765</v>
      </c>
      <c r="G552" s="399"/>
      <c r="H552" s="399"/>
      <c r="I552" s="391"/>
      <c r="J552" s="391"/>
      <c r="K552" s="416"/>
    </row>
    <row r="553" spans="1:11">
      <c r="A553" s="359"/>
      <c r="B553" s="351" t="s">
        <v>1476</v>
      </c>
      <c r="C553" s="387" t="s">
        <v>63</v>
      </c>
      <c r="D553" s="353">
        <v>2143</v>
      </c>
      <c r="E553" s="345">
        <f t="shared" si="24"/>
        <v>2480</v>
      </c>
      <c r="F553" s="346">
        <f t="shared" si="22"/>
        <v>2480</v>
      </c>
      <c r="G553" s="399"/>
      <c r="H553" s="399"/>
      <c r="I553" s="391"/>
      <c r="J553" s="391"/>
      <c r="K553" s="416"/>
    </row>
    <row r="554" spans="1:11">
      <c r="A554" s="372" t="s">
        <v>2376</v>
      </c>
      <c r="B554" s="361" t="s">
        <v>1405</v>
      </c>
      <c r="C554" s="386" t="s">
        <v>64</v>
      </c>
      <c r="D554" s="353">
        <v>379</v>
      </c>
      <c r="E554" s="345">
        <f t="shared" si="24"/>
        <v>438</v>
      </c>
      <c r="F554" s="346">
        <f t="shared" si="22"/>
        <v>438</v>
      </c>
      <c r="G554" s="399"/>
      <c r="H554" s="399"/>
      <c r="I554" s="391"/>
      <c r="J554" s="391"/>
      <c r="K554" s="416"/>
    </row>
    <row r="555" spans="1:11">
      <c r="A555" s="342"/>
      <c r="B555" s="351" t="s">
        <v>1406</v>
      </c>
      <c r="C555" s="386" t="s">
        <v>65</v>
      </c>
      <c r="D555" s="353">
        <v>982</v>
      </c>
      <c r="E555" s="345">
        <f t="shared" si="24"/>
        <v>1136</v>
      </c>
      <c r="F555" s="346">
        <f t="shared" si="22"/>
        <v>1136</v>
      </c>
      <c r="G555" s="399"/>
      <c r="H555" s="399"/>
      <c r="I555" s="391"/>
      <c r="J555" s="391"/>
      <c r="K555" s="416"/>
    </row>
    <row r="556" spans="1:11">
      <c r="A556" s="358"/>
      <c r="B556" s="351" t="s">
        <v>1407</v>
      </c>
      <c r="C556" s="386" t="s">
        <v>66</v>
      </c>
      <c r="D556" s="353">
        <v>1405</v>
      </c>
      <c r="E556" s="345">
        <f t="shared" si="24"/>
        <v>1626</v>
      </c>
      <c r="F556" s="346">
        <f t="shared" si="22"/>
        <v>1626</v>
      </c>
      <c r="G556" s="399"/>
      <c r="H556" s="399"/>
      <c r="I556" s="391"/>
      <c r="J556" s="391"/>
      <c r="K556" s="416"/>
    </row>
    <row r="557" spans="1:11">
      <c r="A557" s="359"/>
      <c r="B557" s="351" t="s">
        <v>1408</v>
      </c>
      <c r="C557" s="386">
        <v>1900760</v>
      </c>
      <c r="D557" s="353">
        <v>1512</v>
      </c>
      <c r="E557" s="345">
        <f t="shared" si="24"/>
        <v>1750</v>
      </c>
      <c r="F557" s="346">
        <f t="shared" si="22"/>
        <v>1750</v>
      </c>
      <c r="G557" s="399"/>
      <c r="H557" s="399"/>
      <c r="I557" s="391"/>
      <c r="J557" s="391"/>
      <c r="K557" s="416"/>
    </row>
    <row r="558" spans="1:11">
      <c r="A558" s="372">
        <v>9010</v>
      </c>
      <c r="B558" s="361" t="s">
        <v>1409</v>
      </c>
      <c r="C558" s="386" t="s">
        <v>3140</v>
      </c>
      <c r="D558" s="353">
        <v>594037</v>
      </c>
      <c r="E558" s="345">
        <f t="shared" si="24"/>
        <v>687716</v>
      </c>
      <c r="F558" s="346">
        <f t="shared" si="22"/>
        <v>687716</v>
      </c>
      <c r="G558" s="398">
        <v>50.1</v>
      </c>
      <c r="H558" s="413">
        <v>36</v>
      </c>
      <c r="I558" s="417"/>
      <c r="J558" s="417"/>
      <c r="K558" s="418"/>
    </row>
    <row r="559" spans="1:11">
      <c r="A559" s="358" t="s">
        <v>1410</v>
      </c>
      <c r="B559" s="351" t="s">
        <v>1411</v>
      </c>
      <c r="C559" s="383">
        <v>448</v>
      </c>
      <c r="D559" s="353">
        <v>1130520</v>
      </c>
      <c r="E559" s="345">
        <f t="shared" si="24"/>
        <v>1308803</v>
      </c>
      <c r="F559" s="346">
        <f t="shared" si="22"/>
        <v>1308803</v>
      </c>
      <c r="G559" s="398">
        <v>101.9</v>
      </c>
      <c r="H559" s="413">
        <v>27</v>
      </c>
      <c r="I559" s="417"/>
      <c r="J559" s="417"/>
      <c r="K559" s="418"/>
    </row>
    <row r="560" spans="1:11">
      <c r="A560" s="358"/>
      <c r="B560" s="351" t="s">
        <v>1412</v>
      </c>
      <c r="C560" s="383">
        <v>746</v>
      </c>
      <c r="D560" s="353">
        <v>1826817</v>
      </c>
      <c r="E560" s="345">
        <f t="shared" si="24"/>
        <v>2114906</v>
      </c>
      <c r="F560" s="346">
        <f t="shared" si="22"/>
        <v>2114906</v>
      </c>
      <c r="G560" s="398">
        <v>163.1</v>
      </c>
      <c r="H560" s="413">
        <v>37</v>
      </c>
      <c r="I560" s="417"/>
      <c r="J560" s="417"/>
      <c r="K560" s="418"/>
    </row>
    <row r="561" spans="1:11">
      <c r="A561" s="358"/>
      <c r="B561" s="351" t="s">
        <v>1413</v>
      </c>
      <c r="C561" s="383">
        <v>895</v>
      </c>
      <c r="D561" s="353">
        <v>2192182</v>
      </c>
      <c r="E561" s="345">
        <f t="shared" si="24"/>
        <v>2537889</v>
      </c>
      <c r="F561" s="346">
        <f t="shared" si="22"/>
        <v>2537889</v>
      </c>
      <c r="G561" s="398">
        <v>222.8</v>
      </c>
      <c r="H561" s="392">
        <v>27</v>
      </c>
      <c r="I561" s="417"/>
      <c r="J561" s="417"/>
      <c r="K561" s="418"/>
    </row>
    <row r="562" spans="1:11">
      <c r="A562" s="358"/>
      <c r="B562" s="351" t="s">
        <v>1414</v>
      </c>
      <c r="C562" s="383">
        <v>1492</v>
      </c>
      <c r="D562" s="353">
        <v>3761552</v>
      </c>
      <c r="E562" s="345">
        <f t="shared" si="24"/>
        <v>4354748</v>
      </c>
      <c r="F562" s="346">
        <f t="shared" si="22"/>
        <v>4354748</v>
      </c>
      <c r="G562" s="398">
        <v>370</v>
      </c>
      <c r="H562" s="392">
        <v>23</v>
      </c>
      <c r="I562" s="417"/>
      <c r="J562" s="417"/>
      <c r="K562" s="418"/>
    </row>
    <row r="563" spans="1:11">
      <c r="A563" s="358"/>
      <c r="B563" s="351" t="s">
        <v>1415</v>
      </c>
      <c r="C563" s="383">
        <v>1641</v>
      </c>
      <c r="D563" s="353">
        <v>4220440</v>
      </c>
      <c r="E563" s="345">
        <f t="shared" si="24"/>
        <v>4886003</v>
      </c>
      <c r="F563" s="346">
        <f t="shared" si="22"/>
        <v>4886003</v>
      </c>
      <c r="G563" s="398">
        <v>409</v>
      </c>
      <c r="H563" s="413">
        <v>23</v>
      </c>
      <c r="I563" s="417"/>
      <c r="J563" s="417"/>
      <c r="K563" s="418"/>
    </row>
    <row r="564" spans="1:11">
      <c r="A564" s="358"/>
      <c r="B564" s="351" t="s">
        <v>1416</v>
      </c>
      <c r="C564" s="383">
        <v>2462</v>
      </c>
      <c r="D564" s="353">
        <v>6465038</v>
      </c>
      <c r="E564" s="345">
        <f t="shared" si="24"/>
        <v>7484574</v>
      </c>
      <c r="F564" s="346">
        <f t="shared" si="22"/>
        <v>7484574</v>
      </c>
      <c r="G564" s="398">
        <v>560.20000000000005</v>
      </c>
      <c r="H564" s="413">
        <v>23</v>
      </c>
      <c r="I564" s="417"/>
      <c r="J564" s="417"/>
      <c r="K564" s="418"/>
    </row>
    <row r="565" spans="1:11">
      <c r="A565" s="358"/>
      <c r="B565" s="351" t="s">
        <v>1417</v>
      </c>
      <c r="C565" s="383">
        <v>2984</v>
      </c>
      <c r="D565" s="353">
        <v>7913649</v>
      </c>
      <c r="E565" s="345">
        <f t="shared" si="24"/>
        <v>9161631</v>
      </c>
      <c r="F565" s="346">
        <f t="shared" si="22"/>
        <v>9161631</v>
      </c>
      <c r="G565" s="398">
        <v>649.4</v>
      </c>
      <c r="H565" s="413">
        <v>23</v>
      </c>
      <c r="I565" s="417"/>
      <c r="J565" s="417"/>
      <c r="K565" s="418"/>
    </row>
    <row r="566" spans="1:11">
      <c r="A566" s="358"/>
      <c r="B566" s="351" t="s">
        <v>2428</v>
      </c>
      <c r="C566" s="383">
        <v>3282</v>
      </c>
      <c r="D566" s="353">
        <v>8705012</v>
      </c>
      <c r="E566" s="345">
        <f t="shared" si="24"/>
        <v>10077792</v>
      </c>
      <c r="F566" s="346">
        <f t="shared" si="22"/>
        <v>10077792</v>
      </c>
      <c r="G566" s="398">
        <v>753.8</v>
      </c>
      <c r="H566" s="413">
        <v>23</v>
      </c>
      <c r="I566" s="417"/>
      <c r="J566" s="417"/>
      <c r="K566" s="418"/>
    </row>
    <row r="567" spans="1:11">
      <c r="A567" s="358"/>
      <c r="B567" s="351" t="s">
        <v>3141</v>
      </c>
      <c r="C567" s="383">
        <v>4476</v>
      </c>
      <c r="D567" s="353">
        <v>11922000</v>
      </c>
      <c r="E567" s="345">
        <f>F567</f>
        <v>13802099</v>
      </c>
      <c r="F567" s="346">
        <f>TRUNC(D567*$K$1/1000)</f>
        <v>13802099</v>
      </c>
      <c r="G567" s="398">
        <v>1268</v>
      </c>
      <c r="H567" s="413">
        <v>23</v>
      </c>
      <c r="I567" s="417"/>
      <c r="J567" s="417"/>
      <c r="K567" s="418"/>
    </row>
    <row r="568" spans="1:11">
      <c r="A568" s="358"/>
      <c r="B568" s="351" t="s">
        <v>3142</v>
      </c>
      <c r="C568" s="383">
        <v>5968</v>
      </c>
      <c r="D568" s="353">
        <v>15968000</v>
      </c>
      <c r="E568" s="345">
        <f>F568</f>
        <v>18486153</v>
      </c>
      <c r="F568" s="346">
        <f>TRUNC(D568*$K$1/1000)</f>
        <v>18486153</v>
      </c>
      <c r="G568" s="398">
        <v>1690</v>
      </c>
      <c r="H568" s="413">
        <v>23</v>
      </c>
      <c r="I568" s="417"/>
      <c r="J568" s="417"/>
      <c r="K568" s="418"/>
    </row>
    <row r="569" spans="1:11">
      <c r="A569" s="358"/>
      <c r="B569" s="351" t="s">
        <v>2429</v>
      </c>
      <c r="C569" s="383">
        <v>8952</v>
      </c>
      <c r="D569" s="353">
        <v>24174625</v>
      </c>
      <c r="E569" s="345">
        <f t="shared" si="24"/>
        <v>27986963</v>
      </c>
      <c r="F569" s="346">
        <f t="shared" si="22"/>
        <v>27986963</v>
      </c>
      <c r="G569" s="398">
        <v>2291.9</v>
      </c>
      <c r="H569" s="413" t="s">
        <v>1532</v>
      </c>
      <c r="I569" s="417"/>
      <c r="J569" s="417"/>
      <c r="K569" s="418"/>
    </row>
    <row r="570" spans="1:11">
      <c r="A570" s="359"/>
      <c r="B570" s="351" t="s">
        <v>1533</v>
      </c>
      <c r="C570" s="383">
        <v>14920</v>
      </c>
      <c r="D570" s="353">
        <v>42379298</v>
      </c>
      <c r="E570" s="345">
        <f t="shared" si="24"/>
        <v>49062513</v>
      </c>
      <c r="F570" s="346">
        <f t="shared" si="22"/>
        <v>49062513</v>
      </c>
      <c r="G570" s="398">
        <v>3819.9</v>
      </c>
      <c r="H570" s="413" t="s">
        <v>1532</v>
      </c>
      <c r="I570" s="417"/>
      <c r="J570" s="417"/>
      <c r="K570" s="418"/>
    </row>
    <row r="571" spans="1:11">
      <c r="A571" s="372" t="s">
        <v>2377</v>
      </c>
      <c r="B571" s="361" t="s">
        <v>1534</v>
      </c>
      <c r="C571" s="387" t="s">
        <v>67</v>
      </c>
      <c r="D571" s="353">
        <v>164656</v>
      </c>
      <c r="E571" s="345">
        <f t="shared" si="24"/>
        <v>190622</v>
      </c>
      <c r="F571" s="346">
        <f t="shared" si="22"/>
        <v>190622</v>
      </c>
      <c r="G571" s="398">
        <v>12.7</v>
      </c>
      <c r="H571" s="413">
        <v>63</v>
      </c>
      <c r="I571" s="417"/>
      <c r="J571" s="417"/>
      <c r="K571" s="418"/>
    </row>
    <row r="572" spans="1:11">
      <c r="A572" s="358"/>
      <c r="B572" s="351" t="s">
        <v>1535</v>
      </c>
      <c r="C572" s="386" t="s">
        <v>68</v>
      </c>
      <c r="D572" s="353">
        <v>256134</v>
      </c>
      <c r="E572" s="345">
        <f t="shared" si="24"/>
        <v>296526</v>
      </c>
      <c r="F572" s="346">
        <f t="shared" si="22"/>
        <v>296526</v>
      </c>
      <c r="G572" s="398">
        <v>19.100000000000001</v>
      </c>
      <c r="H572" s="413">
        <v>63</v>
      </c>
      <c r="I572" s="417"/>
      <c r="J572" s="417"/>
      <c r="K572" s="418"/>
    </row>
    <row r="573" spans="1:11">
      <c r="A573" s="358"/>
      <c r="B573" s="351" t="s">
        <v>1536</v>
      </c>
      <c r="C573" s="387" t="s">
        <v>69</v>
      </c>
      <c r="D573" s="353">
        <v>351272</v>
      </c>
      <c r="E573" s="345">
        <f t="shared" si="24"/>
        <v>406667</v>
      </c>
      <c r="F573" s="346">
        <f t="shared" ref="F573:F627" si="25">TRUNC(D573*$K$1/1000)</f>
        <v>406667</v>
      </c>
      <c r="G573" s="398">
        <v>20.399999999999999</v>
      </c>
      <c r="H573" s="413">
        <v>63</v>
      </c>
      <c r="I573" s="417"/>
      <c r="J573" s="417"/>
      <c r="K573" s="418"/>
    </row>
    <row r="574" spans="1:11">
      <c r="A574" s="358"/>
      <c r="B574" s="351" t="s">
        <v>1537</v>
      </c>
      <c r="C574" s="387" t="s">
        <v>70</v>
      </c>
      <c r="D574" s="353">
        <v>589442</v>
      </c>
      <c r="E574" s="345">
        <f t="shared" si="24"/>
        <v>682397</v>
      </c>
      <c r="F574" s="346">
        <f t="shared" si="25"/>
        <v>682397</v>
      </c>
      <c r="G574" s="398">
        <v>28</v>
      </c>
      <c r="H574" s="413">
        <v>54</v>
      </c>
      <c r="I574" s="417"/>
      <c r="J574" s="417"/>
      <c r="K574" s="418"/>
    </row>
    <row r="575" spans="1:11">
      <c r="A575" s="358"/>
      <c r="B575" s="351" t="s">
        <v>1538</v>
      </c>
      <c r="C575" s="387" t="s">
        <v>71</v>
      </c>
      <c r="D575" s="353">
        <v>1585324</v>
      </c>
      <c r="E575" s="345">
        <f t="shared" si="24"/>
        <v>1835329</v>
      </c>
      <c r="F575" s="346">
        <f t="shared" si="25"/>
        <v>1835329</v>
      </c>
      <c r="G575" s="398">
        <v>91.7</v>
      </c>
      <c r="H575" s="413">
        <v>27</v>
      </c>
      <c r="I575" s="417"/>
      <c r="J575" s="417"/>
      <c r="K575" s="418"/>
    </row>
    <row r="576" spans="1:11">
      <c r="A576" s="358"/>
      <c r="B576" s="351" t="s">
        <v>1539</v>
      </c>
      <c r="C576" s="387" t="s">
        <v>72</v>
      </c>
      <c r="D576" s="353">
        <v>2988257</v>
      </c>
      <c r="E576" s="345">
        <f t="shared" si="24"/>
        <v>3459505</v>
      </c>
      <c r="F576" s="346">
        <f t="shared" si="25"/>
        <v>3459505</v>
      </c>
      <c r="G576" s="398">
        <v>203.7</v>
      </c>
      <c r="H576" s="413">
        <v>23</v>
      </c>
      <c r="I576" s="417"/>
      <c r="J576" s="417"/>
      <c r="K576" s="418"/>
    </row>
    <row r="577" spans="1:11">
      <c r="A577" s="359"/>
      <c r="B577" s="351" t="s">
        <v>1540</v>
      </c>
      <c r="C577" s="387" t="s">
        <v>73</v>
      </c>
      <c r="D577" s="353">
        <v>3361789</v>
      </c>
      <c r="E577" s="345">
        <f t="shared" si="24"/>
        <v>3891943</v>
      </c>
      <c r="F577" s="346">
        <f t="shared" si="25"/>
        <v>3891943</v>
      </c>
      <c r="G577" s="398">
        <v>224.2</v>
      </c>
      <c r="H577" s="413">
        <v>23</v>
      </c>
      <c r="I577" s="417"/>
      <c r="J577" s="417"/>
      <c r="K577" s="418"/>
    </row>
    <row r="578" spans="1:11">
      <c r="A578" s="372">
        <v>9030</v>
      </c>
      <c r="B578" s="351" t="s">
        <v>3836</v>
      </c>
      <c r="C578" s="387" t="s">
        <v>3877</v>
      </c>
      <c r="D578" s="353">
        <v>147125</v>
      </c>
      <c r="E578" s="345">
        <f t="shared" si="24"/>
        <v>170326</v>
      </c>
      <c r="F578" s="346">
        <f t="shared" si="25"/>
        <v>170326</v>
      </c>
      <c r="G578" s="384">
        <v>17.5</v>
      </c>
      <c r="H578" s="413">
        <v>54</v>
      </c>
      <c r="I578" s="417"/>
      <c r="J578" s="417"/>
      <c r="K578" s="418"/>
    </row>
    <row r="579" spans="1:11">
      <c r="A579" s="358" t="s">
        <v>3811</v>
      </c>
      <c r="B579" s="351" t="s">
        <v>3837</v>
      </c>
      <c r="C579" s="387" t="s">
        <v>74</v>
      </c>
      <c r="D579" s="353">
        <v>152200</v>
      </c>
      <c r="E579" s="345">
        <f t="shared" si="24"/>
        <v>176201</v>
      </c>
      <c r="F579" s="346">
        <f t="shared" si="25"/>
        <v>176201</v>
      </c>
      <c r="G579" s="384">
        <v>26.2</v>
      </c>
      <c r="H579" s="413">
        <v>45</v>
      </c>
      <c r="I579" s="417"/>
      <c r="J579" s="417"/>
      <c r="K579" s="418"/>
    </row>
    <row r="580" spans="1:11">
      <c r="A580" s="358"/>
      <c r="B580" s="351" t="s">
        <v>3838</v>
      </c>
      <c r="C580" s="387" t="s">
        <v>75</v>
      </c>
      <c r="D580" s="353">
        <v>200904</v>
      </c>
      <c r="E580" s="345">
        <f t="shared" si="24"/>
        <v>232586</v>
      </c>
      <c r="F580" s="346">
        <f t="shared" si="25"/>
        <v>232586</v>
      </c>
      <c r="G580" s="384">
        <v>36.4</v>
      </c>
      <c r="H580" s="413">
        <v>36</v>
      </c>
      <c r="I580" s="417"/>
      <c r="J580" s="417"/>
      <c r="K580" s="418"/>
    </row>
    <row r="581" spans="1:11">
      <c r="A581" s="358"/>
      <c r="B581" s="351" t="s">
        <v>3839</v>
      </c>
      <c r="C581" s="387" t="s">
        <v>76</v>
      </c>
      <c r="D581" s="353">
        <v>255696</v>
      </c>
      <c r="E581" s="345">
        <f t="shared" si="24"/>
        <v>296019</v>
      </c>
      <c r="F581" s="346">
        <f t="shared" si="25"/>
        <v>296019</v>
      </c>
      <c r="G581" s="384">
        <v>50.9</v>
      </c>
      <c r="H581" s="413">
        <v>36</v>
      </c>
      <c r="I581" s="417"/>
      <c r="J581" s="417"/>
      <c r="K581" s="418"/>
    </row>
    <row r="582" spans="1:11">
      <c r="A582" s="358"/>
      <c r="B582" s="351" t="s">
        <v>3840</v>
      </c>
      <c r="C582" s="387" t="s">
        <v>77</v>
      </c>
      <c r="D582" s="353">
        <v>316577</v>
      </c>
      <c r="E582" s="345">
        <f t="shared" si="24"/>
        <v>366501</v>
      </c>
      <c r="F582" s="346">
        <f t="shared" si="25"/>
        <v>366501</v>
      </c>
      <c r="G582" s="384">
        <v>65.5</v>
      </c>
      <c r="H582" s="413">
        <v>32</v>
      </c>
      <c r="I582" s="417"/>
      <c r="J582" s="417"/>
      <c r="K582" s="418"/>
    </row>
    <row r="583" spans="1:11">
      <c r="A583" s="358"/>
      <c r="B583" s="351" t="s">
        <v>3841</v>
      </c>
      <c r="C583" s="387" t="s">
        <v>78</v>
      </c>
      <c r="D583" s="353">
        <v>347018</v>
      </c>
      <c r="E583" s="345">
        <f t="shared" si="24"/>
        <v>401742</v>
      </c>
      <c r="F583" s="346">
        <f t="shared" si="25"/>
        <v>401742</v>
      </c>
      <c r="G583" s="384">
        <v>72.8</v>
      </c>
      <c r="H583" s="413">
        <v>32</v>
      </c>
      <c r="I583" s="417"/>
      <c r="J583" s="417"/>
      <c r="K583" s="418"/>
    </row>
    <row r="584" spans="1:11">
      <c r="A584" s="358"/>
      <c r="B584" s="351" t="s">
        <v>3842</v>
      </c>
      <c r="C584" s="387" t="s">
        <v>79</v>
      </c>
      <c r="D584" s="353">
        <v>499218</v>
      </c>
      <c r="E584" s="345">
        <f t="shared" si="24"/>
        <v>577944</v>
      </c>
      <c r="F584" s="346">
        <f t="shared" si="25"/>
        <v>577944</v>
      </c>
      <c r="G584" s="384">
        <v>116.4</v>
      </c>
      <c r="H584" s="413">
        <v>27</v>
      </c>
      <c r="I584" s="417"/>
      <c r="J584" s="417"/>
      <c r="K584" s="418"/>
    </row>
    <row r="585" spans="1:11">
      <c r="A585" s="358"/>
      <c r="B585" s="351" t="s">
        <v>3843</v>
      </c>
      <c r="C585" s="387" t="s">
        <v>3878</v>
      </c>
      <c r="D585" s="353">
        <v>629094</v>
      </c>
      <c r="E585" s="345">
        <f t="shared" si="24"/>
        <v>728302</v>
      </c>
      <c r="F585" s="346">
        <f t="shared" si="25"/>
        <v>728302</v>
      </c>
      <c r="G585" s="384">
        <v>145.5</v>
      </c>
      <c r="H585" s="413">
        <v>27</v>
      </c>
      <c r="I585" s="417"/>
      <c r="J585" s="417"/>
      <c r="K585" s="418"/>
    </row>
    <row r="586" spans="1:11">
      <c r="A586" s="359"/>
      <c r="B586" s="351" t="s">
        <v>3844</v>
      </c>
      <c r="C586" s="387" t="s">
        <v>3879</v>
      </c>
      <c r="D586" s="353">
        <v>1418908</v>
      </c>
      <c r="E586" s="345">
        <f t="shared" si="24"/>
        <v>1642669</v>
      </c>
      <c r="F586" s="346">
        <f t="shared" si="25"/>
        <v>1642669</v>
      </c>
      <c r="G586" s="384">
        <v>349.2</v>
      </c>
      <c r="H586" s="413">
        <v>18</v>
      </c>
      <c r="I586" s="417"/>
      <c r="J586" s="417"/>
      <c r="K586" s="418"/>
    </row>
    <row r="587" spans="1:11">
      <c r="A587" s="372">
        <v>9040</v>
      </c>
      <c r="B587" s="361" t="s">
        <v>3845</v>
      </c>
      <c r="C587" s="386" t="s">
        <v>2437</v>
      </c>
      <c r="D587" s="353">
        <v>21306</v>
      </c>
      <c r="E587" s="345">
        <f t="shared" si="24"/>
        <v>24665</v>
      </c>
      <c r="F587" s="346">
        <f t="shared" si="25"/>
        <v>24665</v>
      </c>
      <c r="G587" s="398">
        <v>1.3</v>
      </c>
      <c r="H587" s="413">
        <v>63</v>
      </c>
      <c r="I587" s="417"/>
      <c r="J587" s="417"/>
      <c r="K587" s="418"/>
    </row>
    <row r="588" spans="1:11">
      <c r="A588" s="342" t="s">
        <v>2378</v>
      </c>
      <c r="B588" s="351" t="s">
        <v>3846</v>
      </c>
      <c r="C588" s="375">
        <v>30</v>
      </c>
      <c r="D588" s="353">
        <v>33483</v>
      </c>
      <c r="E588" s="345">
        <f t="shared" si="24"/>
        <v>38763</v>
      </c>
      <c r="F588" s="346">
        <f t="shared" si="25"/>
        <v>38763</v>
      </c>
      <c r="G588" s="398">
        <v>3.8</v>
      </c>
      <c r="H588" s="413">
        <v>63</v>
      </c>
      <c r="I588" s="417"/>
      <c r="J588" s="417"/>
      <c r="K588" s="418"/>
    </row>
    <row r="589" spans="1:11">
      <c r="A589" s="358" t="s">
        <v>2438</v>
      </c>
      <c r="B589" s="351" t="s">
        <v>3847</v>
      </c>
      <c r="C589" s="375">
        <v>50</v>
      </c>
      <c r="D589" s="353">
        <v>54791</v>
      </c>
      <c r="E589" s="345">
        <f t="shared" si="24"/>
        <v>63431</v>
      </c>
      <c r="F589" s="346">
        <f t="shared" si="25"/>
        <v>63431</v>
      </c>
      <c r="G589" s="398">
        <v>7.1</v>
      </c>
      <c r="H589" s="413">
        <v>63</v>
      </c>
      <c r="I589" s="417"/>
      <c r="J589" s="417"/>
      <c r="K589" s="418"/>
    </row>
    <row r="590" spans="1:11">
      <c r="A590" s="358"/>
      <c r="B590" s="351" t="s">
        <v>3848</v>
      </c>
      <c r="C590" s="375">
        <v>60</v>
      </c>
      <c r="D590" s="353">
        <v>65446</v>
      </c>
      <c r="E590" s="345">
        <f t="shared" si="24"/>
        <v>75766</v>
      </c>
      <c r="F590" s="346">
        <f t="shared" si="25"/>
        <v>75766</v>
      </c>
      <c r="G590" s="398">
        <v>7.6</v>
      </c>
      <c r="H590" s="413">
        <v>63</v>
      </c>
      <c r="I590" s="417"/>
      <c r="J590" s="417"/>
      <c r="K590" s="418"/>
    </row>
    <row r="591" spans="1:11">
      <c r="A591" s="358"/>
      <c r="B591" s="351" t="s">
        <v>3849</v>
      </c>
      <c r="C591" s="375">
        <v>100</v>
      </c>
      <c r="D591" s="353">
        <v>136979</v>
      </c>
      <c r="E591" s="345">
        <f t="shared" si="24"/>
        <v>158580</v>
      </c>
      <c r="F591" s="346">
        <f t="shared" si="25"/>
        <v>158580</v>
      </c>
      <c r="G591" s="398">
        <v>12.7</v>
      </c>
      <c r="H591" s="413">
        <v>63</v>
      </c>
      <c r="I591" s="417"/>
      <c r="J591" s="417"/>
      <c r="K591" s="418"/>
    </row>
    <row r="592" spans="1:11">
      <c r="A592" s="358"/>
      <c r="B592" s="351" t="s">
        <v>3850</v>
      </c>
      <c r="C592" s="375">
        <v>120</v>
      </c>
      <c r="D592" s="353">
        <v>164482</v>
      </c>
      <c r="E592" s="345">
        <f t="shared" si="24"/>
        <v>190420</v>
      </c>
      <c r="F592" s="346">
        <f t="shared" si="25"/>
        <v>190420</v>
      </c>
      <c r="G592" s="398">
        <v>15.3</v>
      </c>
      <c r="H592" s="413">
        <v>63</v>
      </c>
      <c r="I592" s="417"/>
      <c r="J592" s="417"/>
      <c r="K592" s="418"/>
    </row>
    <row r="593" spans="1:11">
      <c r="A593" s="358"/>
      <c r="B593" s="351" t="s">
        <v>3851</v>
      </c>
      <c r="C593" s="375">
        <v>200</v>
      </c>
      <c r="D593" s="353">
        <v>274137</v>
      </c>
      <c r="E593" s="345">
        <f t="shared" si="24"/>
        <v>317368</v>
      </c>
      <c r="F593" s="346">
        <f t="shared" si="25"/>
        <v>317368</v>
      </c>
      <c r="G593" s="398">
        <v>25.5</v>
      </c>
      <c r="H593" s="413">
        <v>63</v>
      </c>
      <c r="I593" s="417"/>
      <c r="J593" s="417"/>
      <c r="K593" s="418"/>
    </row>
    <row r="594" spans="1:11">
      <c r="A594" s="359"/>
      <c r="B594" s="351" t="s">
        <v>3852</v>
      </c>
      <c r="C594" s="375" t="s">
        <v>2439</v>
      </c>
      <c r="D594" s="353">
        <v>342672</v>
      </c>
      <c r="E594" s="345">
        <f t="shared" si="24"/>
        <v>396711</v>
      </c>
      <c r="F594" s="346">
        <f t="shared" si="25"/>
        <v>396711</v>
      </c>
      <c r="G594" s="398">
        <v>31.8</v>
      </c>
      <c r="H594" s="413">
        <v>63</v>
      </c>
      <c r="I594" s="417"/>
      <c r="J594" s="417"/>
      <c r="K594" s="418"/>
    </row>
    <row r="595" spans="1:11">
      <c r="A595" s="360" t="s">
        <v>3812</v>
      </c>
      <c r="B595" s="361" t="s">
        <v>3853</v>
      </c>
      <c r="C595" s="386" t="s">
        <v>2440</v>
      </c>
      <c r="D595" s="353">
        <v>140263</v>
      </c>
      <c r="E595" s="345">
        <f t="shared" si="24"/>
        <v>162382</v>
      </c>
      <c r="F595" s="346">
        <f t="shared" si="25"/>
        <v>162382</v>
      </c>
      <c r="G595" s="398">
        <v>9.5</v>
      </c>
      <c r="H595" s="413">
        <v>81</v>
      </c>
      <c r="I595" s="417"/>
      <c r="J595" s="417"/>
      <c r="K595" s="418"/>
    </row>
    <row r="596" spans="1:11">
      <c r="A596" s="358" t="s">
        <v>2441</v>
      </c>
      <c r="B596" s="351" t="s">
        <v>3854</v>
      </c>
      <c r="C596" s="386" t="s">
        <v>80</v>
      </c>
      <c r="D596" s="353">
        <v>225642</v>
      </c>
      <c r="E596" s="345">
        <f t="shared" si="24"/>
        <v>261225</v>
      </c>
      <c r="F596" s="346">
        <f t="shared" si="25"/>
        <v>261225</v>
      </c>
      <c r="G596" s="398">
        <v>19.100000000000001</v>
      </c>
      <c r="H596" s="413">
        <v>73</v>
      </c>
      <c r="I596" s="417"/>
      <c r="J596" s="417"/>
      <c r="K596" s="418"/>
    </row>
    <row r="597" spans="1:11">
      <c r="A597" s="381"/>
      <c r="B597" s="351" t="s">
        <v>3855</v>
      </c>
      <c r="C597" s="386" t="s">
        <v>81</v>
      </c>
      <c r="D597" s="353">
        <v>409613</v>
      </c>
      <c r="E597" s="345">
        <f t="shared" ref="E597:E607" si="26">F597</f>
        <v>474208</v>
      </c>
      <c r="F597" s="346">
        <f t="shared" si="25"/>
        <v>474208</v>
      </c>
      <c r="G597" s="398">
        <v>57.3</v>
      </c>
      <c r="H597" s="413">
        <v>63</v>
      </c>
      <c r="I597" s="417"/>
      <c r="J597" s="417"/>
      <c r="K597" s="418"/>
    </row>
    <row r="598" spans="1:11">
      <c r="A598" s="372">
        <v>9060</v>
      </c>
      <c r="B598" s="361" t="s">
        <v>3856</v>
      </c>
      <c r="C598" s="387" t="s">
        <v>2442</v>
      </c>
      <c r="D598" s="353"/>
      <c r="E598" s="345"/>
      <c r="F598" s="346"/>
      <c r="G598" s="413"/>
      <c r="H598" s="419"/>
      <c r="I598" s="417"/>
      <c r="J598" s="417"/>
      <c r="K598" s="418"/>
    </row>
    <row r="599" spans="1:11">
      <c r="A599" s="358" t="s">
        <v>2443</v>
      </c>
      <c r="B599" s="351" t="s">
        <v>3857</v>
      </c>
      <c r="C599" s="387" t="s">
        <v>2444</v>
      </c>
      <c r="D599" s="353">
        <v>54725</v>
      </c>
      <c r="E599" s="345">
        <f t="shared" si="26"/>
        <v>63355</v>
      </c>
      <c r="F599" s="346">
        <f t="shared" si="25"/>
        <v>63355</v>
      </c>
      <c r="G599" s="419"/>
      <c r="H599" s="419"/>
      <c r="I599" s="417"/>
      <c r="J599" s="417"/>
      <c r="K599" s="418"/>
    </row>
    <row r="600" spans="1:11">
      <c r="A600" s="358"/>
      <c r="B600" s="351" t="s">
        <v>3858</v>
      </c>
      <c r="C600" s="386" t="s">
        <v>2445</v>
      </c>
      <c r="D600" s="353">
        <v>79407</v>
      </c>
      <c r="E600" s="345">
        <f t="shared" si="26"/>
        <v>91929</v>
      </c>
      <c r="F600" s="346">
        <f t="shared" si="25"/>
        <v>91929</v>
      </c>
      <c r="G600" s="419"/>
      <c r="H600" s="419"/>
      <c r="I600" s="417"/>
      <c r="J600" s="417"/>
      <c r="K600" s="418"/>
    </row>
    <row r="601" spans="1:11">
      <c r="A601" s="358"/>
      <c r="B601" s="351" t="s">
        <v>3859</v>
      </c>
      <c r="C601" s="386" t="s">
        <v>2446</v>
      </c>
      <c r="D601" s="353">
        <v>150766</v>
      </c>
      <c r="E601" s="345">
        <f t="shared" si="26"/>
        <v>174541</v>
      </c>
      <c r="F601" s="346">
        <f t="shared" si="25"/>
        <v>174541</v>
      </c>
      <c r="G601" s="419"/>
      <c r="H601" s="419"/>
      <c r="I601" s="417"/>
      <c r="J601" s="417"/>
      <c r="K601" s="418"/>
    </row>
    <row r="602" spans="1:11">
      <c r="A602" s="358"/>
      <c r="B602" s="351" t="s">
        <v>3860</v>
      </c>
      <c r="C602" s="386" t="s">
        <v>2447</v>
      </c>
      <c r="D602" s="353">
        <v>202811</v>
      </c>
      <c r="E602" s="345">
        <f t="shared" si="26"/>
        <v>234794</v>
      </c>
      <c r="F602" s="346">
        <f t="shared" si="25"/>
        <v>234794</v>
      </c>
      <c r="G602" s="419"/>
      <c r="H602" s="419"/>
      <c r="I602" s="417"/>
      <c r="J602" s="417"/>
      <c r="K602" s="418"/>
    </row>
    <row r="603" spans="1:11">
      <c r="A603" s="359"/>
      <c r="B603" s="351" t="s">
        <v>3861</v>
      </c>
      <c r="C603" s="386" t="s">
        <v>2448</v>
      </c>
      <c r="D603" s="353">
        <v>321862</v>
      </c>
      <c r="E603" s="345">
        <f t="shared" si="26"/>
        <v>372619</v>
      </c>
      <c r="F603" s="346">
        <f t="shared" si="25"/>
        <v>372619</v>
      </c>
      <c r="G603" s="398">
        <v>3.8</v>
      </c>
      <c r="H603" s="413">
        <v>45</v>
      </c>
      <c r="I603" s="417"/>
      <c r="J603" s="417"/>
      <c r="K603" s="418"/>
    </row>
    <row r="604" spans="1:11">
      <c r="A604" s="360" t="s">
        <v>3813</v>
      </c>
      <c r="B604" s="361" t="s">
        <v>3862</v>
      </c>
      <c r="C604" s="387" t="s">
        <v>82</v>
      </c>
      <c r="D604" s="353"/>
      <c r="E604" s="345">
        <f t="shared" si="26"/>
        <v>0</v>
      </c>
      <c r="F604" s="346">
        <f t="shared" si="25"/>
        <v>0</v>
      </c>
      <c r="G604" s="398">
        <v>0.6</v>
      </c>
      <c r="H604" s="413">
        <v>81</v>
      </c>
      <c r="I604" s="417"/>
      <c r="J604" s="417"/>
      <c r="K604" s="418"/>
    </row>
    <row r="605" spans="1:11">
      <c r="A605" s="358"/>
      <c r="B605" s="351" t="s">
        <v>3863</v>
      </c>
      <c r="C605" s="387" t="s">
        <v>83</v>
      </c>
      <c r="D605" s="353"/>
      <c r="E605" s="345">
        <f t="shared" si="26"/>
        <v>0</v>
      </c>
      <c r="F605" s="346">
        <f t="shared" si="25"/>
        <v>0</v>
      </c>
      <c r="G605" s="398">
        <v>1.3</v>
      </c>
      <c r="H605" s="413">
        <v>73</v>
      </c>
      <c r="I605" s="417"/>
      <c r="J605" s="417"/>
      <c r="K605" s="418"/>
    </row>
    <row r="606" spans="1:11">
      <c r="A606" s="358"/>
      <c r="B606" s="351" t="s">
        <v>3864</v>
      </c>
      <c r="C606" s="387" t="s">
        <v>84</v>
      </c>
      <c r="D606" s="353">
        <v>26291</v>
      </c>
      <c r="E606" s="345">
        <f t="shared" si="26"/>
        <v>30437</v>
      </c>
      <c r="F606" s="346">
        <f t="shared" si="25"/>
        <v>30437</v>
      </c>
      <c r="G606" s="398">
        <v>1.9</v>
      </c>
      <c r="H606" s="413">
        <v>63</v>
      </c>
      <c r="I606" s="417"/>
      <c r="J606" s="417"/>
      <c r="K606" s="418"/>
    </row>
    <row r="607" spans="1:11">
      <c r="A607" s="359"/>
      <c r="B607" s="351" t="s">
        <v>3865</v>
      </c>
      <c r="C607" s="387" t="s">
        <v>85</v>
      </c>
      <c r="D607" s="353">
        <v>34649</v>
      </c>
      <c r="E607" s="345">
        <f t="shared" si="26"/>
        <v>40113</v>
      </c>
      <c r="F607" s="346">
        <f t="shared" si="25"/>
        <v>40113</v>
      </c>
      <c r="G607" s="398">
        <v>2.5</v>
      </c>
      <c r="H607" s="413">
        <v>63</v>
      </c>
      <c r="I607" s="417"/>
      <c r="J607" s="417"/>
      <c r="K607" s="418"/>
    </row>
    <row r="608" spans="1:11">
      <c r="A608" s="372">
        <v>9080</v>
      </c>
      <c r="B608" s="361" t="s">
        <v>3816</v>
      </c>
      <c r="C608" s="386" t="s">
        <v>3814</v>
      </c>
      <c r="D608" s="353"/>
      <c r="E608" s="345">
        <v>29077</v>
      </c>
      <c r="F608" s="346">
        <f t="shared" si="25"/>
        <v>0</v>
      </c>
      <c r="G608" s="398"/>
      <c r="H608" s="419"/>
      <c r="I608" s="417"/>
      <c r="J608" s="417"/>
      <c r="K608" s="418"/>
    </row>
    <row r="609" spans="1:11">
      <c r="A609" s="358" t="s">
        <v>1353</v>
      </c>
      <c r="B609" s="351" t="s">
        <v>3817</v>
      </c>
      <c r="C609" s="386" t="s">
        <v>3815</v>
      </c>
      <c r="D609" s="353"/>
      <c r="E609" s="345">
        <v>36222</v>
      </c>
      <c r="F609" s="346">
        <f t="shared" si="25"/>
        <v>0</v>
      </c>
      <c r="G609" s="398"/>
      <c r="H609" s="419"/>
      <c r="I609" s="417"/>
      <c r="J609" s="417"/>
      <c r="K609" s="418"/>
    </row>
    <row r="610" spans="1:11">
      <c r="A610" s="358"/>
      <c r="B610" s="351" t="s">
        <v>3818</v>
      </c>
      <c r="C610" s="386" t="s">
        <v>3866</v>
      </c>
      <c r="D610" s="353"/>
      <c r="E610" s="345">
        <v>40986</v>
      </c>
      <c r="F610" s="346">
        <f t="shared" si="25"/>
        <v>0</v>
      </c>
      <c r="G610" s="398"/>
      <c r="H610" s="419"/>
      <c r="I610" s="417"/>
      <c r="J610" s="417"/>
      <c r="K610" s="418"/>
    </row>
    <row r="611" spans="1:11">
      <c r="A611" s="358"/>
      <c r="B611" s="351" t="s">
        <v>3819</v>
      </c>
      <c r="C611" s="386" t="s">
        <v>3867</v>
      </c>
      <c r="D611" s="353"/>
      <c r="E611" s="345">
        <v>48812</v>
      </c>
      <c r="F611" s="346">
        <f t="shared" si="25"/>
        <v>0</v>
      </c>
      <c r="G611" s="398"/>
      <c r="H611" s="419"/>
      <c r="I611" s="417"/>
      <c r="J611" s="417"/>
      <c r="K611" s="418"/>
    </row>
    <row r="612" spans="1:11">
      <c r="A612" s="358"/>
      <c r="B612" s="351" t="s">
        <v>3820</v>
      </c>
      <c r="C612" s="386" t="s">
        <v>3868</v>
      </c>
      <c r="D612" s="353"/>
      <c r="E612" s="345">
        <v>60174</v>
      </c>
      <c r="F612" s="346">
        <f t="shared" si="25"/>
        <v>0</v>
      </c>
      <c r="G612" s="398"/>
      <c r="H612" s="419"/>
      <c r="I612" s="417"/>
      <c r="J612" s="417"/>
      <c r="K612" s="418"/>
    </row>
    <row r="613" spans="1:11">
      <c r="A613" s="358"/>
      <c r="B613" s="351" t="s">
        <v>3821</v>
      </c>
      <c r="C613" s="386" t="s">
        <v>3869</v>
      </c>
      <c r="D613" s="353"/>
      <c r="E613" s="345">
        <v>77426</v>
      </c>
      <c r="F613" s="346">
        <f t="shared" si="25"/>
        <v>0</v>
      </c>
      <c r="G613" s="398"/>
      <c r="H613" s="419"/>
      <c r="I613" s="417"/>
      <c r="J613" s="417"/>
      <c r="K613" s="418"/>
    </row>
    <row r="614" spans="1:11">
      <c r="A614" s="358"/>
      <c r="B614" s="351" t="s">
        <v>3822</v>
      </c>
      <c r="C614" s="386" t="s">
        <v>3870</v>
      </c>
      <c r="D614" s="353"/>
      <c r="E614" s="345">
        <v>106041</v>
      </c>
      <c r="F614" s="346">
        <f t="shared" si="25"/>
        <v>0</v>
      </c>
      <c r="G614" s="398"/>
      <c r="H614" s="419"/>
      <c r="I614" s="417"/>
      <c r="J614" s="417"/>
      <c r="K614" s="418"/>
    </row>
    <row r="615" spans="1:11">
      <c r="A615" s="358"/>
      <c r="B615" s="351" t="s">
        <v>3823</v>
      </c>
      <c r="C615" s="386" t="s">
        <v>3871</v>
      </c>
      <c r="D615" s="353"/>
      <c r="E615" s="345">
        <v>140967</v>
      </c>
      <c r="F615" s="346">
        <f t="shared" si="25"/>
        <v>0</v>
      </c>
      <c r="G615" s="398"/>
      <c r="H615" s="419"/>
      <c r="I615" s="417"/>
      <c r="J615" s="417"/>
      <c r="K615" s="418"/>
    </row>
    <row r="616" spans="1:11">
      <c r="A616" s="358"/>
      <c r="B616" s="351" t="s">
        <v>3824</v>
      </c>
      <c r="C616" s="386" t="s">
        <v>3872</v>
      </c>
      <c r="D616" s="353"/>
      <c r="E616" s="345">
        <v>179259</v>
      </c>
      <c r="F616" s="346">
        <f t="shared" si="25"/>
        <v>0</v>
      </c>
      <c r="G616" s="398"/>
      <c r="H616" s="419"/>
      <c r="I616" s="417"/>
      <c r="J616" s="417"/>
      <c r="K616" s="418"/>
    </row>
    <row r="617" spans="1:11">
      <c r="A617" s="358"/>
      <c r="B617" s="351" t="s">
        <v>3825</v>
      </c>
      <c r="C617" s="386" t="s">
        <v>3873</v>
      </c>
      <c r="D617" s="353"/>
      <c r="E617" s="345">
        <v>249111</v>
      </c>
      <c r="F617" s="346">
        <f t="shared" si="25"/>
        <v>0</v>
      </c>
      <c r="G617" s="398"/>
      <c r="H617" s="419"/>
      <c r="I617" s="417"/>
      <c r="J617" s="417"/>
      <c r="K617" s="418"/>
    </row>
    <row r="618" spans="1:11">
      <c r="A618" s="358"/>
      <c r="B618" s="361" t="s">
        <v>3826</v>
      </c>
      <c r="C618" s="386" t="s">
        <v>3874</v>
      </c>
      <c r="D618" s="353"/>
      <c r="E618" s="345">
        <v>363568</v>
      </c>
      <c r="F618" s="346">
        <f t="shared" si="25"/>
        <v>0</v>
      </c>
      <c r="G618" s="398"/>
      <c r="H618" s="419"/>
      <c r="I618" s="417"/>
      <c r="J618" s="417"/>
      <c r="K618" s="418"/>
    </row>
    <row r="619" spans="1:11">
      <c r="A619" s="358"/>
      <c r="B619" s="351" t="s">
        <v>3827</v>
      </c>
      <c r="C619" s="386" t="s">
        <v>3875</v>
      </c>
      <c r="D619" s="353"/>
      <c r="E619" s="345">
        <v>471291</v>
      </c>
      <c r="F619" s="346">
        <f t="shared" si="25"/>
        <v>0</v>
      </c>
      <c r="G619" s="398"/>
      <c r="H619" s="419"/>
      <c r="I619" s="417"/>
      <c r="J619" s="417"/>
      <c r="K619" s="418"/>
    </row>
    <row r="620" spans="1:11">
      <c r="A620" s="359"/>
      <c r="B620" s="351" t="s">
        <v>3828</v>
      </c>
      <c r="C620" s="386" t="s">
        <v>3876</v>
      </c>
      <c r="D620" s="353"/>
      <c r="E620" s="345">
        <v>579014</v>
      </c>
      <c r="F620" s="346">
        <f t="shared" si="25"/>
        <v>0</v>
      </c>
      <c r="G620" s="398"/>
      <c r="H620" s="419"/>
      <c r="I620" s="417"/>
      <c r="J620" s="417"/>
      <c r="K620" s="418"/>
    </row>
    <row r="621" spans="1:11">
      <c r="A621" s="358">
        <v>9090</v>
      </c>
      <c r="B621" s="361" t="s">
        <v>3829</v>
      </c>
      <c r="C621" s="386" t="s">
        <v>1847</v>
      </c>
      <c r="D621" s="353"/>
      <c r="E621" s="345">
        <v>562656</v>
      </c>
      <c r="F621" s="346">
        <f t="shared" si="25"/>
        <v>0</v>
      </c>
      <c r="G621" s="398">
        <v>123.8</v>
      </c>
      <c r="H621" s="413">
        <v>29</v>
      </c>
      <c r="I621" s="417"/>
      <c r="J621" s="417"/>
      <c r="K621" s="418"/>
    </row>
    <row r="622" spans="1:11">
      <c r="A622" s="358" t="s">
        <v>1848</v>
      </c>
      <c r="B622" s="351" t="s">
        <v>3830</v>
      </c>
      <c r="C622" s="375">
        <v>1000</v>
      </c>
      <c r="D622" s="353"/>
      <c r="E622" s="345">
        <v>753321</v>
      </c>
      <c r="F622" s="346">
        <f t="shared" si="25"/>
        <v>0</v>
      </c>
      <c r="G622" s="398">
        <v>152.4</v>
      </c>
      <c r="H622" s="413">
        <v>29</v>
      </c>
      <c r="I622" s="417"/>
      <c r="J622" s="417"/>
      <c r="K622" s="418"/>
    </row>
    <row r="623" spans="1:11">
      <c r="A623" s="358"/>
      <c r="B623" s="351" t="s">
        <v>3831</v>
      </c>
      <c r="C623" s="375">
        <v>1200</v>
      </c>
      <c r="D623" s="353"/>
      <c r="E623" s="345">
        <v>795900</v>
      </c>
      <c r="F623" s="346">
        <f t="shared" si="25"/>
        <v>0</v>
      </c>
      <c r="G623" s="398">
        <v>208.3</v>
      </c>
      <c r="H623" s="413">
        <v>25</v>
      </c>
      <c r="I623" s="417"/>
      <c r="J623" s="417"/>
      <c r="K623" s="418"/>
    </row>
    <row r="624" spans="1:11">
      <c r="A624" s="358"/>
      <c r="B624" s="351" t="s">
        <v>3832</v>
      </c>
      <c r="C624" s="375">
        <v>1300</v>
      </c>
      <c r="D624" s="353"/>
      <c r="E624" s="345">
        <v>863278</v>
      </c>
      <c r="F624" s="346">
        <f t="shared" si="25"/>
        <v>0</v>
      </c>
      <c r="G624" s="398">
        <v>225.4</v>
      </c>
      <c r="H624" s="413">
        <v>25</v>
      </c>
      <c r="I624" s="417"/>
      <c r="J624" s="417"/>
      <c r="K624" s="418"/>
    </row>
    <row r="625" spans="1:11">
      <c r="A625" s="358"/>
      <c r="B625" s="351" t="s">
        <v>3833</v>
      </c>
      <c r="C625" s="375">
        <v>1400</v>
      </c>
      <c r="D625" s="353"/>
      <c r="E625" s="345">
        <v>929684</v>
      </c>
      <c r="F625" s="346">
        <f t="shared" si="25"/>
        <v>0</v>
      </c>
      <c r="G625" s="398">
        <v>242.6</v>
      </c>
      <c r="H625" s="413">
        <v>25</v>
      </c>
      <c r="I625" s="417"/>
      <c r="J625" s="417"/>
      <c r="K625" s="418"/>
    </row>
    <row r="626" spans="1:11">
      <c r="A626" s="358"/>
      <c r="B626" s="351" t="s">
        <v>3834</v>
      </c>
      <c r="C626" s="375">
        <v>1500</v>
      </c>
      <c r="D626" s="353"/>
      <c r="E626" s="345">
        <v>996090</v>
      </c>
      <c r="F626" s="346">
        <f t="shared" si="25"/>
        <v>0</v>
      </c>
      <c r="G626" s="398">
        <v>259.8</v>
      </c>
      <c r="H626" s="413">
        <v>25</v>
      </c>
      <c r="I626" s="417"/>
      <c r="J626" s="417"/>
      <c r="K626" s="418"/>
    </row>
    <row r="627" spans="1:11">
      <c r="A627" s="358"/>
      <c r="B627" s="351" t="s">
        <v>3835</v>
      </c>
      <c r="C627" s="375">
        <v>1600</v>
      </c>
      <c r="D627" s="353"/>
      <c r="E627" s="345">
        <v>1062496</v>
      </c>
      <c r="F627" s="346">
        <f t="shared" si="25"/>
        <v>0</v>
      </c>
      <c r="G627" s="398">
        <v>276.89999999999998</v>
      </c>
      <c r="H627" s="413">
        <v>25</v>
      </c>
      <c r="I627" s="417"/>
      <c r="J627" s="417"/>
      <c r="K627" s="418"/>
    </row>
  </sheetData>
  <mergeCells count="11">
    <mergeCell ref="A26:A29"/>
    <mergeCell ref="A438:A439"/>
    <mergeCell ref="K2:K3"/>
    <mergeCell ref="F2:F3"/>
    <mergeCell ref="G2:G3"/>
    <mergeCell ref="H2:H3"/>
    <mergeCell ref="I2:I3"/>
    <mergeCell ref="A2:A3"/>
    <mergeCell ref="B2:B3"/>
    <mergeCell ref="C2:C3"/>
    <mergeCell ref="J2:J3"/>
  </mergeCells>
  <phoneticPr fontId="2" type="noConversion"/>
  <printOptions horizontalCentered="1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C000"/>
  </sheetPr>
  <dimension ref="A1:S2276"/>
  <sheetViews>
    <sheetView showGridLines="0" showZeros="0" view="pageBreakPreview" zoomScaleSheetLayoutView="100" workbookViewId="0">
      <pane ySplit="4" topLeftCell="A5" activePane="bottomLeft" state="frozen"/>
      <selection activeCell="B39" sqref="B39"/>
      <selection pane="bottomLeft" activeCell="C5" sqref="C5:F5"/>
    </sheetView>
  </sheetViews>
  <sheetFormatPr defaultRowHeight="15.2" customHeight="1"/>
  <cols>
    <col min="1" max="1" width="3.77734375" style="80" bestFit="1" customWidth="1"/>
    <col min="2" max="2" width="8.6640625" style="98" customWidth="1"/>
    <col min="3" max="3" width="7.44140625" style="80" customWidth="1"/>
    <col min="4" max="4" width="16.77734375" style="81" customWidth="1"/>
    <col min="5" max="5" width="7.44140625" style="82" bestFit="1" customWidth="1"/>
    <col min="6" max="6" width="4.88671875" style="80" customWidth="1"/>
    <col min="7" max="7" width="7.77734375" style="469" customWidth="1"/>
    <col min="8" max="8" width="8.6640625" style="469" customWidth="1"/>
    <col min="9" max="9" width="7.77734375" style="469" customWidth="1"/>
    <col min="10" max="10" width="8.77734375" style="469" customWidth="1"/>
    <col min="11" max="11" width="7.77734375" style="469" customWidth="1"/>
    <col min="12" max="12" width="8.44140625" style="469" customWidth="1"/>
    <col min="13" max="13" width="7.77734375" style="469" customWidth="1"/>
    <col min="14" max="14" width="9.21875" style="469" customWidth="1"/>
    <col min="15" max="15" width="7.109375" style="98" customWidth="1"/>
    <col min="16" max="16" width="5.6640625" style="80" customWidth="1"/>
    <col min="17" max="17" width="3.77734375" style="80" bestFit="1" customWidth="1"/>
    <col min="18" max="16384" width="8.88671875" style="80"/>
  </cols>
  <sheetData>
    <row r="1" spans="2:19" ht="20.25" customHeight="1">
      <c r="B1" s="774" t="s">
        <v>2146</v>
      </c>
      <c r="C1" s="774"/>
      <c r="D1" s="774"/>
      <c r="E1" s="774"/>
      <c r="F1" s="774"/>
      <c r="G1" s="774"/>
      <c r="H1" s="774"/>
      <c r="I1" s="774"/>
      <c r="J1" s="774"/>
      <c r="K1" s="774"/>
      <c r="L1" s="774"/>
      <c r="M1" s="774"/>
      <c r="N1" s="774"/>
      <c r="O1" s="774"/>
      <c r="R1" s="467"/>
      <c r="S1" s="468"/>
    </row>
    <row r="2" spans="2:19" ht="15.2" customHeight="1">
      <c r="B2" s="619" t="s">
        <v>3893</v>
      </c>
      <c r="M2" s="762" t="s">
        <v>3331</v>
      </c>
      <c r="N2" s="762"/>
      <c r="O2" s="762"/>
    </row>
    <row r="3" spans="2:19" ht="15.2" customHeight="1">
      <c r="B3" s="778" t="s">
        <v>1993</v>
      </c>
      <c r="C3" s="779"/>
      <c r="D3" s="782" t="s">
        <v>1994</v>
      </c>
      <c r="E3" s="784" t="s">
        <v>1710</v>
      </c>
      <c r="F3" s="775" t="s">
        <v>1711</v>
      </c>
      <c r="G3" s="777" t="s">
        <v>3320</v>
      </c>
      <c r="H3" s="777"/>
      <c r="I3" s="777" t="s">
        <v>3321</v>
      </c>
      <c r="J3" s="777"/>
      <c r="K3" s="777" t="s">
        <v>3322</v>
      </c>
      <c r="L3" s="777"/>
      <c r="M3" s="777" t="s">
        <v>3323</v>
      </c>
      <c r="N3" s="777"/>
      <c r="O3" s="775" t="s">
        <v>918</v>
      </c>
    </row>
    <row r="4" spans="2:19" ht="15.2" customHeight="1">
      <c r="B4" s="780"/>
      <c r="C4" s="781"/>
      <c r="D4" s="783"/>
      <c r="E4" s="785"/>
      <c r="F4" s="776"/>
      <c r="G4" s="500" t="s">
        <v>3324</v>
      </c>
      <c r="H4" s="500" t="s">
        <v>3325</v>
      </c>
      <c r="I4" s="500" t="s">
        <v>3324</v>
      </c>
      <c r="J4" s="500" t="s">
        <v>3325</v>
      </c>
      <c r="K4" s="500" t="s">
        <v>3324</v>
      </c>
      <c r="L4" s="500" t="s">
        <v>3325</v>
      </c>
      <c r="M4" s="500" t="s">
        <v>3324</v>
      </c>
      <c r="N4" s="500" t="s">
        <v>3325</v>
      </c>
      <c r="O4" s="776"/>
    </row>
    <row r="5" spans="2:19" ht="15.2" customHeight="1">
      <c r="B5" s="83">
        <f>P5</f>
        <v>1</v>
      </c>
      <c r="C5" s="770" t="s">
        <v>854</v>
      </c>
      <c r="D5" s="786"/>
      <c r="E5" s="786"/>
      <c r="F5" s="787"/>
      <c r="G5" s="470"/>
      <c r="H5" s="470"/>
      <c r="I5" s="470"/>
      <c r="J5" s="470"/>
      <c r="K5" s="470"/>
      <c r="L5" s="470"/>
      <c r="M5" s="470"/>
      <c r="N5" s="470"/>
      <c r="O5" s="457"/>
      <c r="P5" s="767">
        <v>1</v>
      </c>
      <c r="Q5" s="80" t="s">
        <v>3243</v>
      </c>
    </row>
    <row r="6" spans="2:19" ht="15.2" customHeight="1">
      <c r="B6" s="766" t="s">
        <v>1797</v>
      </c>
      <c r="C6" s="766"/>
      <c r="D6" s="84"/>
      <c r="E6" s="85">
        <v>680</v>
      </c>
      <c r="F6" s="86" t="s">
        <v>1799</v>
      </c>
      <c r="G6" s="470">
        <f>사급자재!$M$68</f>
        <v>112</v>
      </c>
      <c r="H6" s="470">
        <f>TRUNC(E6*G6,0)</f>
        <v>76160</v>
      </c>
      <c r="I6" s="470"/>
      <c r="J6" s="470">
        <f>TRUNC(I6*E6,0)</f>
        <v>0</v>
      </c>
      <c r="K6" s="470">
        <f>자재운반비!$L$49</f>
        <v>26</v>
      </c>
      <c r="L6" s="470">
        <f>TRUNC(K6*E6,0)</f>
        <v>17680</v>
      </c>
      <c r="M6" s="470">
        <f t="shared" ref="M6:N8" si="0">G6+I6+K6</f>
        <v>138</v>
      </c>
      <c r="N6" s="470">
        <f t="shared" si="0"/>
        <v>93840</v>
      </c>
      <c r="O6" s="457"/>
      <c r="P6" s="767"/>
    </row>
    <row r="7" spans="2:19" ht="15.2" customHeight="1">
      <c r="B7" s="766" t="s">
        <v>1712</v>
      </c>
      <c r="C7" s="766"/>
      <c r="D7" s="84" t="s">
        <v>1741</v>
      </c>
      <c r="E7" s="87">
        <v>0.98</v>
      </c>
      <c r="F7" s="86" t="s">
        <v>1168</v>
      </c>
      <c r="G7" s="470">
        <f>사급자재!$M$14</f>
        <v>23000</v>
      </c>
      <c r="H7" s="470">
        <f>TRUNC(E7*G7,0)</f>
        <v>22540</v>
      </c>
      <c r="I7" s="470"/>
      <c r="J7" s="470">
        <f>TRUNC(I7*E7,0)</f>
        <v>0</v>
      </c>
      <c r="K7" s="470"/>
      <c r="L7" s="470">
        <f>TRUNC(K7*E7,0)</f>
        <v>0</v>
      </c>
      <c r="M7" s="470">
        <f t="shared" si="0"/>
        <v>23000</v>
      </c>
      <c r="N7" s="470">
        <f t="shared" si="0"/>
        <v>22540</v>
      </c>
      <c r="O7" s="457"/>
      <c r="P7" s="767"/>
    </row>
    <row r="8" spans="2:19" ht="15.2" customHeight="1">
      <c r="B8" s="766" t="s">
        <v>1162</v>
      </c>
      <c r="C8" s="766"/>
      <c r="D8" s="84"/>
      <c r="E8" s="87">
        <v>0.66</v>
      </c>
      <c r="F8" s="86" t="s">
        <v>1163</v>
      </c>
      <c r="G8" s="470"/>
      <c r="H8" s="470">
        <f>TRUNC(E8*G8,0)</f>
        <v>0</v>
      </c>
      <c r="I8" s="470">
        <f>SUMIF('노임(2015)'!$B$4:$B$87,B8,'노임(2015)'!$C$4:$C$87)+SUMIF('노임(2015)'!$E$4:$E$87,B8,'노임(2015)'!$F$4:$F$87)</f>
        <v>89566</v>
      </c>
      <c r="J8" s="470">
        <f>TRUNC(I8*E8,0)</f>
        <v>59113</v>
      </c>
      <c r="K8" s="470"/>
      <c r="L8" s="470">
        <f>TRUNC(K8*E8,0)</f>
        <v>0</v>
      </c>
      <c r="M8" s="470">
        <f t="shared" si="0"/>
        <v>89566</v>
      </c>
      <c r="N8" s="470">
        <f t="shared" si="0"/>
        <v>59113</v>
      </c>
      <c r="O8" s="457"/>
      <c r="P8" s="767"/>
    </row>
    <row r="9" spans="2:19" ht="15.2" customHeight="1">
      <c r="B9" s="766" t="s">
        <v>855</v>
      </c>
      <c r="C9" s="766"/>
      <c r="D9" s="84"/>
      <c r="E9" s="87"/>
      <c r="F9" s="86"/>
      <c r="G9" s="470"/>
      <c r="H9" s="470">
        <f>SUM(H6:H8)</f>
        <v>98700</v>
      </c>
      <c r="I9" s="470"/>
      <c r="J9" s="470">
        <f>SUM(J6:J8)</f>
        <v>59113</v>
      </c>
      <c r="K9" s="470"/>
      <c r="L9" s="470">
        <f>SUM(L6:L8)</f>
        <v>17680</v>
      </c>
      <c r="M9" s="470"/>
      <c r="N9" s="470">
        <f>SUM(N6:N8)</f>
        <v>175493</v>
      </c>
      <c r="O9" s="457"/>
      <c r="P9" s="767"/>
      <c r="Q9" s="80" t="s">
        <v>3244</v>
      </c>
    </row>
    <row r="10" spans="2:19" ht="15.2" customHeight="1">
      <c r="B10" s="83">
        <f>P10</f>
        <v>2</v>
      </c>
      <c r="C10" s="770" t="s">
        <v>856</v>
      </c>
      <c r="D10" s="770"/>
      <c r="E10" s="770"/>
      <c r="F10" s="771"/>
      <c r="G10" s="470"/>
      <c r="H10" s="470"/>
      <c r="I10" s="470"/>
      <c r="J10" s="470"/>
      <c r="K10" s="470"/>
      <c r="L10" s="470"/>
      <c r="M10" s="470"/>
      <c r="N10" s="470"/>
      <c r="O10" s="457"/>
      <c r="P10" s="767">
        <f>MAX($P$5:P9)+1</f>
        <v>2</v>
      </c>
      <c r="Q10" s="80" t="s">
        <v>3243</v>
      </c>
    </row>
    <row r="11" spans="2:19" ht="15.2" customHeight="1">
      <c r="B11" s="766" t="s">
        <v>1797</v>
      </c>
      <c r="C11" s="766"/>
      <c r="D11" s="84"/>
      <c r="E11" s="85">
        <v>510</v>
      </c>
      <c r="F11" s="86" t="s">
        <v>1799</v>
      </c>
      <c r="G11" s="470">
        <f>사급자재!$M$68</f>
        <v>112</v>
      </c>
      <c r="H11" s="470">
        <f>TRUNC(E11*G11,0)</f>
        <v>57120</v>
      </c>
      <c r="I11" s="470"/>
      <c r="J11" s="470">
        <f>TRUNC(I11*E11,0)</f>
        <v>0</v>
      </c>
      <c r="K11" s="470">
        <f>자재운반비!$L$49</f>
        <v>26</v>
      </c>
      <c r="L11" s="470">
        <f>TRUNC(K11*E11,0)</f>
        <v>13260</v>
      </c>
      <c r="M11" s="470">
        <f t="shared" ref="M11:N13" si="1">G11+I11+K11</f>
        <v>138</v>
      </c>
      <c r="N11" s="470">
        <f t="shared" si="1"/>
        <v>70380</v>
      </c>
      <c r="O11" s="457"/>
      <c r="P11" s="767"/>
    </row>
    <row r="12" spans="2:19" ht="15.2" customHeight="1">
      <c r="B12" s="766" t="s">
        <v>1712</v>
      </c>
      <c r="C12" s="766"/>
      <c r="D12" s="84" t="s">
        <v>1741</v>
      </c>
      <c r="E12" s="87">
        <v>1.1000000000000001</v>
      </c>
      <c r="F12" s="86" t="s">
        <v>1168</v>
      </c>
      <c r="G12" s="470">
        <f>사급자재!$M$14</f>
        <v>23000</v>
      </c>
      <c r="H12" s="470">
        <f>TRUNC(E12*G12,0)</f>
        <v>25300</v>
      </c>
      <c r="I12" s="470"/>
      <c r="J12" s="470">
        <f>TRUNC(I12*E12,0)</f>
        <v>0</v>
      </c>
      <c r="K12" s="470"/>
      <c r="L12" s="470">
        <f>TRUNC(K12*E12,0)</f>
        <v>0</v>
      </c>
      <c r="M12" s="470">
        <f t="shared" si="1"/>
        <v>23000</v>
      </c>
      <c r="N12" s="470">
        <f t="shared" si="1"/>
        <v>25300</v>
      </c>
      <c r="O12" s="457"/>
      <c r="P12" s="767"/>
    </row>
    <row r="13" spans="2:19" ht="15.2" customHeight="1">
      <c r="B13" s="766" t="s">
        <v>1162</v>
      </c>
      <c r="C13" s="766"/>
      <c r="D13" s="84"/>
      <c r="E13" s="87">
        <v>0.66</v>
      </c>
      <c r="F13" s="86" t="s">
        <v>1163</v>
      </c>
      <c r="G13" s="470"/>
      <c r="H13" s="470">
        <f>TRUNC(E13*G13,0)</f>
        <v>0</v>
      </c>
      <c r="I13" s="470">
        <f>SUMIF('노임(2015)'!$B$4:$B$87,B13,'노임(2015)'!$C$4:$C$87)+SUMIF('노임(2015)'!$E$4:$E$87,B13,'노임(2015)'!$F$4:$F$87)</f>
        <v>89566</v>
      </c>
      <c r="J13" s="470">
        <f>TRUNC(I13*E13,0)</f>
        <v>59113</v>
      </c>
      <c r="K13" s="470"/>
      <c r="L13" s="470">
        <f>TRUNC(K13*E13,0)</f>
        <v>0</v>
      </c>
      <c r="M13" s="470">
        <f t="shared" si="1"/>
        <v>89566</v>
      </c>
      <c r="N13" s="470">
        <f t="shared" si="1"/>
        <v>59113</v>
      </c>
      <c r="O13" s="457"/>
      <c r="P13" s="767"/>
    </row>
    <row r="14" spans="2:19" ht="15.2" customHeight="1">
      <c r="B14" s="766" t="s">
        <v>855</v>
      </c>
      <c r="C14" s="766"/>
      <c r="D14" s="84"/>
      <c r="E14" s="87"/>
      <c r="F14" s="86"/>
      <c r="G14" s="470"/>
      <c r="H14" s="470">
        <f>SUM(H11:H13)</f>
        <v>82420</v>
      </c>
      <c r="I14" s="470"/>
      <c r="J14" s="470">
        <f>SUM(J11:J13)</f>
        <v>59113</v>
      </c>
      <c r="K14" s="470"/>
      <c r="L14" s="470">
        <f>SUM(L11:L13)</f>
        <v>13260</v>
      </c>
      <c r="M14" s="470"/>
      <c r="N14" s="470">
        <f>SUM(N11:N13)</f>
        <v>154793</v>
      </c>
      <c r="O14" s="457"/>
      <c r="P14" s="767"/>
      <c r="Q14" s="80" t="s">
        <v>3244</v>
      </c>
    </row>
    <row r="15" spans="2:19" ht="15.2" customHeight="1">
      <c r="B15" s="83">
        <f>P15</f>
        <v>3</v>
      </c>
      <c r="C15" s="770" t="s">
        <v>857</v>
      </c>
      <c r="D15" s="770"/>
      <c r="E15" s="770"/>
      <c r="F15" s="771"/>
      <c r="G15" s="470"/>
      <c r="H15" s="470"/>
      <c r="I15" s="470"/>
      <c r="J15" s="470"/>
      <c r="K15" s="470"/>
      <c r="L15" s="470"/>
      <c r="M15" s="470"/>
      <c r="N15" s="470"/>
      <c r="O15" s="457"/>
      <c r="P15" s="767">
        <f>MAX($P$5:P14)+1</f>
        <v>3</v>
      </c>
      <c r="Q15" s="80" t="s">
        <v>3243</v>
      </c>
    </row>
    <row r="16" spans="2:19" ht="15.2" customHeight="1">
      <c r="B16" s="766" t="s">
        <v>1797</v>
      </c>
      <c r="C16" s="766"/>
      <c r="D16" s="84"/>
      <c r="E16" s="85">
        <v>320</v>
      </c>
      <c r="F16" s="86" t="s">
        <v>1799</v>
      </c>
      <c r="G16" s="470">
        <f>사급자재!$M$68</f>
        <v>112</v>
      </c>
      <c r="H16" s="470">
        <f>TRUNC(E16*G16,0)</f>
        <v>35840</v>
      </c>
      <c r="I16" s="470"/>
      <c r="J16" s="470">
        <f>TRUNC(I16*E16,0)</f>
        <v>0</v>
      </c>
      <c r="K16" s="470">
        <f>자재운반비!$L$49</f>
        <v>26</v>
      </c>
      <c r="L16" s="470">
        <f>TRUNC(K16*E16,0)</f>
        <v>8320</v>
      </c>
      <c r="M16" s="470">
        <f t="shared" ref="M16:N18" si="2">G16+I16+K16</f>
        <v>138</v>
      </c>
      <c r="N16" s="470">
        <f t="shared" si="2"/>
        <v>44160</v>
      </c>
      <c r="O16" s="457"/>
      <c r="P16" s="767"/>
    </row>
    <row r="17" spans="2:17" ht="15.2" customHeight="1">
      <c r="B17" s="766" t="s">
        <v>1712</v>
      </c>
      <c r="C17" s="766"/>
      <c r="D17" s="84" t="s">
        <v>1741</v>
      </c>
      <c r="E17" s="87">
        <v>1.1499999999999999</v>
      </c>
      <c r="F17" s="86" t="s">
        <v>1168</v>
      </c>
      <c r="G17" s="470">
        <f>사급자재!$M$14</f>
        <v>23000</v>
      </c>
      <c r="H17" s="470">
        <f>TRUNC(E17*G17,0)</f>
        <v>26450</v>
      </c>
      <c r="I17" s="470"/>
      <c r="J17" s="470">
        <f>TRUNC(I17*E17,0)</f>
        <v>0</v>
      </c>
      <c r="K17" s="470"/>
      <c r="L17" s="470">
        <f>TRUNC(K17*E17,0)</f>
        <v>0</v>
      </c>
      <c r="M17" s="470">
        <f t="shared" si="2"/>
        <v>23000</v>
      </c>
      <c r="N17" s="470">
        <f t="shared" si="2"/>
        <v>26450</v>
      </c>
      <c r="O17" s="457"/>
      <c r="P17" s="767"/>
    </row>
    <row r="18" spans="2:17" ht="15.2" customHeight="1">
      <c r="B18" s="766" t="s">
        <v>1162</v>
      </c>
      <c r="C18" s="766"/>
      <c r="D18" s="84"/>
      <c r="E18" s="87">
        <v>0.66</v>
      </c>
      <c r="F18" s="86" t="s">
        <v>1163</v>
      </c>
      <c r="G18" s="470"/>
      <c r="H18" s="470">
        <f>TRUNC(E18*G18,0)</f>
        <v>0</v>
      </c>
      <c r="I18" s="470">
        <f>SUMIF('노임(2015)'!$B$4:$B$87,B18,'노임(2015)'!$C$4:$C$87)+SUMIF('노임(2015)'!$E$4:$E$87,B18,'노임(2015)'!$F$4:$F$87)</f>
        <v>89566</v>
      </c>
      <c r="J18" s="470">
        <f>TRUNC(I18*E18,0)</f>
        <v>59113</v>
      </c>
      <c r="K18" s="470"/>
      <c r="L18" s="470">
        <f>TRUNC(K18*E18,0)</f>
        <v>0</v>
      </c>
      <c r="M18" s="470">
        <f t="shared" si="2"/>
        <v>89566</v>
      </c>
      <c r="N18" s="470">
        <f t="shared" si="2"/>
        <v>59113</v>
      </c>
      <c r="O18" s="457"/>
      <c r="P18" s="767"/>
    </row>
    <row r="19" spans="2:17" ht="15.2" customHeight="1">
      <c r="B19" s="766" t="s">
        <v>855</v>
      </c>
      <c r="C19" s="766"/>
      <c r="D19" s="84"/>
      <c r="E19" s="87"/>
      <c r="F19" s="86"/>
      <c r="G19" s="470"/>
      <c r="H19" s="470">
        <f>SUM(H16:H18)</f>
        <v>62290</v>
      </c>
      <c r="I19" s="470"/>
      <c r="J19" s="470">
        <f>SUM(J16:J18)</f>
        <v>59113</v>
      </c>
      <c r="K19" s="470"/>
      <c r="L19" s="470">
        <f>SUM(L16:L18)</f>
        <v>8320</v>
      </c>
      <c r="M19" s="470"/>
      <c r="N19" s="470">
        <f>SUM(N16:N18)</f>
        <v>129723</v>
      </c>
      <c r="O19" s="457"/>
      <c r="P19" s="767"/>
      <c r="Q19" s="80" t="s">
        <v>3244</v>
      </c>
    </row>
    <row r="20" spans="2:17" ht="15.2" customHeight="1">
      <c r="B20" s="83">
        <f>P20</f>
        <v>4</v>
      </c>
      <c r="C20" s="770" t="s">
        <v>4062</v>
      </c>
      <c r="D20" s="770"/>
      <c r="E20" s="770"/>
      <c r="F20" s="771"/>
      <c r="G20" s="470"/>
      <c r="H20" s="470"/>
      <c r="I20" s="470"/>
      <c r="J20" s="470"/>
      <c r="K20" s="470"/>
      <c r="L20" s="470"/>
      <c r="M20" s="470"/>
      <c r="N20" s="470"/>
      <c r="O20" s="457"/>
      <c r="P20" s="767">
        <f>MAX($P$5:P19)+1</f>
        <v>4</v>
      </c>
      <c r="Q20" s="80" t="s">
        <v>3243</v>
      </c>
    </row>
    <row r="21" spans="2:17" ht="15.2" customHeight="1">
      <c r="B21" s="766" t="s">
        <v>1797</v>
      </c>
      <c r="C21" s="766"/>
      <c r="D21" s="84" t="s">
        <v>858</v>
      </c>
      <c r="E21" s="85">
        <v>323</v>
      </c>
      <c r="F21" s="86" t="s">
        <v>1799</v>
      </c>
      <c r="G21" s="470">
        <f>사급자재!$M$68</f>
        <v>112</v>
      </c>
      <c r="H21" s="470">
        <f>TRUNC(E21*G21,0)</f>
        <v>36176</v>
      </c>
      <c r="I21" s="470"/>
      <c r="J21" s="470">
        <f>TRUNC(I21*E21,0)</f>
        <v>0</v>
      </c>
      <c r="K21" s="470">
        <f>자재운반비!$L$49</f>
        <v>26</v>
      </c>
      <c r="L21" s="470">
        <f>TRUNC(K21*E21)</f>
        <v>8398</v>
      </c>
      <c r="M21" s="470">
        <f t="shared" ref="M21:N25" si="3">G21+I21+K21</f>
        <v>138</v>
      </c>
      <c r="N21" s="470">
        <f t="shared" si="3"/>
        <v>44574</v>
      </c>
      <c r="O21" s="457"/>
      <c r="P21" s="767"/>
    </row>
    <row r="22" spans="2:17" ht="15.2" customHeight="1">
      <c r="B22" s="766" t="s">
        <v>1712</v>
      </c>
      <c r="C22" s="766"/>
      <c r="D22" s="84" t="s">
        <v>1741</v>
      </c>
      <c r="E22" s="87">
        <v>0.48</v>
      </c>
      <c r="F22" s="86" t="s">
        <v>1168</v>
      </c>
      <c r="G22" s="470">
        <f>사급자재!$M$14</f>
        <v>23000</v>
      </c>
      <c r="H22" s="470">
        <f>TRUNC(E22*G22,0)</f>
        <v>11040</v>
      </c>
      <c r="I22" s="470"/>
      <c r="J22" s="470">
        <f>TRUNC(I22*E22,0)</f>
        <v>0</v>
      </c>
      <c r="K22" s="470"/>
      <c r="L22" s="470">
        <f>TRUNC(K22*E22,0)</f>
        <v>0</v>
      </c>
      <c r="M22" s="470">
        <f t="shared" si="3"/>
        <v>23000</v>
      </c>
      <c r="N22" s="470">
        <f t="shared" si="3"/>
        <v>11040</v>
      </c>
      <c r="O22" s="457"/>
      <c r="P22" s="767"/>
    </row>
    <row r="23" spans="2:17" ht="15.2" customHeight="1">
      <c r="B23" s="766" t="s">
        <v>1713</v>
      </c>
      <c r="C23" s="766"/>
      <c r="D23" s="84" t="s">
        <v>1714</v>
      </c>
      <c r="E23" s="87">
        <v>0.74</v>
      </c>
      <c r="F23" s="86" t="s">
        <v>1168</v>
      </c>
      <c r="G23" s="470">
        <f>사급자재!$M$15</f>
        <v>23000</v>
      </c>
      <c r="H23" s="470">
        <f>TRUNC(E23*G23,0)</f>
        <v>17020</v>
      </c>
      <c r="I23" s="470"/>
      <c r="J23" s="470">
        <f>TRUNC(I23*E23,0)</f>
        <v>0</v>
      </c>
      <c r="K23" s="470"/>
      <c r="L23" s="470">
        <f>TRUNC(K23*E23,0)</f>
        <v>0</v>
      </c>
      <c r="M23" s="470">
        <f t="shared" si="3"/>
        <v>23000</v>
      </c>
      <c r="N23" s="470">
        <f t="shared" si="3"/>
        <v>17020</v>
      </c>
      <c r="O23" s="457"/>
      <c r="P23" s="767"/>
    </row>
    <row r="24" spans="2:17" ht="15.2" customHeight="1">
      <c r="B24" s="766" t="s">
        <v>1715</v>
      </c>
      <c r="C24" s="766"/>
      <c r="D24" s="84"/>
      <c r="E24" s="87">
        <v>0.85</v>
      </c>
      <c r="F24" s="86" t="s">
        <v>1163</v>
      </c>
      <c r="G24" s="470"/>
      <c r="H24" s="470">
        <f>TRUNC(E24*G24,0)</f>
        <v>0</v>
      </c>
      <c r="I24" s="470">
        <f>SUMIF('노임(2015)'!$B$4:$B$87,B24,'노임(2015)'!$C$4:$C$87)+SUMIF('노임(2015)'!$E$4:$E$87,B24,'노임(2015)'!$F$4:$F$87)</f>
        <v>142556</v>
      </c>
      <c r="J24" s="470">
        <f>TRUNC(I24*E24,0)</f>
        <v>121172</v>
      </c>
      <c r="K24" s="470"/>
      <c r="L24" s="470">
        <f>TRUNC(K24*E24,0)</f>
        <v>0</v>
      </c>
      <c r="M24" s="470">
        <f t="shared" si="3"/>
        <v>142556</v>
      </c>
      <c r="N24" s="470">
        <f t="shared" si="3"/>
        <v>121172</v>
      </c>
      <c r="O24" s="457"/>
      <c r="P24" s="767"/>
    </row>
    <row r="25" spans="2:17" ht="15.2" customHeight="1">
      <c r="B25" s="766" t="s">
        <v>1162</v>
      </c>
      <c r="C25" s="766"/>
      <c r="D25" s="84"/>
      <c r="E25" s="87">
        <v>0.82</v>
      </c>
      <c r="F25" s="86" t="s">
        <v>1163</v>
      </c>
      <c r="G25" s="470"/>
      <c r="H25" s="470">
        <f>TRUNC(E25*G25,0)</f>
        <v>0</v>
      </c>
      <c r="I25" s="470">
        <f>SUMIF('노임(2015)'!$B$4:$B$87,B25,'노임(2015)'!$C$4:$C$87)+SUMIF('노임(2015)'!$E$4:$E$87,B25,'노임(2015)'!$F$4:$F$87)</f>
        <v>89566</v>
      </c>
      <c r="J25" s="470">
        <f>TRUNC(I25*E25,0)</f>
        <v>73444</v>
      </c>
      <c r="K25" s="470"/>
      <c r="L25" s="470">
        <f>TRUNC(K25*E25,0)</f>
        <v>0</v>
      </c>
      <c r="M25" s="470">
        <f t="shared" si="3"/>
        <v>89566</v>
      </c>
      <c r="N25" s="470">
        <f t="shared" si="3"/>
        <v>73444</v>
      </c>
      <c r="O25" s="457"/>
      <c r="P25" s="767"/>
    </row>
    <row r="26" spans="2:17" ht="15.2" customHeight="1">
      <c r="B26" s="766" t="s">
        <v>855</v>
      </c>
      <c r="C26" s="766"/>
      <c r="D26" s="84"/>
      <c r="E26" s="87"/>
      <c r="F26" s="86"/>
      <c r="G26" s="470"/>
      <c r="H26" s="470">
        <f>SUM(H21:H25)</f>
        <v>64236</v>
      </c>
      <c r="I26" s="470"/>
      <c r="J26" s="470">
        <f>SUM(J21:J25)</f>
        <v>194616</v>
      </c>
      <c r="K26" s="470"/>
      <c r="L26" s="470">
        <f>SUM(L21:L25)</f>
        <v>8398</v>
      </c>
      <c r="M26" s="470"/>
      <c r="N26" s="470">
        <f>SUM(N21:N25)</f>
        <v>267250</v>
      </c>
      <c r="O26" s="457"/>
      <c r="P26" s="767"/>
      <c r="Q26" s="80" t="s">
        <v>3244</v>
      </c>
    </row>
    <row r="27" spans="2:17" ht="15.2" customHeight="1">
      <c r="B27" s="83">
        <f>P27</f>
        <v>5</v>
      </c>
      <c r="C27" s="770" t="s">
        <v>4063</v>
      </c>
      <c r="D27" s="770"/>
      <c r="E27" s="770"/>
      <c r="F27" s="771"/>
      <c r="G27" s="470"/>
      <c r="H27" s="470"/>
      <c r="I27" s="470"/>
      <c r="J27" s="470"/>
      <c r="K27" s="470"/>
      <c r="L27" s="470"/>
      <c r="M27" s="470"/>
      <c r="N27" s="470"/>
      <c r="O27" s="457"/>
      <c r="P27" s="767">
        <f>MAX($P$5:P26)+1</f>
        <v>5</v>
      </c>
      <c r="Q27" s="80" t="s">
        <v>3243</v>
      </c>
    </row>
    <row r="28" spans="2:17" ht="15.2" customHeight="1">
      <c r="B28" s="766" t="s">
        <v>1797</v>
      </c>
      <c r="C28" s="766"/>
      <c r="D28" s="84" t="s">
        <v>858</v>
      </c>
      <c r="E28" s="85">
        <v>323</v>
      </c>
      <c r="F28" s="86" t="s">
        <v>1799</v>
      </c>
      <c r="G28" s="470">
        <f>사급자재!$M$68</f>
        <v>112</v>
      </c>
      <c r="H28" s="470">
        <f>TRUNC(E28*G28,0)</f>
        <v>36176</v>
      </c>
      <c r="I28" s="470"/>
      <c r="J28" s="470">
        <f>TRUNC(I28*E28,0)</f>
        <v>0</v>
      </c>
      <c r="K28" s="470">
        <f>자재운반비!$L$49</f>
        <v>26</v>
      </c>
      <c r="L28" s="470">
        <f>TRUNC(K28*E28,0)</f>
        <v>8398</v>
      </c>
      <c r="M28" s="470">
        <f t="shared" ref="M28:N32" si="4">G28+I28+K28</f>
        <v>138</v>
      </c>
      <c r="N28" s="470">
        <f t="shared" si="4"/>
        <v>44574</v>
      </c>
      <c r="O28" s="457"/>
      <c r="P28" s="767"/>
    </row>
    <row r="29" spans="2:17" ht="15.2" customHeight="1">
      <c r="B29" s="766" t="s">
        <v>1712</v>
      </c>
      <c r="C29" s="766"/>
      <c r="D29" s="84" t="s">
        <v>1741</v>
      </c>
      <c r="E29" s="87">
        <v>0.48</v>
      </c>
      <c r="F29" s="86" t="s">
        <v>1168</v>
      </c>
      <c r="G29" s="470">
        <f>사급자재!$M$14</f>
        <v>23000</v>
      </c>
      <c r="H29" s="470">
        <f>TRUNC(E29*G29,0)</f>
        <v>11040</v>
      </c>
      <c r="I29" s="470"/>
      <c r="J29" s="470">
        <f>TRUNC(I29*E29,0)</f>
        <v>0</v>
      </c>
      <c r="K29" s="470"/>
      <c r="L29" s="470">
        <f>TRUNC(K29*E29,0)</f>
        <v>0</v>
      </c>
      <c r="M29" s="470">
        <f t="shared" si="4"/>
        <v>23000</v>
      </c>
      <c r="N29" s="470">
        <f t="shared" si="4"/>
        <v>11040</v>
      </c>
      <c r="O29" s="457"/>
      <c r="P29" s="767"/>
    </row>
    <row r="30" spans="2:17" ht="15.2" customHeight="1">
      <c r="B30" s="766" t="s">
        <v>1713</v>
      </c>
      <c r="C30" s="766"/>
      <c r="D30" s="84" t="s">
        <v>1714</v>
      </c>
      <c r="E30" s="87">
        <v>0.74</v>
      </c>
      <c r="F30" s="86" t="s">
        <v>1168</v>
      </c>
      <c r="G30" s="470">
        <f>사급자재!$M$15</f>
        <v>23000</v>
      </c>
      <c r="H30" s="470">
        <f>TRUNC(E30*G30,0)</f>
        <v>17020</v>
      </c>
      <c r="I30" s="470"/>
      <c r="J30" s="470">
        <f>TRUNC(I30*E30,0)</f>
        <v>0</v>
      </c>
      <c r="K30" s="470"/>
      <c r="L30" s="470">
        <f>TRUNC(K30*E30,0)</f>
        <v>0</v>
      </c>
      <c r="M30" s="470">
        <f t="shared" si="4"/>
        <v>23000</v>
      </c>
      <c r="N30" s="470">
        <f t="shared" si="4"/>
        <v>17020</v>
      </c>
      <c r="O30" s="457"/>
      <c r="P30" s="767"/>
    </row>
    <row r="31" spans="2:17" ht="15.2" customHeight="1">
      <c r="B31" s="766" t="s">
        <v>1715</v>
      </c>
      <c r="C31" s="766"/>
      <c r="D31" s="84"/>
      <c r="E31" s="87">
        <v>1.29</v>
      </c>
      <c r="F31" s="86" t="s">
        <v>1163</v>
      </c>
      <c r="G31" s="470"/>
      <c r="H31" s="470">
        <f>TRUNC(E31*G31,0)</f>
        <v>0</v>
      </c>
      <c r="I31" s="470">
        <f>SUMIF('노임(2015)'!$B$4:$B$87,B31,'노임(2015)'!$C$4:$C$87)+SUMIF('노임(2015)'!$E$4:$E$87,B31,'노임(2015)'!$F$4:$F$87)</f>
        <v>142556</v>
      </c>
      <c r="J31" s="470">
        <f>TRUNC(I31*E31,0)</f>
        <v>183897</v>
      </c>
      <c r="K31" s="470"/>
      <c r="L31" s="470">
        <f>TRUNC(K31*E31,0)</f>
        <v>0</v>
      </c>
      <c r="M31" s="470">
        <f t="shared" si="4"/>
        <v>142556</v>
      </c>
      <c r="N31" s="470">
        <f t="shared" si="4"/>
        <v>183897</v>
      </c>
      <c r="O31" s="457"/>
      <c r="P31" s="767"/>
    </row>
    <row r="32" spans="2:17" ht="15.2" customHeight="1">
      <c r="B32" s="766" t="s">
        <v>1162</v>
      </c>
      <c r="C32" s="766"/>
      <c r="D32" s="84"/>
      <c r="E32" s="87">
        <v>1.36</v>
      </c>
      <c r="F32" s="86" t="s">
        <v>1163</v>
      </c>
      <c r="G32" s="470"/>
      <c r="H32" s="470">
        <f>TRUNC(E32*G32,0)</f>
        <v>0</v>
      </c>
      <c r="I32" s="470">
        <f>SUMIF('노임(2015)'!$B$4:$B$87,B32,'노임(2015)'!$C$4:$C$87)+SUMIF('노임(2015)'!$E$4:$E$87,B32,'노임(2015)'!$F$4:$F$87)</f>
        <v>89566</v>
      </c>
      <c r="J32" s="470">
        <f>TRUNC(I32*E32,0)</f>
        <v>121809</v>
      </c>
      <c r="K32" s="470"/>
      <c r="L32" s="470">
        <f>TRUNC(K32*E32,0)</f>
        <v>0</v>
      </c>
      <c r="M32" s="470">
        <f t="shared" si="4"/>
        <v>89566</v>
      </c>
      <c r="N32" s="470">
        <f t="shared" si="4"/>
        <v>121809</v>
      </c>
      <c r="O32" s="457"/>
      <c r="P32" s="767"/>
    </row>
    <row r="33" spans="2:17" ht="15.2" customHeight="1">
      <c r="B33" s="766" t="s">
        <v>855</v>
      </c>
      <c r="C33" s="766"/>
      <c r="D33" s="84"/>
      <c r="E33" s="87"/>
      <c r="F33" s="86"/>
      <c r="G33" s="470"/>
      <c r="H33" s="470">
        <f>SUM(H28:H32)</f>
        <v>64236</v>
      </c>
      <c r="I33" s="470"/>
      <c r="J33" s="470">
        <f>SUM(J28:J32)</f>
        <v>305706</v>
      </c>
      <c r="K33" s="470"/>
      <c r="L33" s="470">
        <f>SUM(L28:L32)</f>
        <v>8398</v>
      </c>
      <c r="M33" s="470"/>
      <c r="N33" s="470">
        <f>SUM(N28:N32)</f>
        <v>378340</v>
      </c>
      <c r="O33" s="457"/>
      <c r="P33" s="767"/>
      <c r="Q33" s="80" t="s">
        <v>3244</v>
      </c>
    </row>
    <row r="34" spans="2:17" ht="15.2" customHeight="1">
      <c r="B34" s="83">
        <f>P34</f>
        <v>6</v>
      </c>
      <c r="C34" s="770" t="s">
        <v>4064</v>
      </c>
      <c r="D34" s="770"/>
      <c r="E34" s="770"/>
      <c r="F34" s="771"/>
      <c r="G34" s="470"/>
      <c r="H34" s="470"/>
      <c r="I34" s="470"/>
      <c r="J34" s="470"/>
      <c r="K34" s="470"/>
      <c r="L34" s="470"/>
      <c r="M34" s="470"/>
      <c r="N34" s="470"/>
      <c r="O34" s="457"/>
      <c r="P34" s="767">
        <f>MAX($P$5:P33)+1</f>
        <v>6</v>
      </c>
      <c r="Q34" s="80" t="s">
        <v>3243</v>
      </c>
    </row>
    <row r="35" spans="2:17" ht="15.2" customHeight="1">
      <c r="B35" s="766" t="s">
        <v>859</v>
      </c>
      <c r="C35" s="766"/>
      <c r="D35" s="84" t="s">
        <v>858</v>
      </c>
      <c r="E35" s="85">
        <v>323</v>
      </c>
      <c r="F35" s="86" t="s">
        <v>1799</v>
      </c>
      <c r="G35" s="470">
        <f>사급자재!$M$64</f>
        <v>850</v>
      </c>
      <c r="H35" s="470">
        <f>TRUNC(E35*G35,0)</f>
        <v>274550</v>
      </c>
      <c r="I35" s="470"/>
      <c r="J35" s="470">
        <f>TRUNC(I35*E35,0)</f>
        <v>0</v>
      </c>
      <c r="K35" s="470">
        <f>자재운반비!$L$49</f>
        <v>26</v>
      </c>
      <c r="L35" s="470">
        <f>TRUNC(K35*E35,0)</f>
        <v>8398</v>
      </c>
      <c r="M35" s="470">
        <f t="shared" ref="M35:N39" si="5">G35+I35+K35</f>
        <v>876</v>
      </c>
      <c r="N35" s="470">
        <f t="shared" si="5"/>
        <v>282948</v>
      </c>
      <c r="O35" s="457"/>
      <c r="P35" s="767"/>
    </row>
    <row r="36" spans="2:17" ht="15.2" customHeight="1">
      <c r="B36" s="766" t="s">
        <v>1712</v>
      </c>
      <c r="C36" s="766"/>
      <c r="D36" s="84" t="s">
        <v>1741</v>
      </c>
      <c r="E36" s="87">
        <v>0.48</v>
      </c>
      <c r="F36" s="86" t="s">
        <v>1168</v>
      </c>
      <c r="G36" s="470">
        <f>사급자재!$M$14</f>
        <v>23000</v>
      </c>
      <c r="H36" s="470">
        <f>TRUNC(E36*G36,0)</f>
        <v>11040</v>
      </c>
      <c r="I36" s="470"/>
      <c r="J36" s="470">
        <f>TRUNC(I36*E36,0)</f>
        <v>0</v>
      </c>
      <c r="K36" s="470"/>
      <c r="L36" s="470">
        <f>TRUNC(K36*E36,0)</f>
        <v>0</v>
      </c>
      <c r="M36" s="470">
        <f t="shared" si="5"/>
        <v>23000</v>
      </c>
      <c r="N36" s="470">
        <f t="shared" si="5"/>
        <v>11040</v>
      </c>
      <c r="O36" s="457"/>
      <c r="P36" s="767"/>
    </row>
    <row r="37" spans="2:17" ht="15.2" customHeight="1">
      <c r="B37" s="766" t="s">
        <v>1713</v>
      </c>
      <c r="C37" s="766"/>
      <c r="D37" s="84" t="s">
        <v>1714</v>
      </c>
      <c r="E37" s="87">
        <v>0.74</v>
      </c>
      <c r="F37" s="86" t="s">
        <v>1168</v>
      </c>
      <c r="G37" s="470">
        <f>사급자재!$M$15</f>
        <v>23000</v>
      </c>
      <c r="H37" s="470">
        <f>TRUNC(E37*G37,0)</f>
        <v>17020</v>
      </c>
      <c r="I37" s="470"/>
      <c r="J37" s="470">
        <f>TRUNC(I37*E37,0)</f>
        <v>0</v>
      </c>
      <c r="K37" s="470"/>
      <c r="L37" s="470">
        <f>TRUNC(K37*E37,0)</f>
        <v>0</v>
      </c>
      <c r="M37" s="470">
        <f t="shared" si="5"/>
        <v>23000</v>
      </c>
      <c r="N37" s="470">
        <f t="shared" si="5"/>
        <v>17020</v>
      </c>
      <c r="O37" s="457"/>
      <c r="P37" s="767"/>
    </row>
    <row r="38" spans="2:17" ht="15.2" customHeight="1">
      <c r="B38" s="766" t="s">
        <v>1715</v>
      </c>
      <c r="C38" s="766"/>
      <c r="D38" s="84"/>
      <c r="E38" s="87">
        <v>1.29</v>
      </c>
      <c r="F38" s="86" t="s">
        <v>1163</v>
      </c>
      <c r="G38" s="470"/>
      <c r="H38" s="470">
        <f>TRUNC(E38*G38,0)</f>
        <v>0</v>
      </c>
      <c r="I38" s="470">
        <f>SUMIF('노임(2015)'!$B$4:$B$87,B38,'노임(2015)'!$C$4:$C$87)+SUMIF('노임(2015)'!$E$4:$E$87,B38,'노임(2015)'!$F$4:$F$87)</f>
        <v>142556</v>
      </c>
      <c r="J38" s="470">
        <f>TRUNC(I38*E38,0)</f>
        <v>183897</v>
      </c>
      <c r="K38" s="470"/>
      <c r="L38" s="470">
        <f>TRUNC(K38*E38,0)</f>
        <v>0</v>
      </c>
      <c r="M38" s="470">
        <f t="shared" si="5"/>
        <v>142556</v>
      </c>
      <c r="N38" s="470">
        <f t="shared" si="5"/>
        <v>183897</v>
      </c>
      <c r="O38" s="457"/>
      <c r="P38" s="767"/>
    </row>
    <row r="39" spans="2:17" ht="15.2" customHeight="1">
      <c r="B39" s="766" t="s">
        <v>1162</v>
      </c>
      <c r="C39" s="766"/>
      <c r="D39" s="84"/>
      <c r="E39" s="87">
        <v>1.36</v>
      </c>
      <c r="F39" s="86" t="s">
        <v>1163</v>
      </c>
      <c r="G39" s="470"/>
      <c r="H39" s="470">
        <f>TRUNC(E39*G39,0)</f>
        <v>0</v>
      </c>
      <c r="I39" s="470">
        <f>SUMIF('노임(2015)'!$B$4:$B$87,B39,'노임(2015)'!$C$4:$C$87)+SUMIF('노임(2015)'!$E$4:$E$87,B39,'노임(2015)'!$F$4:$F$87)</f>
        <v>89566</v>
      </c>
      <c r="J39" s="470">
        <f>TRUNC(I39*E39,0)</f>
        <v>121809</v>
      </c>
      <c r="K39" s="470"/>
      <c r="L39" s="470">
        <f>TRUNC(K39*E39,0)</f>
        <v>0</v>
      </c>
      <c r="M39" s="470">
        <f t="shared" si="5"/>
        <v>89566</v>
      </c>
      <c r="N39" s="470">
        <f t="shared" si="5"/>
        <v>121809</v>
      </c>
      <c r="O39" s="457"/>
      <c r="P39" s="767"/>
    </row>
    <row r="40" spans="2:17" ht="15.2" customHeight="1">
      <c r="B40" s="766" t="s">
        <v>855</v>
      </c>
      <c r="C40" s="766"/>
      <c r="D40" s="84"/>
      <c r="E40" s="87"/>
      <c r="F40" s="86"/>
      <c r="G40" s="470"/>
      <c r="H40" s="470">
        <f>SUM(H35:H39)</f>
        <v>302610</v>
      </c>
      <c r="I40" s="470"/>
      <c r="J40" s="470">
        <f>SUM(J35:J39)</f>
        <v>305706</v>
      </c>
      <c r="K40" s="470"/>
      <c r="L40" s="470">
        <f>SUM(L35:L39)</f>
        <v>8398</v>
      </c>
      <c r="M40" s="470"/>
      <c r="N40" s="470">
        <f>SUM(N35:N39)</f>
        <v>616714</v>
      </c>
      <c r="O40" s="457"/>
      <c r="P40" s="767"/>
      <c r="Q40" s="80" t="s">
        <v>3244</v>
      </c>
    </row>
    <row r="41" spans="2:17" ht="15.2" customHeight="1">
      <c r="B41" s="83">
        <f>P41</f>
        <v>7</v>
      </c>
      <c r="C41" s="770" t="s">
        <v>4065</v>
      </c>
      <c r="D41" s="770"/>
      <c r="E41" s="770"/>
      <c r="F41" s="771"/>
      <c r="G41" s="470"/>
      <c r="H41" s="470"/>
      <c r="I41" s="470"/>
      <c r="J41" s="470"/>
      <c r="K41" s="470"/>
      <c r="L41" s="470"/>
      <c r="M41" s="470"/>
      <c r="N41" s="470"/>
      <c r="O41" s="457"/>
      <c r="P41" s="767">
        <f>MAX($P$5:P40)+1</f>
        <v>7</v>
      </c>
      <c r="Q41" s="80" t="s">
        <v>3243</v>
      </c>
    </row>
    <row r="42" spans="2:17" ht="15.2" customHeight="1">
      <c r="B42" s="766" t="s">
        <v>1797</v>
      </c>
      <c r="C42" s="766"/>
      <c r="D42" s="84" t="s">
        <v>858</v>
      </c>
      <c r="E42" s="85">
        <v>211</v>
      </c>
      <c r="F42" s="86" t="s">
        <v>1799</v>
      </c>
      <c r="G42" s="470">
        <f>사급자재!$M$68</f>
        <v>112</v>
      </c>
      <c r="H42" s="470">
        <f>TRUNC(E42*G42,0)</f>
        <v>23632</v>
      </c>
      <c r="I42" s="470"/>
      <c r="J42" s="470">
        <f>TRUNC(I42*E42,0)</f>
        <v>0</v>
      </c>
      <c r="K42" s="470">
        <f>자재운반비!$L$49</f>
        <v>26</v>
      </c>
      <c r="L42" s="470">
        <f>TRUNC(K42*E42,0)</f>
        <v>5486</v>
      </c>
      <c r="M42" s="470">
        <f t="shared" ref="M42:N46" si="6">G42+I42+K42</f>
        <v>138</v>
      </c>
      <c r="N42" s="470">
        <f t="shared" si="6"/>
        <v>29118</v>
      </c>
      <c r="O42" s="457"/>
      <c r="P42" s="767"/>
    </row>
    <row r="43" spans="2:17" ht="15.2" customHeight="1">
      <c r="B43" s="766" t="s">
        <v>1712</v>
      </c>
      <c r="C43" s="766"/>
      <c r="D43" s="84" t="s">
        <v>1741</v>
      </c>
      <c r="E43" s="87">
        <v>0.5</v>
      </c>
      <c r="F43" s="86" t="s">
        <v>1168</v>
      </c>
      <c r="G43" s="470">
        <f>사급자재!$M$14</f>
        <v>23000</v>
      </c>
      <c r="H43" s="470">
        <f>TRUNC(E43*G43,0)</f>
        <v>11500</v>
      </c>
      <c r="I43" s="470"/>
      <c r="J43" s="470">
        <f>TRUNC(I43*E43,0)</f>
        <v>0</v>
      </c>
      <c r="K43" s="470"/>
      <c r="L43" s="470">
        <f>TRUNC(K43*E43,0)</f>
        <v>0</v>
      </c>
      <c r="M43" s="470">
        <f t="shared" si="6"/>
        <v>23000</v>
      </c>
      <c r="N43" s="470">
        <f t="shared" si="6"/>
        <v>11500</v>
      </c>
      <c r="O43" s="457"/>
      <c r="P43" s="767"/>
    </row>
    <row r="44" spans="2:17" ht="15.2" customHeight="1">
      <c r="B44" s="766" t="s">
        <v>1713</v>
      </c>
      <c r="C44" s="766"/>
      <c r="D44" s="84" t="s">
        <v>1714</v>
      </c>
      <c r="E44" s="87">
        <v>0.73</v>
      </c>
      <c r="F44" s="86" t="s">
        <v>1168</v>
      </c>
      <c r="G44" s="470">
        <f>사급자재!$M$15</f>
        <v>23000</v>
      </c>
      <c r="H44" s="470">
        <f>TRUNC(E44*G44,0)</f>
        <v>16790</v>
      </c>
      <c r="I44" s="470"/>
      <c r="J44" s="470">
        <f>TRUNC(I44*E44,0)</f>
        <v>0</v>
      </c>
      <c r="K44" s="470"/>
      <c r="L44" s="470">
        <f>TRUNC(K44*E44,0)</f>
        <v>0</v>
      </c>
      <c r="M44" s="470">
        <f t="shared" si="6"/>
        <v>23000</v>
      </c>
      <c r="N44" s="470">
        <f t="shared" si="6"/>
        <v>16790</v>
      </c>
      <c r="O44" s="457"/>
      <c r="P44" s="767"/>
    </row>
    <row r="45" spans="2:17" ht="15.2" customHeight="1">
      <c r="B45" s="766" t="s">
        <v>1715</v>
      </c>
      <c r="C45" s="766"/>
      <c r="D45" s="84"/>
      <c r="E45" s="87">
        <v>0.85</v>
      </c>
      <c r="F45" s="86" t="s">
        <v>1163</v>
      </c>
      <c r="G45" s="470"/>
      <c r="H45" s="470">
        <f>TRUNC(E45*G45,0)</f>
        <v>0</v>
      </c>
      <c r="I45" s="470">
        <f>SUMIF('노임(2015)'!$B$4:$B$87,B45,'노임(2015)'!$C$4:$C$87)+SUMIF('노임(2015)'!$E$4:$E$87,B45,'노임(2015)'!$F$4:$F$87)</f>
        <v>142556</v>
      </c>
      <c r="J45" s="470">
        <f>TRUNC(I45*E45,0)</f>
        <v>121172</v>
      </c>
      <c r="K45" s="470"/>
      <c r="L45" s="470">
        <f>TRUNC(K45*E45,0)</f>
        <v>0</v>
      </c>
      <c r="M45" s="470">
        <f t="shared" si="6"/>
        <v>142556</v>
      </c>
      <c r="N45" s="470">
        <f t="shared" si="6"/>
        <v>121172</v>
      </c>
      <c r="O45" s="457"/>
      <c r="P45" s="767"/>
    </row>
    <row r="46" spans="2:17" ht="15.2" customHeight="1">
      <c r="B46" s="766" t="s">
        <v>1162</v>
      </c>
      <c r="C46" s="766"/>
      <c r="D46" s="84"/>
      <c r="E46" s="87">
        <v>0.82</v>
      </c>
      <c r="F46" s="86" t="s">
        <v>1163</v>
      </c>
      <c r="G46" s="470"/>
      <c r="H46" s="470">
        <f>TRUNC(E46*G46,0)</f>
        <v>0</v>
      </c>
      <c r="I46" s="470">
        <f>SUMIF('노임(2015)'!$B$4:$B$87,B46,'노임(2015)'!$C$4:$C$87)+SUMIF('노임(2015)'!$E$4:$E$87,B46,'노임(2015)'!$F$4:$F$87)</f>
        <v>89566</v>
      </c>
      <c r="J46" s="470">
        <f>TRUNC(I46*E46,0)</f>
        <v>73444</v>
      </c>
      <c r="K46" s="470"/>
      <c r="L46" s="470">
        <f>TRUNC(K46*E46,0)</f>
        <v>0</v>
      </c>
      <c r="M46" s="470">
        <f t="shared" si="6"/>
        <v>89566</v>
      </c>
      <c r="N46" s="470">
        <f t="shared" si="6"/>
        <v>73444</v>
      </c>
      <c r="O46" s="457"/>
      <c r="P46" s="767"/>
    </row>
    <row r="47" spans="2:17" ht="15.2" customHeight="1">
      <c r="B47" s="766" t="s">
        <v>855</v>
      </c>
      <c r="C47" s="766"/>
      <c r="D47" s="84"/>
      <c r="E47" s="87"/>
      <c r="F47" s="86"/>
      <c r="G47" s="470"/>
      <c r="H47" s="470">
        <f>SUM(H42:H46)</f>
        <v>51922</v>
      </c>
      <c r="I47" s="470"/>
      <c r="J47" s="470">
        <f>SUM(J42:J46)</f>
        <v>194616</v>
      </c>
      <c r="K47" s="470"/>
      <c r="L47" s="470">
        <f>SUM(L42:L46)</f>
        <v>5486</v>
      </c>
      <c r="M47" s="470"/>
      <c r="N47" s="470">
        <f>SUM(N42:N46)</f>
        <v>252024</v>
      </c>
      <c r="O47" s="457"/>
      <c r="P47" s="767"/>
      <c r="Q47" s="80" t="s">
        <v>3244</v>
      </c>
    </row>
    <row r="48" spans="2:17" ht="15.2" customHeight="1">
      <c r="B48" s="83">
        <f>P48</f>
        <v>8</v>
      </c>
      <c r="C48" s="770" t="s">
        <v>4066</v>
      </c>
      <c r="D48" s="770"/>
      <c r="E48" s="770"/>
      <c r="F48" s="771"/>
      <c r="G48" s="470"/>
      <c r="H48" s="470"/>
      <c r="I48" s="470"/>
      <c r="J48" s="470"/>
      <c r="K48" s="470"/>
      <c r="L48" s="470"/>
      <c r="M48" s="470"/>
      <c r="N48" s="470"/>
      <c r="O48" s="457"/>
      <c r="P48" s="767">
        <f>MAX($P$5:P47)+1</f>
        <v>8</v>
      </c>
      <c r="Q48" s="80" t="s">
        <v>3243</v>
      </c>
    </row>
    <row r="49" spans="2:17" ht="15.2" customHeight="1">
      <c r="B49" s="766" t="s">
        <v>1797</v>
      </c>
      <c r="C49" s="766"/>
      <c r="D49" s="84" t="s">
        <v>858</v>
      </c>
      <c r="E49" s="85">
        <v>211</v>
      </c>
      <c r="F49" s="86" t="s">
        <v>1799</v>
      </c>
      <c r="G49" s="470">
        <f>사급자재!$M$68</f>
        <v>112</v>
      </c>
      <c r="H49" s="470">
        <f>TRUNC(E49*G49,0)</f>
        <v>23632</v>
      </c>
      <c r="I49" s="470"/>
      <c r="J49" s="470">
        <f>TRUNC(I49*E49,0)</f>
        <v>0</v>
      </c>
      <c r="K49" s="470">
        <f>자재운반비!$L$49</f>
        <v>26</v>
      </c>
      <c r="L49" s="470">
        <f>TRUNC(K49*E49,0)</f>
        <v>5486</v>
      </c>
      <c r="M49" s="470">
        <f t="shared" ref="M49:N53" si="7">G49+I49+K49</f>
        <v>138</v>
      </c>
      <c r="N49" s="470">
        <f t="shared" si="7"/>
        <v>29118</v>
      </c>
      <c r="O49" s="457"/>
      <c r="P49" s="767"/>
    </row>
    <row r="50" spans="2:17" ht="15.2" customHeight="1">
      <c r="B50" s="766" t="s">
        <v>1712</v>
      </c>
      <c r="C50" s="766"/>
      <c r="D50" s="84" t="s">
        <v>1741</v>
      </c>
      <c r="E50" s="87">
        <v>0.5</v>
      </c>
      <c r="F50" s="86" t="s">
        <v>1168</v>
      </c>
      <c r="G50" s="470">
        <f>사급자재!$M$14</f>
        <v>23000</v>
      </c>
      <c r="H50" s="470">
        <f>TRUNC(E50*G50,0)</f>
        <v>11500</v>
      </c>
      <c r="I50" s="470"/>
      <c r="J50" s="470">
        <f>TRUNC(I50*E50,0)</f>
        <v>0</v>
      </c>
      <c r="K50" s="470"/>
      <c r="L50" s="470">
        <f>TRUNC(K50*E50,0)</f>
        <v>0</v>
      </c>
      <c r="M50" s="470">
        <f t="shared" si="7"/>
        <v>23000</v>
      </c>
      <c r="N50" s="470">
        <f t="shared" si="7"/>
        <v>11500</v>
      </c>
      <c r="O50" s="457"/>
      <c r="P50" s="767"/>
    </row>
    <row r="51" spans="2:17" ht="15.2" customHeight="1">
      <c r="B51" s="766" t="s">
        <v>1713</v>
      </c>
      <c r="C51" s="766"/>
      <c r="D51" s="84" t="s">
        <v>1714</v>
      </c>
      <c r="E51" s="87">
        <v>0.73</v>
      </c>
      <c r="F51" s="86" t="s">
        <v>1168</v>
      </c>
      <c r="G51" s="470">
        <f>사급자재!$M$15</f>
        <v>23000</v>
      </c>
      <c r="H51" s="470">
        <f>TRUNC(E51*G51,0)</f>
        <v>16790</v>
      </c>
      <c r="I51" s="470"/>
      <c r="J51" s="470">
        <f>TRUNC(I51*E51,0)</f>
        <v>0</v>
      </c>
      <c r="K51" s="470"/>
      <c r="L51" s="470">
        <f>TRUNC(K51*E51,0)</f>
        <v>0</v>
      </c>
      <c r="M51" s="470">
        <f t="shared" si="7"/>
        <v>23000</v>
      </c>
      <c r="N51" s="470">
        <f t="shared" si="7"/>
        <v>16790</v>
      </c>
      <c r="O51" s="457"/>
      <c r="P51" s="767"/>
    </row>
    <row r="52" spans="2:17" ht="15.2" customHeight="1">
      <c r="B52" s="766" t="s">
        <v>1715</v>
      </c>
      <c r="C52" s="766"/>
      <c r="D52" s="84"/>
      <c r="E52" s="87">
        <v>1.29</v>
      </c>
      <c r="F52" s="86" t="s">
        <v>1163</v>
      </c>
      <c r="G52" s="470"/>
      <c r="H52" s="470">
        <f>TRUNC(E52*G52,0)</f>
        <v>0</v>
      </c>
      <c r="I52" s="470">
        <f>SUMIF('노임(2015)'!$B$4:$B$87,B52,'노임(2015)'!$C$4:$C$87)+SUMIF('노임(2015)'!$E$4:$E$87,B52,'노임(2015)'!$F$4:$F$87)</f>
        <v>142556</v>
      </c>
      <c r="J52" s="470">
        <f>TRUNC(I52*E52,0)</f>
        <v>183897</v>
      </c>
      <c r="K52" s="470"/>
      <c r="L52" s="470">
        <f>TRUNC(K52*E52,0)</f>
        <v>0</v>
      </c>
      <c r="M52" s="470">
        <f t="shared" si="7"/>
        <v>142556</v>
      </c>
      <c r="N52" s="470">
        <f t="shared" si="7"/>
        <v>183897</v>
      </c>
      <c r="O52" s="457"/>
      <c r="P52" s="767"/>
    </row>
    <row r="53" spans="2:17" ht="15.2" customHeight="1">
      <c r="B53" s="766" t="s">
        <v>1162</v>
      </c>
      <c r="C53" s="766"/>
      <c r="D53" s="84"/>
      <c r="E53" s="87">
        <v>1.36</v>
      </c>
      <c r="F53" s="86" t="s">
        <v>1163</v>
      </c>
      <c r="G53" s="470"/>
      <c r="H53" s="470">
        <f>TRUNC(E53*G53,0)</f>
        <v>0</v>
      </c>
      <c r="I53" s="470">
        <f>SUMIF('노임(2015)'!$B$4:$B$87,B53,'노임(2015)'!$C$4:$C$87)+SUMIF('노임(2015)'!$E$4:$E$87,B53,'노임(2015)'!$F$4:$F$87)</f>
        <v>89566</v>
      </c>
      <c r="J53" s="470">
        <f>TRUNC(I53*E53,0)</f>
        <v>121809</v>
      </c>
      <c r="K53" s="470"/>
      <c r="L53" s="470">
        <f>TRUNC(K53*E53,0)</f>
        <v>0</v>
      </c>
      <c r="M53" s="470">
        <f t="shared" si="7"/>
        <v>89566</v>
      </c>
      <c r="N53" s="470">
        <f t="shared" si="7"/>
        <v>121809</v>
      </c>
      <c r="O53" s="457"/>
      <c r="P53" s="767"/>
    </row>
    <row r="54" spans="2:17" ht="15.2" customHeight="1">
      <c r="B54" s="766" t="s">
        <v>855</v>
      </c>
      <c r="C54" s="766"/>
      <c r="D54" s="84"/>
      <c r="E54" s="87"/>
      <c r="F54" s="86"/>
      <c r="G54" s="470"/>
      <c r="H54" s="470">
        <f>SUM(H49:H53)</f>
        <v>51922</v>
      </c>
      <c r="I54" s="470"/>
      <c r="J54" s="470">
        <f>SUM(J49:J53)</f>
        <v>305706</v>
      </c>
      <c r="K54" s="470"/>
      <c r="L54" s="470">
        <f>SUM(L49:L53)</f>
        <v>5486</v>
      </c>
      <c r="M54" s="470"/>
      <c r="N54" s="470">
        <f>SUM(N49:N53)</f>
        <v>363114</v>
      </c>
      <c r="O54" s="457"/>
      <c r="P54" s="767"/>
      <c r="Q54" s="80" t="s">
        <v>3244</v>
      </c>
    </row>
    <row r="55" spans="2:17" ht="15.2" customHeight="1">
      <c r="B55" s="83">
        <f>P55</f>
        <v>9</v>
      </c>
      <c r="C55" s="770" t="s">
        <v>4008</v>
      </c>
      <c r="D55" s="770"/>
      <c r="E55" s="770"/>
      <c r="F55" s="771"/>
      <c r="G55" s="470"/>
      <c r="H55" s="470"/>
      <c r="I55" s="470"/>
      <c r="J55" s="470"/>
      <c r="K55" s="470"/>
      <c r="L55" s="470"/>
      <c r="M55" s="470"/>
      <c r="N55" s="470"/>
      <c r="O55" s="457"/>
      <c r="P55" s="767">
        <f>MAX($P$5:P54)+1</f>
        <v>9</v>
      </c>
      <c r="Q55" s="80" t="s">
        <v>3243</v>
      </c>
    </row>
    <row r="56" spans="2:17" ht="15.2" customHeight="1">
      <c r="B56" s="766" t="s">
        <v>3311</v>
      </c>
      <c r="C56" s="766"/>
      <c r="D56" s="84"/>
      <c r="E56" s="87">
        <v>1.03</v>
      </c>
      <c r="F56" s="86" t="s">
        <v>1716</v>
      </c>
      <c r="G56" s="470">
        <f>관급자재!$F$7</f>
        <v>546418</v>
      </c>
      <c r="H56" s="470">
        <f t="shared" ref="H56:H62" si="8">TRUNC(E56*G56,0)</f>
        <v>562810</v>
      </c>
      <c r="I56" s="470"/>
      <c r="J56" s="470">
        <f t="shared" ref="J56:J62" si="9">TRUNC(I56*E56,0)</f>
        <v>0</v>
      </c>
      <c r="K56" s="470"/>
      <c r="L56" s="470">
        <f t="shared" ref="L56:L62" si="10">TRUNC(K56*E56,0)</f>
        <v>0</v>
      </c>
      <c r="M56" s="470">
        <f t="shared" ref="M56:M62" si="11">G56+I56+K56</f>
        <v>546418</v>
      </c>
      <c r="N56" s="470">
        <f t="shared" ref="N56:N62" si="12">H56+J56+L56</f>
        <v>562810</v>
      </c>
      <c r="O56" s="457"/>
      <c r="P56" s="767"/>
    </row>
    <row r="57" spans="2:17" ht="15.2" customHeight="1">
      <c r="B57" s="766" t="s">
        <v>1717</v>
      </c>
      <c r="C57" s="766"/>
      <c r="D57" s="84" t="s">
        <v>1718</v>
      </c>
      <c r="E57" s="87">
        <v>5</v>
      </c>
      <c r="F57" s="86" t="s">
        <v>1799</v>
      </c>
      <c r="G57" s="470">
        <f>사급자재!$M$36</f>
        <v>1490</v>
      </c>
      <c r="H57" s="470">
        <f t="shared" si="8"/>
        <v>7450</v>
      </c>
      <c r="I57" s="470"/>
      <c r="J57" s="470">
        <f t="shared" si="9"/>
        <v>0</v>
      </c>
      <c r="K57" s="470"/>
      <c r="L57" s="470">
        <f t="shared" si="10"/>
        <v>0</v>
      </c>
      <c r="M57" s="470">
        <f t="shared" ref="M57:N59" si="13">G57+I57+K57</f>
        <v>1490</v>
      </c>
      <c r="N57" s="470">
        <f t="shared" si="13"/>
        <v>7450</v>
      </c>
      <c r="O57" s="457"/>
      <c r="P57" s="767"/>
    </row>
    <row r="58" spans="2:17" ht="15.2" customHeight="1">
      <c r="B58" s="766" t="s">
        <v>1719</v>
      </c>
      <c r="C58" s="766"/>
      <c r="D58" s="84" t="s">
        <v>1720</v>
      </c>
      <c r="E58" s="87">
        <v>1.07</v>
      </c>
      <c r="F58" s="86" t="s">
        <v>1163</v>
      </c>
      <c r="G58" s="470"/>
      <c r="H58" s="470">
        <f t="shared" si="8"/>
        <v>0</v>
      </c>
      <c r="I58" s="470">
        <f>SUMIF('노임(2015)'!$B$4:$B$87,B58,'노임(2015)'!$C$4:$C$87)+SUMIF('노임(2015)'!$E$4:$E$87,B58,'노임(2015)'!$F$4:$F$87)</f>
        <v>148057</v>
      </c>
      <c r="J58" s="470">
        <f t="shared" si="9"/>
        <v>158420</v>
      </c>
      <c r="K58" s="470"/>
      <c r="L58" s="470">
        <f t="shared" si="10"/>
        <v>0</v>
      </c>
      <c r="M58" s="470">
        <f t="shared" si="13"/>
        <v>148057</v>
      </c>
      <c r="N58" s="470">
        <f t="shared" si="13"/>
        <v>158420</v>
      </c>
      <c r="O58" s="457"/>
      <c r="P58" s="767"/>
    </row>
    <row r="59" spans="2:17" ht="15.2" customHeight="1">
      <c r="B59" s="766" t="s">
        <v>1162</v>
      </c>
      <c r="C59" s="766"/>
      <c r="D59" s="84" t="s">
        <v>1720</v>
      </c>
      <c r="E59" s="87">
        <v>0.35</v>
      </c>
      <c r="F59" s="86" t="s">
        <v>1163</v>
      </c>
      <c r="G59" s="470"/>
      <c r="H59" s="470">
        <f t="shared" si="8"/>
        <v>0</v>
      </c>
      <c r="I59" s="470">
        <f>SUMIF('노임(2015)'!$B$4:$B$87,B59,'노임(2015)'!$C$4:$C$87)+SUMIF('노임(2015)'!$E$4:$E$87,B59,'노임(2015)'!$F$4:$F$87)</f>
        <v>89566</v>
      </c>
      <c r="J59" s="470">
        <f t="shared" si="9"/>
        <v>31348</v>
      </c>
      <c r="K59" s="470"/>
      <c r="L59" s="470">
        <f t="shared" si="10"/>
        <v>0</v>
      </c>
      <c r="M59" s="470">
        <f t="shared" si="13"/>
        <v>89566</v>
      </c>
      <c r="N59" s="470">
        <f t="shared" si="13"/>
        <v>31348</v>
      </c>
      <c r="O59" s="457"/>
      <c r="P59" s="767"/>
    </row>
    <row r="60" spans="2:17" ht="15.2" customHeight="1">
      <c r="B60" s="766" t="s">
        <v>1192</v>
      </c>
      <c r="C60" s="766"/>
      <c r="D60" s="84" t="s">
        <v>861</v>
      </c>
      <c r="E60" s="87">
        <v>0.02</v>
      </c>
      <c r="F60" s="86" t="s">
        <v>933</v>
      </c>
      <c r="G60" s="470">
        <f>SUM(J58:J59)</f>
        <v>189768</v>
      </c>
      <c r="H60" s="470">
        <f t="shared" si="8"/>
        <v>3795</v>
      </c>
      <c r="I60" s="470"/>
      <c r="J60" s="470">
        <f t="shared" si="9"/>
        <v>0</v>
      </c>
      <c r="K60" s="470"/>
      <c r="L60" s="470">
        <f t="shared" si="10"/>
        <v>0</v>
      </c>
      <c r="M60" s="470">
        <f t="shared" si="11"/>
        <v>189768</v>
      </c>
      <c r="N60" s="470">
        <f t="shared" si="12"/>
        <v>3795</v>
      </c>
      <c r="O60" s="457"/>
      <c r="P60" s="767"/>
    </row>
    <row r="61" spans="2:17" ht="15.2" customHeight="1">
      <c r="B61" s="766" t="s">
        <v>1719</v>
      </c>
      <c r="C61" s="766"/>
      <c r="D61" s="84" t="s">
        <v>1721</v>
      </c>
      <c r="E61" s="87">
        <v>1.69</v>
      </c>
      <c r="F61" s="86" t="s">
        <v>1163</v>
      </c>
      <c r="G61" s="470"/>
      <c r="H61" s="470">
        <f t="shared" si="8"/>
        <v>0</v>
      </c>
      <c r="I61" s="470">
        <f>SUMIF('노임(2015)'!$B$4:$B$87,B61,'노임(2015)'!$C$4:$C$87)+SUMIF('노임(2015)'!$E$4:$E$87,B61,'노임(2015)'!$F$4:$F$87)</f>
        <v>148057</v>
      </c>
      <c r="J61" s="470">
        <f t="shared" si="9"/>
        <v>250216</v>
      </c>
      <c r="K61" s="470"/>
      <c r="L61" s="470">
        <f>TRUNC(K61*E61,0)</f>
        <v>0</v>
      </c>
      <c r="M61" s="470">
        <f t="shared" si="11"/>
        <v>148057</v>
      </c>
      <c r="N61" s="470">
        <f t="shared" si="12"/>
        <v>250216</v>
      </c>
      <c r="O61" s="457"/>
      <c r="P61" s="767"/>
    </row>
    <row r="62" spans="2:17" ht="15.2" customHeight="1">
      <c r="B62" s="766" t="s">
        <v>1162</v>
      </c>
      <c r="C62" s="766"/>
      <c r="D62" s="84" t="s">
        <v>1721</v>
      </c>
      <c r="E62" s="87">
        <v>0.69</v>
      </c>
      <c r="F62" s="86" t="s">
        <v>1163</v>
      </c>
      <c r="G62" s="470"/>
      <c r="H62" s="470">
        <f t="shared" si="8"/>
        <v>0</v>
      </c>
      <c r="I62" s="470">
        <f>SUMIF('노임(2015)'!$B$4:$B$87,B62,'노임(2015)'!$C$4:$C$87)+SUMIF('노임(2015)'!$E$4:$E$87,B62,'노임(2015)'!$F$4:$F$87)</f>
        <v>89566</v>
      </c>
      <c r="J62" s="470">
        <f t="shared" si="9"/>
        <v>61800</v>
      </c>
      <c r="K62" s="470"/>
      <c r="L62" s="470">
        <f t="shared" si="10"/>
        <v>0</v>
      </c>
      <c r="M62" s="470">
        <f t="shared" si="11"/>
        <v>89566</v>
      </c>
      <c r="N62" s="470">
        <f t="shared" si="12"/>
        <v>61800</v>
      </c>
      <c r="O62" s="457"/>
      <c r="P62" s="767"/>
    </row>
    <row r="63" spans="2:17" ht="15.2" customHeight="1">
      <c r="B63" s="766" t="s">
        <v>855</v>
      </c>
      <c r="C63" s="766"/>
      <c r="D63" s="84"/>
      <c r="E63" s="87"/>
      <c r="F63" s="86"/>
      <c r="G63" s="470"/>
      <c r="H63" s="470">
        <f>SUM(H56:H62)</f>
        <v>574055</v>
      </c>
      <c r="I63" s="470"/>
      <c r="J63" s="470">
        <f>SUM(J56:J62)</f>
        <v>501784</v>
      </c>
      <c r="K63" s="470"/>
      <c r="L63" s="470">
        <f>SUM(L56:L62)</f>
        <v>0</v>
      </c>
      <c r="M63" s="470"/>
      <c r="N63" s="470">
        <f>SUM(N56:N62)</f>
        <v>1075839</v>
      </c>
      <c r="O63" s="457"/>
      <c r="P63" s="767"/>
      <c r="Q63" s="80" t="s">
        <v>3244</v>
      </c>
    </row>
    <row r="64" spans="2:17" ht="15.2" customHeight="1">
      <c r="B64" s="83">
        <f>P64</f>
        <v>10</v>
      </c>
      <c r="C64" s="770" t="s">
        <v>4009</v>
      </c>
      <c r="D64" s="770"/>
      <c r="E64" s="770"/>
      <c r="F64" s="771"/>
      <c r="G64" s="470"/>
      <c r="H64" s="470"/>
      <c r="I64" s="470"/>
      <c r="J64" s="470"/>
      <c r="K64" s="470"/>
      <c r="L64" s="470"/>
      <c r="M64" s="470"/>
      <c r="N64" s="470"/>
      <c r="O64" s="457"/>
      <c r="P64" s="767">
        <f>MAX($P$5:P63)+1</f>
        <v>10</v>
      </c>
      <c r="Q64" s="80" t="s">
        <v>3243</v>
      </c>
    </row>
    <row r="65" spans="2:17" ht="15.2" customHeight="1">
      <c r="B65" s="766" t="s">
        <v>860</v>
      </c>
      <c r="C65" s="766"/>
      <c r="D65" s="84"/>
      <c r="E65" s="87">
        <v>1.03</v>
      </c>
      <c r="F65" s="86" t="s">
        <v>1716</v>
      </c>
      <c r="G65" s="470"/>
      <c r="H65" s="470">
        <f t="shared" ref="H65:H71" si="14">TRUNC(E65*G65,0)</f>
        <v>0</v>
      </c>
      <c r="I65" s="470"/>
      <c r="J65" s="470">
        <f t="shared" ref="J65:J71" si="15">TRUNC(I65*E65,0)</f>
        <v>0</v>
      </c>
      <c r="K65" s="470"/>
      <c r="L65" s="470">
        <f t="shared" ref="L65:L71" si="16">TRUNC(K65*E65,0)</f>
        <v>0</v>
      </c>
      <c r="M65" s="470">
        <f t="shared" ref="M65:M71" si="17">G65+I65+K65</f>
        <v>0</v>
      </c>
      <c r="N65" s="470">
        <f t="shared" ref="N65:N71" si="18">H65+J65+L65</f>
        <v>0</v>
      </c>
      <c r="O65" s="457"/>
      <c r="P65" s="767"/>
    </row>
    <row r="66" spans="2:17" ht="15.2" customHeight="1">
      <c r="B66" s="766" t="s">
        <v>1717</v>
      </c>
      <c r="C66" s="766"/>
      <c r="D66" s="84" t="s">
        <v>1718</v>
      </c>
      <c r="E66" s="87">
        <v>6.5</v>
      </c>
      <c r="F66" s="86" t="s">
        <v>1799</v>
      </c>
      <c r="G66" s="470">
        <f>사급자재!$M$36</f>
        <v>1490</v>
      </c>
      <c r="H66" s="470">
        <f t="shared" si="14"/>
        <v>9685</v>
      </c>
      <c r="I66" s="470"/>
      <c r="J66" s="470">
        <f t="shared" si="15"/>
        <v>0</v>
      </c>
      <c r="K66" s="470"/>
      <c r="L66" s="470">
        <f t="shared" si="16"/>
        <v>0</v>
      </c>
      <c r="M66" s="470">
        <f t="shared" si="17"/>
        <v>1490</v>
      </c>
      <c r="N66" s="470">
        <f t="shared" si="18"/>
        <v>9685</v>
      </c>
      <c r="O66" s="457"/>
      <c r="P66" s="767"/>
    </row>
    <row r="67" spans="2:17" ht="15.2" customHeight="1">
      <c r="B67" s="766" t="s">
        <v>1719</v>
      </c>
      <c r="C67" s="766"/>
      <c r="D67" s="84" t="s">
        <v>1720</v>
      </c>
      <c r="E67" s="87">
        <v>1.24</v>
      </c>
      <c r="F67" s="86" t="s">
        <v>1163</v>
      </c>
      <c r="G67" s="470"/>
      <c r="H67" s="470">
        <f t="shared" si="14"/>
        <v>0</v>
      </c>
      <c r="I67" s="470">
        <f>SUMIF('노임(2015)'!$B$4:$B$87,B67,'노임(2015)'!$C$4:$C$87)+SUMIF('노임(2015)'!$E$4:$E$87,B67,'노임(2015)'!$F$4:$F$87)</f>
        <v>148057</v>
      </c>
      <c r="J67" s="470">
        <f t="shared" si="15"/>
        <v>183590</v>
      </c>
      <c r="K67" s="470"/>
      <c r="L67" s="470">
        <f t="shared" si="16"/>
        <v>0</v>
      </c>
      <c r="M67" s="470">
        <f t="shared" si="17"/>
        <v>148057</v>
      </c>
      <c r="N67" s="470">
        <f t="shared" si="18"/>
        <v>183590</v>
      </c>
      <c r="O67" s="457"/>
      <c r="P67" s="767"/>
    </row>
    <row r="68" spans="2:17" ht="15.2" customHeight="1">
      <c r="B68" s="766" t="s">
        <v>1162</v>
      </c>
      <c r="C68" s="766"/>
      <c r="D68" s="84" t="s">
        <v>1720</v>
      </c>
      <c r="E68" s="87">
        <v>0.45</v>
      </c>
      <c r="F68" s="86" t="s">
        <v>1163</v>
      </c>
      <c r="G68" s="470"/>
      <c r="H68" s="470">
        <f t="shared" si="14"/>
        <v>0</v>
      </c>
      <c r="I68" s="470">
        <f>SUMIF('노임(2015)'!$B$4:$B$87,B68,'노임(2015)'!$C$4:$C$87)+SUMIF('노임(2015)'!$E$4:$E$87,B68,'노임(2015)'!$F$4:$F$87)</f>
        <v>89566</v>
      </c>
      <c r="J68" s="470">
        <f t="shared" si="15"/>
        <v>40304</v>
      </c>
      <c r="K68" s="470"/>
      <c r="L68" s="470">
        <f t="shared" si="16"/>
        <v>0</v>
      </c>
      <c r="M68" s="470">
        <f t="shared" si="17"/>
        <v>89566</v>
      </c>
      <c r="N68" s="470">
        <f t="shared" si="18"/>
        <v>40304</v>
      </c>
      <c r="O68" s="457"/>
      <c r="P68" s="767"/>
    </row>
    <row r="69" spans="2:17" ht="15.2" customHeight="1">
      <c r="B69" s="766" t="s">
        <v>1192</v>
      </c>
      <c r="C69" s="766"/>
      <c r="D69" s="84" t="s">
        <v>861</v>
      </c>
      <c r="E69" s="87">
        <v>0.02</v>
      </c>
      <c r="F69" s="86" t="s">
        <v>933</v>
      </c>
      <c r="G69" s="470">
        <f>SUM(J67:J68)</f>
        <v>223894</v>
      </c>
      <c r="H69" s="470">
        <f t="shared" si="14"/>
        <v>4477</v>
      </c>
      <c r="I69" s="470"/>
      <c r="J69" s="470">
        <f t="shared" si="15"/>
        <v>0</v>
      </c>
      <c r="K69" s="470"/>
      <c r="L69" s="470">
        <f t="shared" si="16"/>
        <v>0</v>
      </c>
      <c r="M69" s="470">
        <f t="shared" si="17"/>
        <v>223894</v>
      </c>
      <c r="N69" s="470">
        <f t="shared" si="18"/>
        <v>4477</v>
      </c>
      <c r="O69" s="457"/>
      <c r="P69" s="767"/>
    </row>
    <row r="70" spans="2:17" ht="15.2" customHeight="1">
      <c r="B70" s="766" t="s">
        <v>1719</v>
      </c>
      <c r="C70" s="766"/>
      <c r="D70" s="84" t="s">
        <v>1721</v>
      </c>
      <c r="E70" s="87">
        <v>1.84</v>
      </c>
      <c r="F70" s="86" t="s">
        <v>1163</v>
      </c>
      <c r="G70" s="470"/>
      <c r="H70" s="470">
        <f t="shared" si="14"/>
        <v>0</v>
      </c>
      <c r="I70" s="470">
        <f>SUMIF('노임(2015)'!$B$4:$B$87,B70,'노임(2015)'!$C$4:$C$87)+SUMIF('노임(2015)'!$E$4:$E$87,B70,'노임(2015)'!$F$4:$F$87)</f>
        <v>148057</v>
      </c>
      <c r="J70" s="470">
        <f t="shared" si="15"/>
        <v>272424</v>
      </c>
      <c r="K70" s="470"/>
      <c r="L70" s="470">
        <f t="shared" si="16"/>
        <v>0</v>
      </c>
      <c r="M70" s="470">
        <f t="shared" si="17"/>
        <v>148057</v>
      </c>
      <c r="N70" s="470">
        <f t="shared" si="18"/>
        <v>272424</v>
      </c>
      <c r="O70" s="457"/>
      <c r="P70" s="767"/>
    </row>
    <row r="71" spans="2:17" ht="15.2" customHeight="1">
      <c r="B71" s="766" t="s">
        <v>1162</v>
      </c>
      <c r="C71" s="766"/>
      <c r="D71" s="84" t="s">
        <v>1721</v>
      </c>
      <c r="E71" s="87">
        <v>0.75</v>
      </c>
      <c r="F71" s="86" t="s">
        <v>1163</v>
      </c>
      <c r="G71" s="470"/>
      <c r="H71" s="470">
        <f t="shared" si="14"/>
        <v>0</v>
      </c>
      <c r="I71" s="470">
        <f>SUMIF('노임(2015)'!$B$4:$B$87,B71,'노임(2015)'!$C$4:$C$87)+SUMIF('노임(2015)'!$E$4:$E$87,B71,'노임(2015)'!$F$4:$F$87)</f>
        <v>89566</v>
      </c>
      <c r="J71" s="470">
        <f t="shared" si="15"/>
        <v>67174</v>
      </c>
      <c r="K71" s="470"/>
      <c r="L71" s="470">
        <f t="shared" si="16"/>
        <v>0</v>
      </c>
      <c r="M71" s="470">
        <f t="shared" si="17"/>
        <v>89566</v>
      </c>
      <c r="N71" s="470">
        <f t="shared" si="18"/>
        <v>67174</v>
      </c>
      <c r="O71" s="457"/>
      <c r="P71" s="767"/>
    </row>
    <row r="72" spans="2:17" ht="15.2" customHeight="1">
      <c r="B72" s="766" t="s">
        <v>855</v>
      </c>
      <c r="C72" s="766"/>
      <c r="D72" s="84"/>
      <c r="E72" s="87"/>
      <c r="F72" s="86"/>
      <c r="G72" s="470"/>
      <c r="H72" s="470">
        <f>SUM(H65:H71)</f>
        <v>14162</v>
      </c>
      <c r="I72" s="470"/>
      <c r="J72" s="470">
        <f>SUM(J65:J71)</f>
        <v>563492</v>
      </c>
      <c r="K72" s="470"/>
      <c r="L72" s="470">
        <f>SUM(L65:L71)</f>
        <v>0</v>
      </c>
      <c r="M72" s="470"/>
      <c r="N72" s="470">
        <f>SUM(N65:N71)</f>
        <v>577654</v>
      </c>
      <c r="O72" s="457"/>
      <c r="P72" s="767"/>
      <c r="Q72" s="80" t="s">
        <v>3244</v>
      </c>
    </row>
    <row r="73" spans="2:17" ht="15.2" customHeight="1">
      <c r="B73" s="83">
        <f>P73</f>
        <v>11</v>
      </c>
      <c r="C73" s="770" t="s">
        <v>4010</v>
      </c>
      <c r="D73" s="770"/>
      <c r="E73" s="770"/>
      <c r="F73" s="771"/>
      <c r="G73" s="470"/>
      <c r="H73" s="470"/>
      <c r="I73" s="470"/>
      <c r="J73" s="470"/>
      <c r="K73" s="470"/>
      <c r="L73" s="470"/>
      <c r="M73" s="470"/>
      <c r="N73" s="470"/>
      <c r="O73" s="457"/>
      <c r="P73" s="767">
        <f>MAX($P$5:P72)+1</f>
        <v>11</v>
      </c>
      <c r="Q73" s="80" t="s">
        <v>3243</v>
      </c>
    </row>
    <row r="74" spans="2:17" ht="15.2" customHeight="1">
      <c r="B74" s="766" t="s">
        <v>860</v>
      </c>
      <c r="C74" s="766"/>
      <c r="D74" s="84"/>
      <c r="E74" s="87">
        <v>1.06</v>
      </c>
      <c r="F74" s="86" t="s">
        <v>1716</v>
      </c>
      <c r="G74" s="470"/>
      <c r="H74" s="470">
        <f t="shared" ref="H74:H80" si="19">TRUNC(E74*G74,0)</f>
        <v>0</v>
      </c>
      <c r="I74" s="470"/>
      <c r="J74" s="470">
        <f t="shared" ref="J74:J80" si="20">TRUNC(I74*E74,0)</f>
        <v>0</v>
      </c>
      <c r="K74" s="470"/>
      <c r="L74" s="470">
        <f t="shared" ref="L74:L80" si="21">TRUNC(K74*E74,0)</f>
        <v>0</v>
      </c>
      <c r="M74" s="470">
        <f t="shared" ref="M74:M80" si="22">G74+I74+K74</f>
        <v>0</v>
      </c>
      <c r="N74" s="470">
        <f t="shared" ref="N74:N80" si="23">H74+J74+L74</f>
        <v>0</v>
      </c>
      <c r="O74" s="457"/>
      <c r="P74" s="767"/>
    </row>
    <row r="75" spans="2:17" ht="15.2" customHeight="1">
      <c r="B75" s="766" t="s">
        <v>1717</v>
      </c>
      <c r="C75" s="766"/>
      <c r="D75" s="84" t="s">
        <v>1718</v>
      </c>
      <c r="E75" s="87">
        <v>8</v>
      </c>
      <c r="F75" s="86" t="s">
        <v>1799</v>
      </c>
      <c r="G75" s="470">
        <f>사급자재!$M$36</f>
        <v>1490</v>
      </c>
      <c r="H75" s="470">
        <f t="shared" si="19"/>
        <v>11920</v>
      </c>
      <c r="I75" s="470"/>
      <c r="J75" s="470">
        <f t="shared" si="20"/>
        <v>0</v>
      </c>
      <c r="K75" s="470"/>
      <c r="L75" s="470">
        <f t="shared" si="21"/>
        <v>0</v>
      </c>
      <c r="M75" s="470">
        <f t="shared" si="22"/>
        <v>1490</v>
      </c>
      <c r="N75" s="470">
        <f t="shared" si="23"/>
        <v>11920</v>
      </c>
      <c r="O75" s="457"/>
      <c r="P75" s="767"/>
    </row>
    <row r="76" spans="2:17" ht="15.2" customHeight="1">
      <c r="B76" s="766" t="s">
        <v>1719</v>
      </c>
      <c r="C76" s="766"/>
      <c r="D76" s="84" t="s">
        <v>1720</v>
      </c>
      <c r="E76" s="87">
        <v>1.51</v>
      </c>
      <c r="F76" s="86" t="s">
        <v>1163</v>
      </c>
      <c r="G76" s="470"/>
      <c r="H76" s="470">
        <f t="shared" si="19"/>
        <v>0</v>
      </c>
      <c r="I76" s="470">
        <f>SUMIF('노임(2015)'!$B$4:$B$87,B76,'노임(2015)'!$C$4:$C$87)+SUMIF('노임(2015)'!$E$4:$E$87,B76,'노임(2015)'!$F$4:$F$87)</f>
        <v>148057</v>
      </c>
      <c r="J76" s="470">
        <f t="shared" si="20"/>
        <v>223566</v>
      </c>
      <c r="K76" s="470"/>
      <c r="L76" s="470">
        <f t="shared" si="21"/>
        <v>0</v>
      </c>
      <c r="M76" s="470">
        <f t="shared" si="22"/>
        <v>148057</v>
      </c>
      <c r="N76" s="470">
        <f t="shared" si="23"/>
        <v>223566</v>
      </c>
      <c r="O76" s="457"/>
      <c r="P76" s="767"/>
    </row>
    <row r="77" spans="2:17" ht="15.2" customHeight="1">
      <c r="B77" s="766" t="s">
        <v>1162</v>
      </c>
      <c r="C77" s="766"/>
      <c r="D77" s="84" t="s">
        <v>1720</v>
      </c>
      <c r="E77" s="87">
        <v>0.5</v>
      </c>
      <c r="F77" s="86" t="s">
        <v>1163</v>
      </c>
      <c r="G77" s="470"/>
      <c r="H77" s="470">
        <f t="shared" si="19"/>
        <v>0</v>
      </c>
      <c r="I77" s="470">
        <f>SUMIF('노임(2015)'!$B$4:$B$87,B77,'노임(2015)'!$C$4:$C$87)+SUMIF('노임(2015)'!$E$4:$E$87,B77,'노임(2015)'!$F$4:$F$87)</f>
        <v>89566</v>
      </c>
      <c r="J77" s="470">
        <f t="shared" si="20"/>
        <v>44783</v>
      </c>
      <c r="K77" s="470"/>
      <c r="L77" s="470">
        <f t="shared" si="21"/>
        <v>0</v>
      </c>
      <c r="M77" s="470">
        <f t="shared" si="22"/>
        <v>89566</v>
      </c>
      <c r="N77" s="470">
        <f t="shared" si="23"/>
        <v>44783</v>
      </c>
      <c r="O77" s="457"/>
      <c r="P77" s="767"/>
    </row>
    <row r="78" spans="2:17" ht="15.2" customHeight="1">
      <c r="B78" s="766" t="s">
        <v>1192</v>
      </c>
      <c r="C78" s="766"/>
      <c r="D78" s="84" t="s">
        <v>861</v>
      </c>
      <c r="E78" s="87">
        <v>0.02</v>
      </c>
      <c r="F78" s="86" t="s">
        <v>933</v>
      </c>
      <c r="G78" s="470">
        <f>SUM(J76:J77)</f>
        <v>268349</v>
      </c>
      <c r="H78" s="470">
        <f t="shared" si="19"/>
        <v>5366</v>
      </c>
      <c r="I78" s="470"/>
      <c r="J78" s="470">
        <f t="shared" si="20"/>
        <v>0</v>
      </c>
      <c r="K78" s="470"/>
      <c r="L78" s="470">
        <f t="shared" si="21"/>
        <v>0</v>
      </c>
      <c r="M78" s="470">
        <f t="shared" si="22"/>
        <v>268349</v>
      </c>
      <c r="N78" s="470">
        <f t="shared" si="23"/>
        <v>5366</v>
      </c>
      <c r="O78" s="457"/>
      <c r="P78" s="767"/>
    </row>
    <row r="79" spans="2:17" ht="15.2" customHeight="1">
      <c r="B79" s="766" t="s">
        <v>1719</v>
      </c>
      <c r="C79" s="766"/>
      <c r="D79" s="84" t="s">
        <v>1721</v>
      </c>
      <c r="E79" s="87">
        <v>1.92</v>
      </c>
      <c r="F79" s="86" t="s">
        <v>1163</v>
      </c>
      <c r="G79" s="470"/>
      <c r="H79" s="470">
        <f t="shared" si="19"/>
        <v>0</v>
      </c>
      <c r="I79" s="470">
        <f>SUMIF('노임(2015)'!$B$4:$B$87,B79,'노임(2015)'!$C$4:$C$87)+SUMIF('노임(2015)'!$E$4:$E$87,B79,'노임(2015)'!$F$4:$F$87)</f>
        <v>148057</v>
      </c>
      <c r="J79" s="470">
        <f t="shared" si="20"/>
        <v>284269</v>
      </c>
      <c r="K79" s="470"/>
      <c r="L79" s="470">
        <f t="shared" si="21"/>
        <v>0</v>
      </c>
      <c r="M79" s="470">
        <f t="shared" si="22"/>
        <v>148057</v>
      </c>
      <c r="N79" s="470">
        <f t="shared" si="23"/>
        <v>284269</v>
      </c>
      <c r="O79" s="457"/>
      <c r="P79" s="767"/>
    </row>
    <row r="80" spans="2:17" ht="15.2" customHeight="1">
      <c r="B80" s="766" t="s">
        <v>1162</v>
      </c>
      <c r="C80" s="766"/>
      <c r="D80" s="84" t="s">
        <v>1721</v>
      </c>
      <c r="E80" s="87">
        <v>0.8</v>
      </c>
      <c r="F80" s="86" t="s">
        <v>1163</v>
      </c>
      <c r="G80" s="470"/>
      <c r="H80" s="470">
        <f t="shared" si="19"/>
        <v>0</v>
      </c>
      <c r="I80" s="470">
        <f>SUMIF('노임(2015)'!$B$4:$B$87,B80,'노임(2015)'!$C$4:$C$87)+SUMIF('노임(2015)'!$E$4:$E$87,B80,'노임(2015)'!$F$4:$F$87)</f>
        <v>89566</v>
      </c>
      <c r="J80" s="470">
        <f t="shared" si="20"/>
        <v>71652</v>
      </c>
      <c r="K80" s="470"/>
      <c r="L80" s="470">
        <f t="shared" si="21"/>
        <v>0</v>
      </c>
      <c r="M80" s="470">
        <f t="shared" si="22"/>
        <v>89566</v>
      </c>
      <c r="N80" s="470">
        <f t="shared" si="23"/>
        <v>71652</v>
      </c>
      <c r="O80" s="457"/>
      <c r="P80" s="767"/>
    </row>
    <row r="81" spans="2:17" ht="15.2" customHeight="1">
      <c r="B81" s="766" t="s">
        <v>855</v>
      </c>
      <c r="C81" s="766"/>
      <c r="D81" s="84"/>
      <c r="E81" s="87"/>
      <c r="F81" s="86"/>
      <c r="G81" s="470"/>
      <c r="H81" s="470">
        <f>SUM(H74:H80)</f>
        <v>17286</v>
      </c>
      <c r="I81" s="470"/>
      <c r="J81" s="470">
        <f>SUM(J74:J80)</f>
        <v>624270</v>
      </c>
      <c r="K81" s="470"/>
      <c r="L81" s="470">
        <f>SUM(L74:L80)</f>
        <v>0</v>
      </c>
      <c r="M81" s="470"/>
      <c r="N81" s="470">
        <f>SUM(N74:N80)</f>
        <v>641556</v>
      </c>
      <c r="O81" s="457"/>
      <c r="P81" s="767"/>
      <c r="Q81" s="80" t="s">
        <v>3244</v>
      </c>
    </row>
    <row r="82" spans="2:17" ht="15.2" customHeight="1">
      <c r="B82" s="83">
        <f>P82</f>
        <v>12</v>
      </c>
      <c r="C82" s="770" t="s">
        <v>4011</v>
      </c>
      <c r="D82" s="770"/>
      <c r="E82" s="770"/>
      <c r="F82" s="771"/>
      <c r="G82" s="470"/>
      <c r="H82" s="470"/>
      <c r="I82" s="470"/>
      <c r="J82" s="470"/>
      <c r="K82" s="470"/>
      <c r="L82" s="470"/>
      <c r="M82" s="470"/>
      <c r="N82" s="470"/>
      <c r="O82" s="457"/>
      <c r="P82" s="767">
        <f>MAX($P$5:P81)+1</f>
        <v>12</v>
      </c>
      <c r="Q82" s="80" t="s">
        <v>3243</v>
      </c>
    </row>
    <row r="83" spans="2:17" ht="15.2" customHeight="1">
      <c r="B83" s="766" t="s">
        <v>860</v>
      </c>
      <c r="C83" s="766"/>
      <c r="D83" s="84"/>
      <c r="E83" s="87">
        <v>1.06</v>
      </c>
      <c r="F83" s="86" t="s">
        <v>1716</v>
      </c>
      <c r="G83" s="470"/>
      <c r="H83" s="470">
        <f t="shared" ref="H83:H89" si="24">TRUNC(E83*G83,0)</f>
        <v>0</v>
      </c>
      <c r="I83" s="470"/>
      <c r="J83" s="470">
        <f t="shared" ref="J83:J89" si="25">TRUNC(I83*E83,0)</f>
        <v>0</v>
      </c>
      <c r="K83" s="470"/>
      <c r="L83" s="470">
        <f t="shared" ref="L83:L89" si="26">TRUNC(K83*E83,0)</f>
        <v>0</v>
      </c>
      <c r="M83" s="470">
        <f t="shared" ref="M83:M89" si="27">G83+I83+K83</f>
        <v>0</v>
      </c>
      <c r="N83" s="470">
        <f t="shared" ref="N83:N89" si="28">H83+J83+L83</f>
        <v>0</v>
      </c>
      <c r="O83" s="457"/>
      <c r="P83" s="767"/>
    </row>
    <row r="84" spans="2:17" ht="15.2" customHeight="1">
      <c r="B84" s="766" t="s">
        <v>1201</v>
      </c>
      <c r="C84" s="766"/>
      <c r="D84" s="84" t="s">
        <v>1202</v>
      </c>
      <c r="E84" s="87">
        <v>8</v>
      </c>
      <c r="F84" s="86" t="s">
        <v>1799</v>
      </c>
      <c r="G84" s="470">
        <f>사급자재!$M$34</f>
        <v>1250</v>
      </c>
      <c r="H84" s="470">
        <f t="shared" si="24"/>
        <v>10000</v>
      </c>
      <c r="I84" s="470"/>
      <c r="J84" s="470">
        <f t="shared" si="25"/>
        <v>0</v>
      </c>
      <c r="K84" s="470"/>
      <c r="L84" s="470">
        <f t="shared" si="26"/>
        <v>0</v>
      </c>
      <c r="M84" s="470">
        <f t="shared" si="27"/>
        <v>1250</v>
      </c>
      <c r="N84" s="470">
        <f t="shared" si="28"/>
        <v>10000</v>
      </c>
      <c r="O84" s="457"/>
      <c r="P84" s="767"/>
    </row>
    <row r="85" spans="2:17" ht="15.2" customHeight="1">
      <c r="B85" s="766" t="s">
        <v>1719</v>
      </c>
      <c r="C85" s="766"/>
      <c r="D85" s="84" t="s">
        <v>1720</v>
      </c>
      <c r="E85" s="87">
        <v>1.69</v>
      </c>
      <c r="F85" s="86" t="s">
        <v>1163</v>
      </c>
      <c r="G85" s="470"/>
      <c r="H85" s="470">
        <f t="shared" si="24"/>
        <v>0</v>
      </c>
      <c r="I85" s="470">
        <f>SUMIF('노임(2015)'!$B$4:$B$87,B85,'노임(2015)'!$C$4:$C$87)+SUMIF('노임(2015)'!$E$4:$E$87,B85,'노임(2015)'!$F$4:$F$87)</f>
        <v>148057</v>
      </c>
      <c r="J85" s="470">
        <f t="shared" si="25"/>
        <v>250216</v>
      </c>
      <c r="K85" s="470"/>
      <c r="L85" s="470">
        <f t="shared" si="26"/>
        <v>0</v>
      </c>
      <c r="M85" s="470">
        <f t="shared" si="27"/>
        <v>148057</v>
      </c>
      <c r="N85" s="470">
        <f t="shared" si="28"/>
        <v>250216</v>
      </c>
      <c r="O85" s="457"/>
      <c r="P85" s="767"/>
    </row>
    <row r="86" spans="2:17" ht="15.2" customHeight="1">
      <c r="B86" s="766" t="s">
        <v>1162</v>
      </c>
      <c r="C86" s="766"/>
      <c r="D86" s="84" t="s">
        <v>1720</v>
      </c>
      <c r="E86" s="87">
        <v>0.6</v>
      </c>
      <c r="F86" s="86" t="s">
        <v>1163</v>
      </c>
      <c r="G86" s="470"/>
      <c r="H86" s="470">
        <f t="shared" si="24"/>
        <v>0</v>
      </c>
      <c r="I86" s="470">
        <f>SUMIF('노임(2015)'!$B$4:$B$87,B86,'노임(2015)'!$C$4:$C$87)+SUMIF('노임(2015)'!$E$4:$E$87,B86,'노임(2015)'!$F$4:$F$87)</f>
        <v>89566</v>
      </c>
      <c r="J86" s="470">
        <f t="shared" si="25"/>
        <v>53739</v>
      </c>
      <c r="K86" s="470"/>
      <c r="L86" s="470">
        <f t="shared" si="26"/>
        <v>0</v>
      </c>
      <c r="M86" s="470">
        <f t="shared" si="27"/>
        <v>89566</v>
      </c>
      <c r="N86" s="470">
        <f t="shared" si="28"/>
        <v>53739</v>
      </c>
      <c r="O86" s="457"/>
      <c r="P86" s="767"/>
    </row>
    <row r="87" spans="2:17" ht="15.2" customHeight="1">
      <c r="B87" s="766" t="s">
        <v>1192</v>
      </c>
      <c r="C87" s="766"/>
      <c r="D87" s="84" t="s">
        <v>861</v>
      </c>
      <c r="E87" s="87">
        <v>0.02</v>
      </c>
      <c r="F87" s="86" t="s">
        <v>933</v>
      </c>
      <c r="G87" s="470">
        <f>SUM(J85:J86)</f>
        <v>303955</v>
      </c>
      <c r="H87" s="470">
        <f t="shared" si="24"/>
        <v>6079</v>
      </c>
      <c r="I87" s="470"/>
      <c r="J87" s="470">
        <f t="shared" si="25"/>
        <v>0</v>
      </c>
      <c r="K87" s="470"/>
      <c r="L87" s="470">
        <f t="shared" si="26"/>
        <v>0</v>
      </c>
      <c r="M87" s="470">
        <f t="shared" si="27"/>
        <v>303955</v>
      </c>
      <c r="N87" s="470">
        <f t="shared" si="28"/>
        <v>6079</v>
      </c>
      <c r="O87" s="457"/>
      <c r="P87" s="767"/>
    </row>
    <row r="88" spans="2:17" ht="15.2" customHeight="1">
      <c r="B88" s="766" t="s">
        <v>1719</v>
      </c>
      <c r="C88" s="766"/>
      <c r="D88" s="84" t="s">
        <v>1721</v>
      </c>
      <c r="E88" s="87">
        <v>2.14</v>
      </c>
      <c r="F88" s="86" t="s">
        <v>1163</v>
      </c>
      <c r="G88" s="470"/>
      <c r="H88" s="470">
        <f t="shared" si="24"/>
        <v>0</v>
      </c>
      <c r="I88" s="470">
        <f>SUMIF('노임(2015)'!$B$4:$B$87,B88,'노임(2015)'!$C$4:$C$87)+SUMIF('노임(2015)'!$E$4:$E$87,B88,'노임(2015)'!$F$4:$F$87)</f>
        <v>148057</v>
      </c>
      <c r="J88" s="470">
        <f t="shared" si="25"/>
        <v>316841</v>
      </c>
      <c r="K88" s="470"/>
      <c r="L88" s="470">
        <f t="shared" si="26"/>
        <v>0</v>
      </c>
      <c r="M88" s="470">
        <f t="shared" si="27"/>
        <v>148057</v>
      </c>
      <c r="N88" s="470">
        <f t="shared" si="28"/>
        <v>316841</v>
      </c>
      <c r="O88" s="457"/>
      <c r="P88" s="767"/>
    </row>
    <row r="89" spans="2:17" ht="15.2" customHeight="1">
      <c r="B89" s="766" t="s">
        <v>1162</v>
      </c>
      <c r="C89" s="766"/>
      <c r="D89" s="84" t="s">
        <v>1721</v>
      </c>
      <c r="E89" s="87">
        <v>0.86</v>
      </c>
      <c r="F89" s="86" t="s">
        <v>1163</v>
      </c>
      <c r="G89" s="470"/>
      <c r="H89" s="470">
        <f t="shared" si="24"/>
        <v>0</v>
      </c>
      <c r="I89" s="470">
        <f>SUMIF('노임(2015)'!$B$4:$B$87,B89,'노임(2015)'!$C$4:$C$87)+SUMIF('노임(2015)'!$E$4:$E$87,B89,'노임(2015)'!$F$4:$F$87)</f>
        <v>89566</v>
      </c>
      <c r="J89" s="470">
        <f t="shared" si="25"/>
        <v>77026</v>
      </c>
      <c r="K89" s="470"/>
      <c r="L89" s="470">
        <f t="shared" si="26"/>
        <v>0</v>
      </c>
      <c r="M89" s="470">
        <f t="shared" si="27"/>
        <v>89566</v>
      </c>
      <c r="N89" s="470">
        <f t="shared" si="28"/>
        <v>77026</v>
      </c>
      <c r="O89" s="457"/>
      <c r="P89" s="767"/>
    </row>
    <row r="90" spans="2:17" ht="15.2" customHeight="1">
      <c r="B90" s="766" t="s">
        <v>855</v>
      </c>
      <c r="C90" s="766"/>
      <c r="D90" s="84"/>
      <c r="E90" s="87"/>
      <c r="F90" s="86"/>
      <c r="G90" s="470"/>
      <c r="H90" s="470">
        <f>SUM(H83:H89)</f>
        <v>16079</v>
      </c>
      <c r="I90" s="470"/>
      <c r="J90" s="470">
        <f>SUM(J83:J89)</f>
        <v>697822</v>
      </c>
      <c r="K90" s="470"/>
      <c r="L90" s="470">
        <f>SUM(L83:L89)</f>
        <v>0</v>
      </c>
      <c r="M90" s="470"/>
      <c r="N90" s="470">
        <f>SUM(N83:N89)</f>
        <v>713901</v>
      </c>
      <c r="O90" s="457"/>
      <c r="P90" s="767"/>
      <c r="Q90" s="80" t="s">
        <v>3244</v>
      </c>
    </row>
    <row r="91" spans="2:17" ht="15.2" customHeight="1">
      <c r="B91" s="83">
        <f>P91</f>
        <v>13</v>
      </c>
      <c r="C91" s="770" t="s">
        <v>4012</v>
      </c>
      <c r="D91" s="770"/>
      <c r="E91" s="770"/>
      <c r="F91" s="771"/>
      <c r="G91" s="470"/>
      <c r="H91" s="470"/>
      <c r="I91" s="470"/>
      <c r="J91" s="470"/>
      <c r="K91" s="470"/>
      <c r="L91" s="470"/>
      <c r="M91" s="470"/>
      <c r="N91" s="470"/>
      <c r="O91" s="457"/>
      <c r="P91" s="767">
        <f>MAX($P$5:P90)+1</f>
        <v>13</v>
      </c>
      <c r="Q91" s="80" t="s">
        <v>3243</v>
      </c>
    </row>
    <row r="92" spans="2:17" ht="15.2" customHeight="1">
      <c r="B92" s="766" t="s">
        <v>860</v>
      </c>
      <c r="C92" s="766"/>
      <c r="D92" s="84"/>
      <c r="E92" s="87">
        <v>1.03</v>
      </c>
      <c r="F92" s="86" t="s">
        <v>1716</v>
      </c>
      <c r="G92" s="470"/>
      <c r="H92" s="470">
        <f t="shared" ref="H92:H97" si="29">TRUNC(E92*G92,0)</f>
        <v>0</v>
      </c>
      <c r="I92" s="470"/>
      <c r="J92" s="470">
        <f t="shared" ref="J92:J97" si="30">TRUNC(I92*E92,0)</f>
        <v>0</v>
      </c>
      <c r="K92" s="470"/>
      <c r="L92" s="470">
        <f t="shared" ref="L92:L97" si="31">TRUNC(K92*E92,0)</f>
        <v>0</v>
      </c>
      <c r="M92" s="470">
        <f t="shared" ref="M92:M97" si="32">G92+I92+K92</f>
        <v>0</v>
      </c>
      <c r="N92" s="470">
        <f t="shared" ref="N92:N97" si="33">H92+J92+L92</f>
        <v>0</v>
      </c>
      <c r="O92" s="457"/>
      <c r="P92" s="767"/>
    </row>
    <row r="93" spans="2:17" ht="15.2" customHeight="1">
      <c r="B93" s="766" t="s">
        <v>1717</v>
      </c>
      <c r="C93" s="766"/>
      <c r="D93" s="84" t="s">
        <v>1718</v>
      </c>
      <c r="E93" s="87">
        <v>6.5</v>
      </c>
      <c r="F93" s="86" t="s">
        <v>1799</v>
      </c>
      <c r="G93" s="470">
        <f>사급자재!$M$36</f>
        <v>1490</v>
      </c>
      <c r="H93" s="470">
        <f t="shared" si="29"/>
        <v>9685</v>
      </c>
      <c r="I93" s="470"/>
      <c r="J93" s="470">
        <f t="shared" si="30"/>
        <v>0</v>
      </c>
      <c r="K93" s="470"/>
      <c r="L93" s="470">
        <f t="shared" si="31"/>
        <v>0</v>
      </c>
      <c r="M93" s="470">
        <f t="shared" si="32"/>
        <v>1490</v>
      </c>
      <c r="N93" s="470">
        <f t="shared" si="33"/>
        <v>9685</v>
      </c>
      <c r="O93" s="457"/>
      <c r="P93" s="767"/>
    </row>
    <row r="94" spans="2:17" ht="15.2" customHeight="1">
      <c r="B94" s="766" t="s">
        <v>1719</v>
      </c>
      <c r="C94" s="766"/>
      <c r="D94" s="84" t="s">
        <v>1720</v>
      </c>
      <c r="E94" s="87">
        <v>0.18</v>
      </c>
      <c r="F94" s="86" t="s">
        <v>1163</v>
      </c>
      <c r="G94" s="470"/>
      <c r="H94" s="470">
        <f t="shared" si="29"/>
        <v>0</v>
      </c>
      <c r="I94" s="470">
        <f>SUMIF('노임(2015)'!$B$4:$B$87,B94,'노임(2015)'!$C$4:$C$87)+SUMIF('노임(2015)'!$E$4:$E$87,B94,'노임(2015)'!$F$4:$F$87)</f>
        <v>148057</v>
      </c>
      <c r="J94" s="470">
        <f t="shared" si="30"/>
        <v>26650</v>
      </c>
      <c r="K94" s="470"/>
      <c r="L94" s="470">
        <f t="shared" si="31"/>
        <v>0</v>
      </c>
      <c r="M94" s="470">
        <f t="shared" si="32"/>
        <v>148057</v>
      </c>
      <c r="N94" s="470">
        <f t="shared" si="33"/>
        <v>26650</v>
      </c>
      <c r="O94" s="457"/>
      <c r="P94" s="767"/>
    </row>
    <row r="95" spans="2:17" ht="15.2" customHeight="1">
      <c r="B95" s="766" t="s">
        <v>1162</v>
      </c>
      <c r="C95" s="766"/>
      <c r="D95" s="84" t="s">
        <v>1720</v>
      </c>
      <c r="E95" s="87">
        <v>0.03</v>
      </c>
      <c r="F95" s="86" t="s">
        <v>1163</v>
      </c>
      <c r="G95" s="470"/>
      <c r="H95" s="470">
        <f t="shared" si="29"/>
        <v>0</v>
      </c>
      <c r="I95" s="470">
        <f>SUMIF('노임(2015)'!$B$4:$B$87,B95,'노임(2015)'!$C$4:$C$87)+SUMIF('노임(2015)'!$E$4:$E$87,B95,'노임(2015)'!$F$4:$F$87)</f>
        <v>89566</v>
      </c>
      <c r="J95" s="470">
        <f t="shared" si="30"/>
        <v>2686</v>
      </c>
      <c r="K95" s="470"/>
      <c r="L95" s="470">
        <f t="shared" si="31"/>
        <v>0</v>
      </c>
      <c r="M95" s="470">
        <f t="shared" si="32"/>
        <v>89566</v>
      </c>
      <c r="N95" s="470">
        <f t="shared" si="33"/>
        <v>2686</v>
      </c>
      <c r="O95" s="457"/>
      <c r="P95" s="767"/>
    </row>
    <row r="96" spans="2:17" ht="15.2" customHeight="1">
      <c r="B96" s="766" t="s">
        <v>1192</v>
      </c>
      <c r="C96" s="766"/>
      <c r="D96" s="84" t="s">
        <v>861</v>
      </c>
      <c r="E96" s="87">
        <v>0.02</v>
      </c>
      <c r="F96" s="86" t="s">
        <v>933</v>
      </c>
      <c r="G96" s="470">
        <f>SUM(J94:J95)</f>
        <v>29336</v>
      </c>
      <c r="H96" s="470">
        <f t="shared" si="29"/>
        <v>586</v>
      </c>
      <c r="I96" s="470"/>
      <c r="J96" s="470">
        <f t="shared" si="30"/>
        <v>0</v>
      </c>
      <c r="K96" s="470"/>
      <c r="L96" s="470">
        <f t="shared" si="31"/>
        <v>0</v>
      </c>
      <c r="M96" s="470">
        <f t="shared" si="32"/>
        <v>29336</v>
      </c>
      <c r="N96" s="470">
        <f t="shared" si="33"/>
        <v>586</v>
      </c>
      <c r="O96" s="457"/>
      <c r="P96" s="767"/>
    </row>
    <row r="97" spans="2:17" ht="15.2" customHeight="1">
      <c r="B97" s="766" t="s">
        <v>1343</v>
      </c>
      <c r="C97" s="766"/>
      <c r="D97" s="84" t="s">
        <v>862</v>
      </c>
      <c r="E97" s="87">
        <v>0.6</v>
      </c>
      <c r="F97" s="86" t="s">
        <v>933</v>
      </c>
      <c r="G97" s="470"/>
      <c r="H97" s="470">
        <f t="shared" si="29"/>
        <v>0</v>
      </c>
      <c r="I97" s="470"/>
      <c r="J97" s="470">
        <f t="shared" si="30"/>
        <v>0</v>
      </c>
      <c r="K97" s="470">
        <f>TRUNC(E94*I94+E95*I95)</f>
        <v>29337</v>
      </c>
      <c r="L97" s="470">
        <f t="shared" si="31"/>
        <v>17602</v>
      </c>
      <c r="M97" s="470">
        <f t="shared" si="32"/>
        <v>29337</v>
      </c>
      <c r="N97" s="470">
        <f t="shared" si="33"/>
        <v>17602</v>
      </c>
      <c r="O97" s="457"/>
      <c r="P97" s="767"/>
    </row>
    <row r="98" spans="2:17" ht="15.2" customHeight="1">
      <c r="B98" s="766" t="s">
        <v>855</v>
      </c>
      <c r="C98" s="766"/>
      <c r="D98" s="84"/>
      <c r="E98" s="87"/>
      <c r="F98" s="86"/>
      <c r="G98" s="470"/>
      <c r="H98" s="470">
        <f>SUM(H92:H97)</f>
        <v>10271</v>
      </c>
      <c r="I98" s="470"/>
      <c r="J98" s="470">
        <f>SUM(J92:J97)</f>
        <v>29336</v>
      </c>
      <c r="K98" s="470"/>
      <c r="L98" s="470">
        <f>SUM(L92:L97)</f>
        <v>17602</v>
      </c>
      <c r="M98" s="470"/>
      <c r="N98" s="470">
        <f>SUM(N92:N97)</f>
        <v>57209</v>
      </c>
      <c r="O98" s="457"/>
      <c r="P98" s="767"/>
      <c r="Q98" s="80" t="s">
        <v>3244</v>
      </c>
    </row>
    <row r="99" spans="2:17" ht="15.2" customHeight="1">
      <c r="B99" s="83">
        <f>P99</f>
        <v>14</v>
      </c>
      <c r="C99" s="770" t="s">
        <v>4013</v>
      </c>
      <c r="D99" s="770"/>
      <c r="E99" s="770"/>
      <c r="F99" s="771"/>
      <c r="G99" s="470"/>
      <c r="H99" s="470"/>
      <c r="I99" s="470"/>
      <c r="J99" s="470"/>
      <c r="K99" s="470"/>
      <c r="L99" s="470"/>
      <c r="M99" s="470"/>
      <c r="N99" s="470"/>
      <c r="O99" s="457"/>
      <c r="P99" s="767">
        <f>MAX($P$5:P98)+1</f>
        <v>14</v>
      </c>
      <c r="Q99" s="80" t="s">
        <v>3243</v>
      </c>
    </row>
    <row r="100" spans="2:17" ht="15.2" customHeight="1">
      <c r="B100" s="766" t="s">
        <v>860</v>
      </c>
      <c r="C100" s="766"/>
      <c r="D100" s="84"/>
      <c r="E100" s="87">
        <v>1.03</v>
      </c>
      <c r="F100" s="86" t="s">
        <v>1716</v>
      </c>
      <c r="G100" s="470"/>
      <c r="H100" s="470">
        <f t="shared" ref="H100:H105" si="34">TRUNC(E100*G100,0)</f>
        <v>0</v>
      </c>
      <c r="I100" s="470"/>
      <c r="J100" s="470">
        <f t="shared" ref="J100:J105" si="35">TRUNC(I100*E100,0)</f>
        <v>0</v>
      </c>
      <c r="K100" s="470"/>
      <c r="L100" s="470">
        <f t="shared" ref="L100:L105" si="36">TRUNC(K100*E100,0)</f>
        <v>0</v>
      </c>
      <c r="M100" s="470">
        <f t="shared" ref="M100:M105" si="37">G100+I100+K100</f>
        <v>0</v>
      </c>
      <c r="N100" s="470">
        <f t="shared" ref="N100:N105" si="38">H100+J100+L100</f>
        <v>0</v>
      </c>
      <c r="O100" s="457"/>
      <c r="P100" s="767"/>
    </row>
    <row r="101" spans="2:17" ht="15.2" customHeight="1">
      <c r="B101" s="766" t="s">
        <v>1717</v>
      </c>
      <c r="C101" s="766"/>
      <c r="D101" s="84" t="s">
        <v>1718</v>
      </c>
      <c r="E101" s="87">
        <v>6.5</v>
      </c>
      <c r="F101" s="86" t="s">
        <v>1799</v>
      </c>
      <c r="G101" s="470">
        <f>사급자재!$M$36</f>
        <v>1490</v>
      </c>
      <c r="H101" s="470">
        <f t="shared" si="34"/>
        <v>9685</v>
      </c>
      <c r="I101" s="470"/>
      <c r="J101" s="470">
        <f t="shared" si="35"/>
        <v>0</v>
      </c>
      <c r="K101" s="470"/>
      <c r="L101" s="470">
        <f t="shared" si="36"/>
        <v>0</v>
      </c>
      <c r="M101" s="470">
        <f t="shared" si="37"/>
        <v>1490</v>
      </c>
      <c r="N101" s="470">
        <f t="shared" si="38"/>
        <v>9685</v>
      </c>
      <c r="O101" s="457"/>
      <c r="P101" s="767"/>
    </row>
    <row r="102" spans="2:17" ht="15.2" customHeight="1">
      <c r="B102" s="766" t="s">
        <v>1719</v>
      </c>
      <c r="C102" s="766"/>
      <c r="D102" s="84" t="s">
        <v>1720</v>
      </c>
      <c r="E102" s="87">
        <v>0.23</v>
      </c>
      <c r="F102" s="86" t="s">
        <v>1163</v>
      </c>
      <c r="G102" s="470"/>
      <c r="H102" s="470">
        <f t="shared" si="34"/>
        <v>0</v>
      </c>
      <c r="I102" s="470">
        <f>SUMIF('노임(2015)'!$B$4:$B$87,B102,'노임(2015)'!$C$4:$C$87)+SUMIF('노임(2015)'!$E$4:$E$87,B102,'노임(2015)'!$F$4:$F$87)</f>
        <v>148057</v>
      </c>
      <c r="J102" s="470">
        <f t="shared" si="35"/>
        <v>34053</v>
      </c>
      <c r="K102" s="470"/>
      <c r="L102" s="470">
        <f t="shared" si="36"/>
        <v>0</v>
      </c>
      <c r="M102" s="470">
        <f t="shared" si="37"/>
        <v>148057</v>
      </c>
      <c r="N102" s="470">
        <f t="shared" si="38"/>
        <v>34053</v>
      </c>
      <c r="O102" s="457"/>
      <c r="P102" s="767"/>
    </row>
    <row r="103" spans="2:17" ht="15.2" customHeight="1">
      <c r="B103" s="766" t="s">
        <v>1162</v>
      </c>
      <c r="C103" s="766"/>
      <c r="D103" s="84" t="s">
        <v>1720</v>
      </c>
      <c r="E103" s="87">
        <v>0.03</v>
      </c>
      <c r="F103" s="86" t="s">
        <v>1163</v>
      </c>
      <c r="G103" s="470"/>
      <c r="H103" s="470">
        <f t="shared" si="34"/>
        <v>0</v>
      </c>
      <c r="I103" s="470">
        <f>SUMIF('노임(2015)'!$B$4:$B$87,B103,'노임(2015)'!$C$4:$C$87)+SUMIF('노임(2015)'!$E$4:$E$87,B103,'노임(2015)'!$F$4:$F$87)</f>
        <v>89566</v>
      </c>
      <c r="J103" s="470">
        <f t="shared" si="35"/>
        <v>2686</v>
      </c>
      <c r="K103" s="470"/>
      <c r="L103" s="470">
        <f t="shared" si="36"/>
        <v>0</v>
      </c>
      <c r="M103" s="470">
        <f t="shared" si="37"/>
        <v>89566</v>
      </c>
      <c r="N103" s="470">
        <f t="shared" si="38"/>
        <v>2686</v>
      </c>
      <c r="O103" s="457"/>
      <c r="P103" s="767"/>
    </row>
    <row r="104" spans="2:17" ht="15.2" customHeight="1">
      <c r="B104" s="766" t="s">
        <v>1192</v>
      </c>
      <c r="C104" s="766"/>
      <c r="D104" s="84" t="s">
        <v>861</v>
      </c>
      <c r="E104" s="87">
        <v>0.02</v>
      </c>
      <c r="F104" s="86" t="s">
        <v>933</v>
      </c>
      <c r="G104" s="470">
        <f>SUM(J102:J103)</f>
        <v>36739</v>
      </c>
      <c r="H104" s="470">
        <f t="shared" si="34"/>
        <v>734</v>
      </c>
      <c r="I104" s="470"/>
      <c r="J104" s="470">
        <f t="shared" si="35"/>
        <v>0</v>
      </c>
      <c r="K104" s="470"/>
      <c r="L104" s="470">
        <f t="shared" si="36"/>
        <v>0</v>
      </c>
      <c r="M104" s="470">
        <f t="shared" si="37"/>
        <v>36739</v>
      </c>
      <c r="N104" s="470">
        <f t="shared" si="38"/>
        <v>734</v>
      </c>
      <c r="O104" s="457"/>
      <c r="P104" s="767"/>
    </row>
    <row r="105" spans="2:17" ht="15.2" customHeight="1">
      <c r="B105" s="766" t="s">
        <v>1343</v>
      </c>
      <c r="C105" s="766"/>
      <c r="D105" s="84" t="s">
        <v>862</v>
      </c>
      <c r="E105" s="87">
        <v>0.6</v>
      </c>
      <c r="F105" s="86" t="s">
        <v>933</v>
      </c>
      <c r="G105" s="470"/>
      <c r="H105" s="470">
        <f t="shared" si="34"/>
        <v>0</v>
      </c>
      <c r="I105" s="470"/>
      <c r="J105" s="470">
        <f t="shared" si="35"/>
        <v>0</v>
      </c>
      <c r="K105" s="470">
        <f>TRUNC(E102*I102+E103*I103)</f>
        <v>36740</v>
      </c>
      <c r="L105" s="470">
        <f t="shared" si="36"/>
        <v>22044</v>
      </c>
      <c r="M105" s="470">
        <f t="shared" si="37"/>
        <v>36740</v>
      </c>
      <c r="N105" s="470">
        <f t="shared" si="38"/>
        <v>22044</v>
      </c>
      <c r="O105" s="457"/>
      <c r="P105" s="767"/>
    </row>
    <row r="106" spans="2:17" ht="15.2" customHeight="1">
      <c r="B106" s="766" t="s">
        <v>855</v>
      </c>
      <c r="C106" s="766"/>
      <c r="D106" s="84"/>
      <c r="E106" s="87"/>
      <c r="F106" s="86"/>
      <c r="G106" s="470"/>
      <c r="H106" s="470">
        <f>SUM(H100:H105)</f>
        <v>10419</v>
      </c>
      <c r="I106" s="470"/>
      <c r="J106" s="470">
        <f>SUM(J100:J105)</f>
        <v>36739</v>
      </c>
      <c r="K106" s="470"/>
      <c r="L106" s="470">
        <f>SUM(L100:L105)</f>
        <v>22044</v>
      </c>
      <c r="M106" s="470"/>
      <c r="N106" s="470">
        <f>SUM(N100:N105)</f>
        <v>69202</v>
      </c>
      <c r="O106" s="457"/>
      <c r="P106" s="767"/>
      <c r="Q106" s="80" t="s">
        <v>3244</v>
      </c>
    </row>
    <row r="107" spans="2:17" ht="15.2" customHeight="1">
      <c r="B107" s="83">
        <f>P107</f>
        <v>15</v>
      </c>
      <c r="C107" s="770" t="s">
        <v>4014</v>
      </c>
      <c r="D107" s="770"/>
      <c r="E107" s="770"/>
      <c r="F107" s="771"/>
      <c r="G107" s="470"/>
      <c r="H107" s="470"/>
      <c r="I107" s="470"/>
      <c r="J107" s="470"/>
      <c r="K107" s="470"/>
      <c r="L107" s="470"/>
      <c r="M107" s="470"/>
      <c r="N107" s="470"/>
      <c r="O107" s="457"/>
      <c r="P107" s="767">
        <f>MAX($P$5:P106)+1</f>
        <v>15</v>
      </c>
      <c r="Q107" s="80" t="s">
        <v>3243</v>
      </c>
    </row>
    <row r="108" spans="2:17" ht="15.2" customHeight="1">
      <c r="B108" s="766" t="s">
        <v>860</v>
      </c>
      <c r="C108" s="766"/>
      <c r="D108" s="84"/>
      <c r="E108" s="87">
        <v>1.03</v>
      </c>
      <c r="F108" s="86" t="s">
        <v>1716</v>
      </c>
      <c r="G108" s="470"/>
      <c r="H108" s="470">
        <f t="shared" ref="H108:H113" si="39">TRUNC(E108*G108,0)</f>
        <v>0</v>
      </c>
      <c r="I108" s="470"/>
      <c r="J108" s="470">
        <f t="shared" ref="J108:J113" si="40">TRUNC(I108*E108,0)</f>
        <v>0</v>
      </c>
      <c r="K108" s="470"/>
      <c r="L108" s="470">
        <f t="shared" ref="L108:L113" si="41">TRUNC(K108*E108,0)</f>
        <v>0</v>
      </c>
      <c r="M108" s="470">
        <f t="shared" ref="M108:M113" si="42">G108+I108+K108</f>
        <v>0</v>
      </c>
      <c r="N108" s="470">
        <f t="shared" ref="N108:N113" si="43">H108+J108+L108</f>
        <v>0</v>
      </c>
      <c r="O108" s="457"/>
      <c r="P108" s="767"/>
    </row>
    <row r="109" spans="2:17" ht="15.2" customHeight="1">
      <c r="B109" s="766" t="s">
        <v>1717</v>
      </c>
      <c r="C109" s="766"/>
      <c r="D109" s="84" t="s">
        <v>1718</v>
      </c>
      <c r="E109" s="87">
        <v>8</v>
      </c>
      <c r="F109" s="86" t="s">
        <v>1799</v>
      </c>
      <c r="G109" s="470">
        <f>사급자재!$M$36</f>
        <v>1490</v>
      </c>
      <c r="H109" s="470">
        <f t="shared" si="39"/>
        <v>11920</v>
      </c>
      <c r="I109" s="470"/>
      <c r="J109" s="470">
        <f t="shared" si="40"/>
        <v>0</v>
      </c>
      <c r="K109" s="470"/>
      <c r="L109" s="470">
        <f t="shared" si="41"/>
        <v>0</v>
      </c>
      <c r="M109" s="470">
        <f t="shared" si="42"/>
        <v>1490</v>
      </c>
      <c r="N109" s="470">
        <f t="shared" si="43"/>
        <v>11920</v>
      </c>
      <c r="O109" s="457"/>
      <c r="P109" s="767"/>
    </row>
    <row r="110" spans="2:17" ht="15.2" customHeight="1">
      <c r="B110" s="766" t="s">
        <v>1719</v>
      </c>
      <c r="C110" s="766"/>
      <c r="D110" s="84" t="s">
        <v>1720</v>
      </c>
      <c r="E110" s="87">
        <v>0.3</v>
      </c>
      <c r="F110" s="86" t="s">
        <v>1163</v>
      </c>
      <c r="G110" s="470"/>
      <c r="H110" s="470">
        <f t="shared" si="39"/>
        <v>0</v>
      </c>
      <c r="I110" s="470">
        <f>SUMIF('노임(2015)'!$B$4:$B$87,B110,'노임(2015)'!$C$4:$C$87)+SUMIF('노임(2015)'!$E$4:$E$87,B110,'노임(2015)'!$F$4:$F$87)</f>
        <v>148057</v>
      </c>
      <c r="J110" s="470">
        <f t="shared" si="40"/>
        <v>44417</v>
      </c>
      <c r="K110" s="470"/>
      <c r="L110" s="470">
        <f t="shared" si="41"/>
        <v>0</v>
      </c>
      <c r="M110" s="470">
        <f t="shared" si="42"/>
        <v>148057</v>
      </c>
      <c r="N110" s="470">
        <f t="shared" si="43"/>
        <v>44417</v>
      </c>
      <c r="O110" s="457"/>
      <c r="P110" s="767"/>
    </row>
    <row r="111" spans="2:17" ht="15.2" customHeight="1">
      <c r="B111" s="766" t="s">
        <v>1162</v>
      </c>
      <c r="C111" s="766"/>
      <c r="D111" s="84" t="s">
        <v>1720</v>
      </c>
      <c r="E111" s="87">
        <v>0.04</v>
      </c>
      <c r="F111" s="86" t="s">
        <v>1163</v>
      </c>
      <c r="G111" s="470"/>
      <c r="H111" s="470">
        <f t="shared" si="39"/>
        <v>0</v>
      </c>
      <c r="I111" s="470">
        <f>SUMIF('노임(2015)'!$B$4:$B$87,B111,'노임(2015)'!$C$4:$C$87)+SUMIF('노임(2015)'!$E$4:$E$87,B111,'노임(2015)'!$F$4:$F$87)</f>
        <v>89566</v>
      </c>
      <c r="J111" s="470">
        <f t="shared" si="40"/>
        <v>3582</v>
      </c>
      <c r="K111" s="470"/>
      <c r="L111" s="470">
        <f t="shared" si="41"/>
        <v>0</v>
      </c>
      <c r="M111" s="470">
        <f t="shared" si="42"/>
        <v>89566</v>
      </c>
      <c r="N111" s="470">
        <f t="shared" si="43"/>
        <v>3582</v>
      </c>
      <c r="O111" s="457"/>
      <c r="P111" s="767"/>
    </row>
    <row r="112" spans="2:17" ht="15.2" customHeight="1">
      <c r="B112" s="766" t="s">
        <v>1192</v>
      </c>
      <c r="C112" s="766"/>
      <c r="D112" s="84" t="s">
        <v>861</v>
      </c>
      <c r="E112" s="87">
        <v>0.02</v>
      </c>
      <c r="F112" s="86" t="s">
        <v>933</v>
      </c>
      <c r="G112" s="470">
        <f>SUM(J110:J111)</f>
        <v>47999</v>
      </c>
      <c r="H112" s="470">
        <f t="shared" si="39"/>
        <v>959</v>
      </c>
      <c r="I112" s="470"/>
      <c r="J112" s="470">
        <f t="shared" si="40"/>
        <v>0</v>
      </c>
      <c r="K112" s="470"/>
      <c r="L112" s="470">
        <f t="shared" si="41"/>
        <v>0</v>
      </c>
      <c r="M112" s="470">
        <f t="shared" si="42"/>
        <v>47999</v>
      </c>
      <c r="N112" s="470">
        <f t="shared" si="43"/>
        <v>959</v>
      </c>
      <c r="O112" s="457"/>
      <c r="P112" s="767"/>
    </row>
    <row r="113" spans="2:17" ht="15.2" customHeight="1">
      <c r="B113" s="766" t="s">
        <v>1343</v>
      </c>
      <c r="C113" s="766"/>
      <c r="D113" s="84" t="s">
        <v>862</v>
      </c>
      <c r="E113" s="87">
        <v>0.6</v>
      </c>
      <c r="F113" s="86" t="s">
        <v>933</v>
      </c>
      <c r="G113" s="470"/>
      <c r="H113" s="470">
        <f t="shared" si="39"/>
        <v>0</v>
      </c>
      <c r="I113" s="470"/>
      <c r="J113" s="470">
        <f t="shared" si="40"/>
        <v>0</v>
      </c>
      <c r="K113" s="470">
        <f>TRUNC(E110*I110+E111*I111)</f>
        <v>47999</v>
      </c>
      <c r="L113" s="470">
        <f t="shared" si="41"/>
        <v>28799</v>
      </c>
      <c r="M113" s="470">
        <f t="shared" si="42"/>
        <v>47999</v>
      </c>
      <c r="N113" s="470">
        <f t="shared" si="43"/>
        <v>28799</v>
      </c>
      <c r="O113" s="457"/>
      <c r="P113" s="767"/>
    </row>
    <row r="114" spans="2:17" ht="15.2" customHeight="1">
      <c r="B114" s="766" t="s">
        <v>855</v>
      </c>
      <c r="C114" s="766"/>
      <c r="D114" s="84"/>
      <c r="E114" s="87"/>
      <c r="F114" s="86"/>
      <c r="G114" s="470"/>
      <c r="H114" s="470">
        <f>SUM(H108:H113)</f>
        <v>12879</v>
      </c>
      <c r="I114" s="470"/>
      <c r="J114" s="470">
        <f>SUM(J108:J113)</f>
        <v>47999</v>
      </c>
      <c r="K114" s="470"/>
      <c r="L114" s="470">
        <f>SUM(L108:L113)</f>
        <v>28799</v>
      </c>
      <c r="M114" s="470"/>
      <c r="N114" s="470">
        <f>SUM(N108:N113)</f>
        <v>89677</v>
      </c>
      <c r="O114" s="457"/>
      <c r="P114" s="767"/>
      <c r="Q114" s="80" t="s">
        <v>3244</v>
      </c>
    </row>
    <row r="115" spans="2:17" ht="15.2" customHeight="1">
      <c r="B115" s="83">
        <f>P115</f>
        <v>16</v>
      </c>
      <c r="C115" s="770" t="s">
        <v>4015</v>
      </c>
      <c r="D115" s="770"/>
      <c r="E115" s="770"/>
      <c r="F115" s="771"/>
      <c r="G115" s="470"/>
      <c r="H115" s="470"/>
      <c r="I115" s="470"/>
      <c r="J115" s="470"/>
      <c r="K115" s="470"/>
      <c r="L115" s="470"/>
      <c r="M115" s="470"/>
      <c r="N115" s="470"/>
      <c r="O115" s="457"/>
      <c r="P115" s="767">
        <f>MAX($P$5:P114)+1</f>
        <v>16</v>
      </c>
      <c r="Q115" s="80" t="s">
        <v>3243</v>
      </c>
    </row>
    <row r="116" spans="2:17" ht="15.2" customHeight="1">
      <c r="B116" s="766" t="s">
        <v>860</v>
      </c>
      <c r="C116" s="766"/>
      <c r="D116" s="84"/>
      <c r="E116" s="87">
        <v>1.03</v>
      </c>
      <c r="F116" s="86" t="s">
        <v>1716</v>
      </c>
      <c r="G116" s="470"/>
      <c r="H116" s="470">
        <f t="shared" ref="H116:H121" si="44">TRUNC(E116*G116,0)</f>
        <v>0</v>
      </c>
      <c r="I116" s="470"/>
      <c r="J116" s="470">
        <f t="shared" ref="J116:J121" si="45">TRUNC(I116*E116,0)</f>
        <v>0</v>
      </c>
      <c r="K116" s="470"/>
      <c r="L116" s="470">
        <f t="shared" ref="L116:L121" si="46">TRUNC(K116*E116,0)</f>
        <v>0</v>
      </c>
      <c r="M116" s="470">
        <f t="shared" ref="M116:M121" si="47">G116+I116+K116</f>
        <v>0</v>
      </c>
      <c r="N116" s="470">
        <f t="shared" ref="N116:N121" si="48">H116+J116+L116</f>
        <v>0</v>
      </c>
      <c r="O116" s="457"/>
      <c r="P116" s="767"/>
    </row>
    <row r="117" spans="2:17" ht="15.2" customHeight="1">
      <c r="B117" s="766" t="s">
        <v>1717</v>
      </c>
      <c r="C117" s="766"/>
      <c r="D117" s="84" t="s">
        <v>1718</v>
      </c>
      <c r="E117" s="87">
        <v>8</v>
      </c>
      <c r="F117" s="86" t="s">
        <v>1799</v>
      </c>
      <c r="G117" s="470">
        <f>사급자재!$M$36</f>
        <v>1490</v>
      </c>
      <c r="H117" s="470">
        <f t="shared" si="44"/>
        <v>11920</v>
      </c>
      <c r="I117" s="470"/>
      <c r="J117" s="470">
        <f t="shared" si="45"/>
        <v>0</v>
      </c>
      <c r="K117" s="470"/>
      <c r="L117" s="470">
        <f t="shared" si="46"/>
        <v>0</v>
      </c>
      <c r="M117" s="470">
        <f t="shared" si="47"/>
        <v>1490</v>
      </c>
      <c r="N117" s="470">
        <f t="shared" si="48"/>
        <v>11920</v>
      </c>
      <c r="O117" s="457"/>
      <c r="P117" s="767"/>
    </row>
    <row r="118" spans="2:17" ht="15.2" customHeight="1">
      <c r="B118" s="766" t="s">
        <v>1719</v>
      </c>
      <c r="C118" s="766"/>
      <c r="D118" s="84" t="s">
        <v>1720</v>
      </c>
      <c r="E118" s="87">
        <v>0.38</v>
      </c>
      <c r="F118" s="86" t="s">
        <v>1163</v>
      </c>
      <c r="G118" s="470"/>
      <c r="H118" s="470">
        <f t="shared" si="44"/>
        <v>0</v>
      </c>
      <c r="I118" s="470">
        <f>SUMIF('노임(2015)'!$B$4:$B$87,B118,'노임(2015)'!$C$4:$C$87)+SUMIF('노임(2015)'!$E$4:$E$87,B118,'노임(2015)'!$F$4:$F$87)</f>
        <v>148057</v>
      </c>
      <c r="J118" s="470">
        <f t="shared" si="45"/>
        <v>56261</v>
      </c>
      <c r="K118" s="470"/>
      <c r="L118" s="470">
        <f t="shared" si="46"/>
        <v>0</v>
      </c>
      <c r="M118" s="470">
        <f t="shared" si="47"/>
        <v>148057</v>
      </c>
      <c r="N118" s="470">
        <f t="shared" si="48"/>
        <v>56261</v>
      </c>
      <c r="O118" s="457"/>
      <c r="P118" s="767"/>
    </row>
    <row r="119" spans="2:17" ht="15.2" customHeight="1">
      <c r="B119" s="766" t="s">
        <v>1162</v>
      </c>
      <c r="C119" s="766"/>
      <c r="D119" s="84" t="s">
        <v>1720</v>
      </c>
      <c r="E119" s="87">
        <v>0.06</v>
      </c>
      <c r="F119" s="86" t="s">
        <v>1163</v>
      </c>
      <c r="G119" s="470"/>
      <c r="H119" s="470">
        <f t="shared" si="44"/>
        <v>0</v>
      </c>
      <c r="I119" s="470">
        <f>SUMIF('노임(2015)'!$B$4:$B$87,B119,'노임(2015)'!$C$4:$C$87)+SUMIF('노임(2015)'!$E$4:$E$87,B119,'노임(2015)'!$F$4:$F$87)</f>
        <v>89566</v>
      </c>
      <c r="J119" s="470">
        <f t="shared" si="45"/>
        <v>5373</v>
      </c>
      <c r="K119" s="470"/>
      <c r="L119" s="470">
        <f t="shared" si="46"/>
        <v>0</v>
      </c>
      <c r="M119" s="470">
        <f t="shared" si="47"/>
        <v>89566</v>
      </c>
      <c r="N119" s="470">
        <f t="shared" si="48"/>
        <v>5373</v>
      </c>
      <c r="O119" s="457"/>
      <c r="P119" s="767"/>
    </row>
    <row r="120" spans="2:17" ht="15.2" customHeight="1">
      <c r="B120" s="766" t="s">
        <v>1192</v>
      </c>
      <c r="C120" s="766"/>
      <c r="D120" s="84" t="s">
        <v>861</v>
      </c>
      <c r="E120" s="87">
        <v>0.02</v>
      </c>
      <c r="F120" s="86" t="s">
        <v>933</v>
      </c>
      <c r="G120" s="470">
        <f>SUM(J118:J119)</f>
        <v>61634</v>
      </c>
      <c r="H120" s="470">
        <f t="shared" si="44"/>
        <v>1232</v>
      </c>
      <c r="I120" s="470"/>
      <c r="J120" s="470">
        <f t="shared" si="45"/>
        <v>0</v>
      </c>
      <c r="K120" s="470"/>
      <c r="L120" s="470">
        <f t="shared" si="46"/>
        <v>0</v>
      </c>
      <c r="M120" s="470">
        <f t="shared" si="47"/>
        <v>61634</v>
      </c>
      <c r="N120" s="470">
        <f t="shared" si="48"/>
        <v>1232</v>
      </c>
      <c r="O120" s="457"/>
      <c r="P120" s="767"/>
    </row>
    <row r="121" spans="2:17" ht="15.2" customHeight="1">
      <c r="B121" s="766" t="s">
        <v>1343</v>
      </c>
      <c r="C121" s="766"/>
      <c r="D121" s="84" t="s">
        <v>862</v>
      </c>
      <c r="E121" s="87">
        <v>0.6</v>
      </c>
      <c r="F121" s="86" t="s">
        <v>933</v>
      </c>
      <c r="G121" s="470"/>
      <c r="H121" s="470">
        <f t="shared" si="44"/>
        <v>0</v>
      </c>
      <c r="I121" s="470"/>
      <c r="J121" s="470">
        <f t="shared" si="45"/>
        <v>0</v>
      </c>
      <c r="K121" s="470">
        <f>TRUNC(E118*I118+E119*I119)</f>
        <v>61635</v>
      </c>
      <c r="L121" s="470">
        <f t="shared" si="46"/>
        <v>36981</v>
      </c>
      <c r="M121" s="470">
        <f t="shared" si="47"/>
        <v>61635</v>
      </c>
      <c r="N121" s="470">
        <f t="shared" si="48"/>
        <v>36981</v>
      </c>
      <c r="O121" s="457"/>
      <c r="P121" s="767"/>
    </row>
    <row r="122" spans="2:17" ht="15.2" customHeight="1">
      <c r="B122" s="766" t="s">
        <v>855</v>
      </c>
      <c r="C122" s="766"/>
      <c r="D122" s="84"/>
      <c r="E122" s="87"/>
      <c r="F122" s="86"/>
      <c r="G122" s="470"/>
      <c r="H122" s="470">
        <f>SUM(H116:H121)</f>
        <v>13152</v>
      </c>
      <c r="I122" s="470"/>
      <c r="J122" s="470">
        <f>SUM(J116:J121)</f>
        <v>61634</v>
      </c>
      <c r="K122" s="470"/>
      <c r="L122" s="470">
        <f>SUM(L116:L121)</f>
        <v>36981</v>
      </c>
      <c r="M122" s="470"/>
      <c r="N122" s="470">
        <f>SUM(N116:N121)</f>
        <v>111767</v>
      </c>
      <c r="O122" s="457"/>
      <c r="P122" s="767"/>
      <c r="Q122" s="80" t="s">
        <v>3244</v>
      </c>
    </row>
    <row r="123" spans="2:17" ht="15.2" customHeight="1">
      <c r="B123" s="83">
        <f>P123</f>
        <v>17</v>
      </c>
      <c r="C123" s="770" t="s">
        <v>1458</v>
      </c>
      <c r="D123" s="770"/>
      <c r="E123" s="770"/>
      <c r="F123" s="771"/>
      <c r="G123" s="470"/>
      <c r="H123" s="470"/>
      <c r="I123" s="470"/>
      <c r="J123" s="470"/>
      <c r="K123" s="470"/>
      <c r="L123" s="470"/>
      <c r="M123" s="470"/>
      <c r="N123" s="470"/>
      <c r="O123" s="457"/>
      <c r="P123" s="767">
        <f>MAX($P$5:P122)+1</f>
        <v>17</v>
      </c>
      <c r="Q123" s="80" t="s">
        <v>3243</v>
      </c>
    </row>
    <row r="124" spans="2:17" ht="15.2" customHeight="1">
      <c r="B124" s="766" t="s">
        <v>1459</v>
      </c>
      <c r="C124" s="766"/>
      <c r="D124" s="84" t="s">
        <v>1460</v>
      </c>
      <c r="E124" s="87">
        <v>1.03</v>
      </c>
      <c r="F124" s="86" t="s">
        <v>967</v>
      </c>
      <c r="G124" s="470">
        <f>사급자재!$M$28</f>
        <v>8801</v>
      </c>
      <c r="H124" s="470">
        <f t="shared" ref="H124:H131" si="49">TRUNC(E124*G124,0)</f>
        <v>9065</v>
      </c>
      <c r="I124" s="470"/>
      <c r="J124" s="470">
        <f t="shared" ref="J124:J131" si="50">TRUNC(I124*E124,0)</f>
        <v>0</v>
      </c>
      <c r="K124" s="470"/>
      <c r="L124" s="470">
        <f t="shared" ref="L124:L129" si="51">TRUNC(K124*E124,0)</f>
        <v>0</v>
      </c>
      <c r="M124" s="470">
        <f t="shared" ref="M124:M129" si="52">G124+I124+K124</f>
        <v>8801</v>
      </c>
      <c r="N124" s="470">
        <f t="shared" ref="N124:N129" si="53">H124+J124+L124</f>
        <v>9065</v>
      </c>
      <c r="O124" s="457"/>
      <c r="P124" s="767"/>
    </row>
    <row r="125" spans="2:17" ht="15.2" customHeight="1">
      <c r="B125" s="766" t="s">
        <v>1199</v>
      </c>
      <c r="C125" s="766"/>
      <c r="D125" s="84" t="s">
        <v>1200</v>
      </c>
      <c r="E125" s="88">
        <v>3.7999999999999999E-2</v>
      </c>
      <c r="F125" s="86" t="s">
        <v>1168</v>
      </c>
      <c r="G125" s="470">
        <f>사급자재!$M$32</f>
        <v>407286</v>
      </c>
      <c r="H125" s="470">
        <f t="shared" si="49"/>
        <v>15476</v>
      </c>
      <c r="I125" s="470"/>
      <c r="J125" s="470">
        <f t="shared" si="50"/>
        <v>0</v>
      </c>
      <c r="K125" s="470"/>
      <c r="L125" s="470">
        <f t="shared" si="51"/>
        <v>0</v>
      </c>
      <c r="M125" s="470">
        <f t="shared" si="52"/>
        <v>407286</v>
      </c>
      <c r="N125" s="470">
        <f t="shared" si="53"/>
        <v>15476</v>
      </c>
      <c r="O125" s="457"/>
      <c r="P125" s="767"/>
    </row>
    <row r="126" spans="2:17" ht="15.2" customHeight="1">
      <c r="B126" s="766" t="s">
        <v>1206</v>
      </c>
      <c r="C126" s="766"/>
      <c r="D126" s="84" t="s">
        <v>1461</v>
      </c>
      <c r="E126" s="89">
        <v>-0.23</v>
      </c>
      <c r="F126" s="86" t="s">
        <v>933</v>
      </c>
      <c r="G126" s="470">
        <f>TRUNC(E124*G124+E125*G125)</f>
        <v>24541</v>
      </c>
      <c r="H126" s="470">
        <f>TRUNC(E126*G126,0)</f>
        <v>-5644</v>
      </c>
      <c r="I126" s="470"/>
      <c r="J126" s="470">
        <f>TRUNC(I126*E126,0)</f>
        <v>0</v>
      </c>
      <c r="K126" s="470"/>
      <c r="L126" s="470">
        <f>TRUNC(K126*E126,0)</f>
        <v>0</v>
      </c>
      <c r="M126" s="470">
        <f>G126+I126+K126</f>
        <v>24541</v>
      </c>
      <c r="N126" s="470">
        <f>H126+J126+L126</f>
        <v>-5644</v>
      </c>
      <c r="O126" s="457"/>
      <c r="P126" s="767"/>
    </row>
    <row r="127" spans="2:17" ht="15.2" customHeight="1">
      <c r="B127" s="766" t="s">
        <v>1201</v>
      </c>
      <c r="C127" s="766"/>
      <c r="D127" s="84" t="s">
        <v>1202</v>
      </c>
      <c r="E127" s="87">
        <v>0.28999999999999998</v>
      </c>
      <c r="F127" s="86" t="s">
        <v>1799</v>
      </c>
      <c r="G127" s="470">
        <f>사급자재!$M$34</f>
        <v>1250</v>
      </c>
      <c r="H127" s="470">
        <f t="shared" si="49"/>
        <v>362</v>
      </c>
      <c r="I127" s="470"/>
      <c r="J127" s="470">
        <f t="shared" si="50"/>
        <v>0</v>
      </c>
      <c r="K127" s="470"/>
      <c r="L127" s="470">
        <f t="shared" si="51"/>
        <v>0</v>
      </c>
      <c r="M127" s="470">
        <f t="shared" si="52"/>
        <v>1250</v>
      </c>
      <c r="N127" s="470">
        <f t="shared" si="53"/>
        <v>362</v>
      </c>
      <c r="O127" s="457"/>
      <c r="P127" s="767"/>
    </row>
    <row r="128" spans="2:17" ht="15.2" customHeight="1">
      <c r="B128" s="766" t="s">
        <v>1203</v>
      </c>
      <c r="C128" s="766"/>
      <c r="D128" s="84"/>
      <c r="E128" s="87">
        <v>0.2</v>
      </c>
      <c r="F128" s="86" t="s">
        <v>1799</v>
      </c>
      <c r="G128" s="470">
        <f>사급자재!$M$35</f>
        <v>1100</v>
      </c>
      <c r="H128" s="470">
        <f t="shared" si="49"/>
        <v>220</v>
      </c>
      <c r="I128" s="470"/>
      <c r="J128" s="470">
        <f t="shared" si="50"/>
        <v>0</v>
      </c>
      <c r="K128" s="470"/>
      <c r="L128" s="470">
        <f t="shared" si="51"/>
        <v>0</v>
      </c>
      <c r="M128" s="470">
        <f t="shared" si="52"/>
        <v>1100</v>
      </c>
      <c r="N128" s="470">
        <f t="shared" si="53"/>
        <v>220</v>
      </c>
      <c r="O128" s="457"/>
      <c r="P128" s="767"/>
    </row>
    <row r="129" spans="2:17" ht="15.2" customHeight="1">
      <c r="B129" s="766" t="s">
        <v>1204</v>
      </c>
      <c r="C129" s="766"/>
      <c r="D129" s="84" t="s">
        <v>1462</v>
      </c>
      <c r="E129" s="87">
        <v>0.19</v>
      </c>
      <c r="F129" s="86" t="s">
        <v>456</v>
      </c>
      <c r="G129" s="470">
        <f>사급자재!$M$37</f>
        <v>1250</v>
      </c>
      <c r="H129" s="470">
        <f t="shared" si="49"/>
        <v>237</v>
      </c>
      <c r="I129" s="470"/>
      <c r="J129" s="470">
        <f t="shared" si="50"/>
        <v>0</v>
      </c>
      <c r="K129" s="470"/>
      <c r="L129" s="470">
        <f t="shared" si="51"/>
        <v>0</v>
      </c>
      <c r="M129" s="470">
        <f t="shared" si="52"/>
        <v>1250</v>
      </c>
      <c r="N129" s="470">
        <f t="shared" si="53"/>
        <v>237</v>
      </c>
      <c r="O129" s="457"/>
      <c r="P129" s="767"/>
    </row>
    <row r="130" spans="2:17" ht="15.2" customHeight="1">
      <c r="B130" s="766" t="s">
        <v>1205</v>
      </c>
      <c r="C130" s="766"/>
      <c r="D130" s="84"/>
      <c r="E130" s="87">
        <v>0.22</v>
      </c>
      <c r="F130" s="86" t="s">
        <v>1163</v>
      </c>
      <c r="G130" s="470"/>
      <c r="H130" s="470">
        <f t="shared" si="49"/>
        <v>0</v>
      </c>
      <c r="I130" s="470">
        <f>SUMIF('노임(2015)'!$B$4:$B$87,B130,'노임(2015)'!$C$4:$C$87)+SUMIF('노임(2015)'!$E$4:$E$87,B130,'노임(2015)'!$F$4:$F$87)</f>
        <v>152831</v>
      </c>
      <c r="J130" s="470">
        <f t="shared" si="50"/>
        <v>33622</v>
      </c>
      <c r="K130" s="470"/>
      <c r="L130" s="470">
        <f>TRUNC(K130*E130,0)</f>
        <v>0</v>
      </c>
      <c r="M130" s="470">
        <f>G130+I130+K130</f>
        <v>152831</v>
      </c>
      <c r="N130" s="470">
        <f>H130+J130+L130</f>
        <v>33622</v>
      </c>
      <c r="O130" s="457"/>
      <c r="P130" s="767"/>
    </row>
    <row r="131" spans="2:17" ht="15.2" customHeight="1">
      <c r="B131" s="766" t="s">
        <v>1162</v>
      </c>
      <c r="C131" s="766"/>
      <c r="D131" s="84"/>
      <c r="E131" s="87">
        <v>0.12</v>
      </c>
      <c r="F131" s="86" t="s">
        <v>1163</v>
      </c>
      <c r="G131" s="470"/>
      <c r="H131" s="470">
        <f t="shared" si="49"/>
        <v>0</v>
      </c>
      <c r="I131" s="470">
        <f>SUMIF('노임(2015)'!$B$4:$B$87,B131,'노임(2015)'!$C$4:$C$87)+SUMIF('노임(2015)'!$E$4:$E$87,B131,'노임(2015)'!$F$4:$F$87)</f>
        <v>89566</v>
      </c>
      <c r="J131" s="470">
        <f t="shared" si="50"/>
        <v>10747</v>
      </c>
      <c r="K131" s="470"/>
      <c r="L131" s="470">
        <f>TRUNC(K131*E131,0)</f>
        <v>0</v>
      </c>
      <c r="M131" s="470">
        <f>G131+I131+K131</f>
        <v>89566</v>
      </c>
      <c r="N131" s="470">
        <f>H131+J131+L131</f>
        <v>10747</v>
      </c>
      <c r="O131" s="457"/>
      <c r="P131" s="767"/>
    </row>
    <row r="132" spans="2:17" ht="15.2" customHeight="1">
      <c r="B132" s="766" t="s">
        <v>855</v>
      </c>
      <c r="C132" s="766"/>
      <c r="D132" s="84"/>
      <c r="E132" s="87"/>
      <c r="F132" s="86"/>
      <c r="G132" s="470"/>
      <c r="H132" s="470">
        <f>SUM(H124:H131)</f>
        <v>19716</v>
      </c>
      <c r="I132" s="470"/>
      <c r="J132" s="470">
        <f>SUM(J124:J131)</f>
        <v>44369</v>
      </c>
      <c r="K132" s="470"/>
      <c r="L132" s="470">
        <f>SUM(L124:L131)</f>
        <v>0</v>
      </c>
      <c r="M132" s="470"/>
      <c r="N132" s="470">
        <f>SUM(N124:N131)</f>
        <v>64085</v>
      </c>
      <c r="O132" s="457"/>
      <c r="P132" s="767"/>
      <c r="Q132" s="80" t="s">
        <v>3244</v>
      </c>
    </row>
    <row r="133" spans="2:17" ht="15.2" customHeight="1">
      <c r="B133" s="83">
        <f>P133</f>
        <v>18</v>
      </c>
      <c r="C133" s="770" t="s">
        <v>1463</v>
      </c>
      <c r="D133" s="770"/>
      <c r="E133" s="770"/>
      <c r="F133" s="771"/>
      <c r="G133" s="470"/>
      <c r="H133" s="470"/>
      <c r="I133" s="470"/>
      <c r="J133" s="470"/>
      <c r="K133" s="470"/>
      <c r="L133" s="470"/>
      <c r="M133" s="470"/>
      <c r="N133" s="470"/>
      <c r="O133" s="457"/>
      <c r="P133" s="767">
        <f>MAX($P$5:P132)+1</f>
        <v>18</v>
      </c>
      <c r="Q133" s="80" t="s">
        <v>3243</v>
      </c>
    </row>
    <row r="134" spans="2:17" ht="15.2" customHeight="1">
      <c r="B134" s="768" t="s">
        <v>1459</v>
      </c>
      <c r="C134" s="769"/>
      <c r="D134" s="84" t="s">
        <v>1460</v>
      </c>
      <c r="E134" s="87">
        <v>1.03</v>
      </c>
      <c r="F134" s="86" t="s">
        <v>967</v>
      </c>
      <c r="G134" s="470">
        <f>사급자재!$M$28</f>
        <v>8801</v>
      </c>
      <c r="H134" s="470">
        <f t="shared" ref="H134:H141" si="54">TRUNC(E134*G134,0)</f>
        <v>9065</v>
      </c>
      <c r="I134" s="470"/>
      <c r="J134" s="470">
        <f t="shared" ref="J134:J141" si="55">TRUNC(I134*E134,0)</f>
        <v>0</v>
      </c>
      <c r="K134" s="470"/>
      <c r="L134" s="470">
        <f t="shared" ref="L134:L141" si="56">TRUNC(K134*E134,0)</f>
        <v>0</v>
      </c>
      <c r="M134" s="470">
        <f t="shared" ref="M134:M141" si="57">G134+I134+K134</f>
        <v>8801</v>
      </c>
      <c r="N134" s="470">
        <f t="shared" ref="N134:N141" si="58">H134+J134+L134</f>
        <v>9065</v>
      </c>
      <c r="O134" s="457"/>
      <c r="P134" s="767"/>
    </row>
    <row r="135" spans="2:17" ht="15.2" customHeight="1">
      <c r="B135" s="768" t="s">
        <v>1199</v>
      </c>
      <c r="C135" s="769"/>
      <c r="D135" s="84" t="s">
        <v>1200</v>
      </c>
      <c r="E135" s="88">
        <v>3.7999999999999999E-2</v>
      </c>
      <c r="F135" s="86" t="s">
        <v>1168</v>
      </c>
      <c r="G135" s="470">
        <f>사급자재!$M$32</f>
        <v>407286</v>
      </c>
      <c r="H135" s="470">
        <f t="shared" si="54"/>
        <v>15476</v>
      </c>
      <c r="I135" s="470"/>
      <c r="J135" s="470">
        <f t="shared" si="55"/>
        <v>0</v>
      </c>
      <c r="K135" s="470"/>
      <c r="L135" s="470">
        <f t="shared" si="56"/>
        <v>0</v>
      </c>
      <c r="M135" s="470">
        <f t="shared" si="57"/>
        <v>407286</v>
      </c>
      <c r="N135" s="470">
        <f t="shared" si="58"/>
        <v>15476</v>
      </c>
      <c r="O135" s="457"/>
      <c r="P135" s="767"/>
    </row>
    <row r="136" spans="2:17" ht="15.2" customHeight="1">
      <c r="B136" s="766" t="s">
        <v>1206</v>
      </c>
      <c r="C136" s="766"/>
      <c r="D136" s="84" t="s">
        <v>1461</v>
      </c>
      <c r="E136" s="89">
        <v>-0.23</v>
      </c>
      <c r="F136" s="86" t="s">
        <v>933</v>
      </c>
      <c r="G136" s="470">
        <f>TRUNC(E134*G134+E135*G135)</f>
        <v>24541</v>
      </c>
      <c r="H136" s="470">
        <f>TRUNC(E136*G136,0)</f>
        <v>-5644</v>
      </c>
      <c r="I136" s="470"/>
      <c r="J136" s="470">
        <f>TRUNC(I136*E136,0)</f>
        <v>0</v>
      </c>
      <c r="K136" s="470"/>
      <c r="L136" s="470">
        <f>TRUNC(K136*E136,0)</f>
        <v>0</v>
      </c>
      <c r="M136" s="470">
        <f>G136+I136+K136</f>
        <v>24541</v>
      </c>
      <c r="N136" s="470">
        <f>H136+J136+L136</f>
        <v>-5644</v>
      </c>
      <c r="O136" s="457"/>
      <c r="P136" s="767"/>
    </row>
    <row r="137" spans="2:17" ht="15.2" customHeight="1">
      <c r="B137" s="766" t="s">
        <v>1201</v>
      </c>
      <c r="C137" s="766"/>
      <c r="D137" s="84" t="s">
        <v>1202</v>
      </c>
      <c r="E137" s="87">
        <v>0.28999999999999998</v>
      </c>
      <c r="F137" s="86" t="s">
        <v>1799</v>
      </c>
      <c r="G137" s="470">
        <f>사급자재!$M$34</f>
        <v>1250</v>
      </c>
      <c r="H137" s="470">
        <f t="shared" si="54"/>
        <v>362</v>
      </c>
      <c r="I137" s="470"/>
      <c r="J137" s="470">
        <f t="shared" si="55"/>
        <v>0</v>
      </c>
      <c r="K137" s="470"/>
      <c r="L137" s="470">
        <f t="shared" si="56"/>
        <v>0</v>
      </c>
      <c r="M137" s="470">
        <f t="shared" si="57"/>
        <v>1250</v>
      </c>
      <c r="N137" s="470">
        <f t="shared" si="58"/>
        <v>362</v>
      </c>
      <c r="O137" s="457"/>
      <c r="P137" s="767"/>
    </row>
    <row r="138" spans="2:17" ht="15.2" customHeight="1">
      <c r="B138" s="766" t="s">
        <v>1203</v>
      </c>
      <c r="C138" s="766"/>
      <c r="D138" s="84"/>
      <c r="E138" s="87">
        <v>0.2</v>
      </c>
      <c r="F138" s="86" t="s">
        <v>1799</v>
      </c>
      <c r="G138" s="470">
        <f>사급자재!$M$35</f>
        <v>1100</v>
      </c>
      <c r="H138" s="470">
        <f t="shared" si="54"/>
        <v>220</v>
      </c>
      <c r="I138" s="470"/>
      <c r="J138" s="470">
        <f t="shared" si="55"/>
        <v>0</v>
      </c>
      <c r="K138" s="470"/>
      <c r="L138" s="470">
        <f t="shared" si="56"/>
        <v>0</v>
      </c>
      <c r="M138" s="470">
        <f t="shared" si="57"/>
        <v>1100</v>
      </c>
      <c r="N138" s="470">
        <f t="shared" si="58"/>
        <v>220</v>
      </c>
      <c r="O138" s="457"/>
      <c r="P138" s="767"/>
    </row>
    <row r="139" spans="2:17" ht="15.2" customHeight="1">
      <c r="B139" s="766" t="s">
        <v>1204</v>
      </c>
      <c r="C139" s="766"/>
      <c r="D139" s="84" t="s">
        <v>1462</v>
      </c>
      <c r="E139" s="87">
        <v>0.19</v>
      </c>
      <c r="F139" s="86" t="s">
        <v>456</v>
      </c>
      <c r="G139" s="470">
        <f>사급자재!$M$37</f>
        <v>1250</v>
      </c>
      <c r="H139" s="470">
        <f t="shared" si="54"/>
        <v>237</v>
      </c>
      <c r="I139" s="470"/>
      <c r="J139" s="470">
        <f t="shared" si="55"/>
        <v>0</v>
      </c>
      <c r="K139" s="470"/>
      <c r="L139" s="470">
        <f t="shared" si="56"/>
        <v>0</v>
      </c>
      <c r="M139" s="470">
        <f t="shared" si="57"/>
        <v>1250</v>
      </c>
      <c r="N139" s="470">
        <f t="shared" si="58"/>
        <v>237</v>
      </c>
      <c r="O139" s="457"/>
      <c r="P139" s="767"/>
    </row>
    <row r="140" spans="2:17" ht="15.2" customHeight="1">
      <c r="B140" s="766" t="s">
        <v>1205</v>
      </c>
      <c r="C140" s="766"/>
      <c r="D140" s="84"/>
      <c r="E140" s="88">
        <f>TRUNC($E$130*1.3,2)</f>
        <v>0.28000000000000003</v>
      </c>
      <c r="F140" s="86" t="s">
        <v>1163</v>
      </c>
      <c r="G140" s="470"/>
      <c r="H140" s="470">
        <f t="shared" si="54"/>
        <v>0</v>
      </c>
      <c r="I140" s="470">
        <f>SUMIF('노임(2015)'!$B$4:$B$87,B140,'노임(2015)'!$C$4:$C$87)+SUMIF('노임(2015)'!$E$4:$E$87,B140,'노임(2015)'!$F$4:$F$87)</f>
        <v>152831</v>
      </c>
      <c r="J140" s="470">
        <f t="shared" si="55"/>
        <v>42792</v>
      </c>
      <c r="K140" s="470"/>
      <c r="L140" s="470">
        <f t="shared" si="56"/>
        <v>0</v>
      </c>
      <c r="M140" s="470">
        <f t="shared" si="57"/>
        <v>152831</v>
      </c>
      <c r="N140" s="470">
        <f t="shared" si="58"/>
        <v>42792</v>
      </c>
      <c r="O140" s="457"/>
      <c r="P140" s="767"/>
    </row>
    <row r="141" spans="2:17" ht="15.2" customHeight="1">
      <c r="B141" s="766" t="s">
        <v>1162</v>
      </c>
      <c r="C141" s="766"/>
      <c r="D141" s="84"/>
      <c r="E141" s="88">
        <f>TRUNC($E$131*1.3,2)</f>
        <v>0.15</v>
      </c>
      <c r="F141" s="86" t="s">
        <v>1163</v>
      </c>
      <c r="G141" s="470"/>
      <c r="H141" s="470">
        <f t="shared" si="54"/>
        <v>0</v>
      </c>
      <c r="I141" s="470">
        <f>SUMIF('노임(2015)'!$B$4:$B$87,B141,'노임(2015)'!$C$4:$C$87)+SUMIF('노임(2015)'!$E$4:$E$87,B141,'노임(2015)'!$F$4:$F$87)</f>
        <v>89566</v>
      </c>
      <c r="J141" s="470">
        <f t="shared" si="55"/>
        <v>13434</v>
      </c>
      <c r="K141" s="470"/>
      <c r="L141" s="470">
        <f t="shared" si="56"/>
        <v>0</v>
      </c>
      <c r="M141" s="470">
        <f t="shared" si="57"/>
        <v>89566</v>
      </c>
      <c r="N141" s="470">
        <f t="shared" si="58"/>
        <v>13434</v>
      </c>
      <c r="O141" s="457"/>
      <c r="P141" s="767"/>
    </row>
    <row r="142" spans="2:17" ht="15.2" customHeight="1">
      <c r="B142" s="766" t="s">
        <v>855</v>
      </c>
      <c r="C142" s="766"/>
      <c r="D142" s="84"/>
      <c r="E142" s="87"/>
      <c r="F142" s="86"/>
      <c r="G142" s="470"/>
      <c r="H142" s="470">
        <f>SUM(H134:H141)</f>
        <v>19716</v>
      </c>
      <c r="I142" s="470"/>
      <c r="J142" s="470">
        <f>SUM(J134:J141)</f>
        <v>56226</v>
      </c>
      <c r="K142" s="470"/>
      <c r="L142" s="470">
        <f>SUM(L134:L141)</f>
        <v>0</v>
      </c>
      <c r="M142" s="470"/>
      <c r="N142" s="470">
        <f>SUM(N134:N141)</f>
        <v>75942</v>
      </c>
      <c r="O142" s="457"/>
      <c r="P142" s="767"/>
      <c r="Q142" s="80" t="s">
        <v>3244</v>
      </c>
    </row>
    <row r="143" spans="2:17" ht="15.2" customHeight="1">
      <c r="B143" s="83">
        <f>P143</f>
        <v>19</v>
      </c>
      <c r="C143" s="770" t="s">
        <v>1464</v>
      </c>
      <c r="D143" s="770"/>
      <c r="E143" s="770"/>
      <c r="F143" s="771"/>
      <c r="G143" s="470"/>
      <c r="H143" s="470"/>
      <c r="I143" s="470"/>
      <c r="J143" s="470"/>
      <c r="K143" s="470"/>
      <c r="L143" s="470"/>
      <c r="M143" s="470"/>
      <c r="N143" s="470"/>
      <c r="O143" s="457"/>
      <c r="P143" s="767">
        <f>MAX($P$5:P142)+1</f>
        <v>19</v>
      </c>
      <c r="Q143" s="80" t="s">
        <v>3243</v>
      </c>
    </row>
    <row r="144" spans="2:17" ht="15.2" customHeight="1">
      <c r="B144" s="766" t="s">
        <v>1465</v>
      </c>
      <c r="C144" s="766"/>
      <c r="D144" s="84"/>
      <c r="E144" s="87"/>
      <c r="F144" s="86" t="s">
        <v>933</v>
      </c>
      <c r="G144" s="470">
        <f>$H$132</f>
        <v>19716</v>
      </c>
      <c r="H144" s="470">
        <f>TRUNC(E144*G144,0)</f>
        <v>0</v>
      </c>
      <c r="I144" s="470">
        <f>$J$132</f>
        <v>44369</v>
      </c>
      <c r="J144" s="470">
        <f>TRUNC(I144*E144,0)</f>
        <v>0</v>
      </c>
      <c r="K144" s="470"/>
      <c r="L144" s="470">
        <f>TRUNC(K144*E144,0)</f>
        <v>0</v>
      </c>
      <c r="M144" s="470">
        <f t="shared" ref="M144:N146" si="59">G144+I144+K144</f>
        <v>64085</v>
      </c>
      <c r="N144" s="470">
        <f t="shared" si="59"/>
        <v>0</v>
      </c>
      <c r="O144" s="458">
        <f>$P$123</f>
        <v>17</v>
      </c>
      <c r="P144" s="767"/>
    </row>
    <row r="145" spans="2:17" ht="15.2" customHeight="1">
      <c r="B145" s="766" t="s">
        <v>1466</v>
      </c>
      <c r="C145" s="766"/>
      <c r="D145" s="84"/>
      <c r="E145" s="87">
        <v>0.56999999999999995</v>
      </c>
      <c r="F145" s="86" t="s">
        <v>933</v>
      </c>
      <c r="G145" s="470">
        <f>G144</f>
        <v>19716</v>
      </c>
      <c r="H145" s="470">
        <f>TRUNC(E145*G145,0)</f>
        <v>11238</v>
      </c>
      <c r="I145" s="470"/>
      <c r="J145" s="470">
        <f>TRUNC(I145*E145,0)</f>
        <v>0</v>
      </c>
      <c r="K145" s="470"/>
      <c r="L145" s="470">
        <f>TRUNC(K145*E145,0)</f>
        <v>0</v>
      </c>
      <c r="M145" s="470">
        <f t="shared" si="59"/>
        <v>19716</v>
      </c>
      <c r="N145" s="470">
        <f t="shared" si="59"/>
        <v>11238</v>
      </c>
      <c r="O145" s="459"/>
      <c r="P145" s="767"/>
    </row>
    <row r="146" spans="2:17" ht="15.2" customHeight="1">
      <c r="B146" s="766" t="s">
        <v>862</v>
      </c>
      <c r="C146" s="766"/>
      <c r="D146" s="84"/>
      <c r="E146" s="87">
        <v>0.6</v>
      </c>
      <c r="F146" s="86" t="s">
        <v>933</v>
      </c>
      <c r="G146" s="470"/>
      <c r="H146" s="470">
        <f>TRUNC(E146*G146,0)</f>
        <v>0</v>
      </c>
      <c r="I146" s="470">
        <f>I144</f>
        <v>44369</v>
      </c>
      <c r="J146" s="470">
        <f>TRUNC(I146*E146,0)</f>
        <v>26621</v>
      </c>
      <c r="K146" s="470"/>
      <c r="L146" s="470">
        <f>TRUNC(K146*E146,0)</f>
        <v>0</v>
      </c>
      <c r="M146" s="470">
        <f t="shared" si="59"/>
        <v>44369</v>
      </c>
      <c r="N146" s="470">
        <f t="shared" si="59"/>
        <v>26621</v>
      </c>
      <c r="O146" s="457"/>
      <c r="P146" s="767"/>
    </row>
    <row r="147" spans="2:17" ht="15.2" customHeight="1">
      <c r="B147" s="766" t="s">
        <v>855</v>
      </c>
      <c r="C147" s="766"/>
      <c r="D147" s="84"/>
      <c r="E147" s="87"/>
      <c r="F147" s="86"/>
      <c r="G147" s="470"/>
      <c r="H147" s="470">
        <f>SUM(H144:H146)</f>
        <v>11238</v>
      </c>
      <c r="I147" s="470"/>
      <c r="J147" s="470">
        <f>SUM(J144:J146)</f>
        <v>26621</v>
      </c>
      <c r="K147" s="470"/>
      <c r="L147" s="470">
        <f>SUM(L144:L146)</f>
        <v>0</v>
      </c>
      <c r="M147" s="470"/>
      <c r="N147" s="470">
        <f>SUM(N144:N146)</f>
        <v>37859</v>
      </c>
      <c r="O147" s="457"/>
      <c r="P147" s="767"/>
      <c r="Q147" s="80" t="s">
        <v>3244</v>
      </c>
    </row>
    <row r="148" spans="2:17" ht="15.2" customHeight="1">
      <c r="B148" s="83">
        <f>P148</f>
        <v>20</v>
      </c>
      <c r="C148" s="770" t="s">
        <v>1467</v>
      </c>
      <c r="D148" s="770"/>
      <c r="E148" s="770"/>
      <c r="F148" s="771"/>
      <c r="G148" s="470"/>
      <c r="H148" s="470"/>
      <c r="I148" s="470"/>
      <c r="J148" s="470"/>
      <c r="K148" s="470"/>
      <c r="L148" s="470"/>
      <c r="M148" s="470"/>
      <c r="N148" s="470"/>
      <c r="O148" s="457"/>
      <c r="P148" s="767">
        <f>MAX($P$5:P147)+1</f>
        <v>20</v>
      </c>
      <c r="Q148" s="80" t="s">
        <v>3243</v>
      </c>
    </row>
    <row r="149" spans="2:17" ht="15.2" customHeight="1">
      <c r="B149" s="766" t="s">
        <v>1468</v>
      </c>
      <c r="C149" s="766"/>
      <c r="D149" s="84"/>
      <c r="E149" s="87"/>
      <c r="F149" s="86" t="s">
        <v>933</v>
      </c>
      <c r="G149" s="470">
        <f>$H$142</f>
        <v>19716</v>
      </c>
      <c r="H149" s="470">
        <f>TRUNC(E149*G149,0)</f>
        <v>0</v>
      </c>
      <c r="I149" s="470">
        <f>$J$142</f>
        <v>56226</v>
      </c>
      <c r="J149" s="470">
        <f>TRUNC(I149*E149,0)</f>
        <v>0</v>
      </c>
      <c r="K149" s="470"/>
      <c r="L149" s="470">
        <f>TRUNC(K149*E149,0)</f>
        <v>0</v>
      </c>
      <c r="M149" s="470">
        <f t="shared" ref="M149:N151" si="60">G149+I149+K149</f>
        <v>75942</v>
      </c>
      <c r="N149" s="470">
        <f t="shared" si="60"/>
        <v>0</v>
      </c>
      <c r="O149" s="458">
        <f>$P$133</f>
        <v>18</v>
      </c>
      <c r="P149" s="767"/>
    </row>
    <row r="150" spans="2:17" ht="15.2" customHeight="1">
      <c r="B150" s="766" t="s">
        <v>1466</v>
      </c>
      <c r="C150" s="766"/>
      <c r="D150" s="84"/>
      <c r="E150" s="87">
        <v>0.56999999999999995</v>
      </c>
      <c r="F150" s="86" t="s">
        <v>933</v>
      </c>
      <c r="G150" s="470">
        <f>G149</f>
        <v>19716</v>
      </c>
      <c r="H150" s="470">
        <f>TRUNC(E150*G150,0)</f>
        <v>11238</v>
      </c>
      <c r="I150" s="470"/>
      <c r="J150" s="470">
        <f>TRUNC(I150*E150,0)</f>
        <v>0</v>
      </c>
      <c r="K150" s="470"/>
      <c r="L150" s="470">
        <f>TRUNC(K150*E150,0)</f>
        <v>0</v>
      </c>
      <c r="M150" s="470">
        <f t="shared" si="60"/>
        <v>19716</v>
      </c>
      <c r="N150" s="470">
        <f t="shared" si="60"/>
        <v>11238</v>
      </c>
      <c r="O150" s="459"/>
      <c r="P150" s="767"/>
    </row>
    <row r="151" spans="2:17" ht="15.2" customHeight="1">
      <c r="B151" s="766" t="s">
        <v>862</v>
      </c>
      <c r="C151" s="766"/>
      <c r="D151" s="84"/>
      <c r="E151" s="87">
        <v>0.6</v>
      </c>
      <c r="F151" s="86" t="s">
        <v>933</v>
      </c>
      <c r="G151" s="470"/>
      <c r="H151" s="470">
        <f>TRUNC(E151*G151,0)</f>
        <v>0</v>
      </c>
      <c r="I151" s="470">
        <f>I149</f>
        <v>56226</v>
      </c>
      <c r="J151" s="470">
        <f>TRUNC(I151*E151,0)</f>
        <v>33735</v>
      </c>
      <c r="K151" s="470"/>
      <c r="L151" s="470">
        <f>TRUNC(K151*E151,0)</f>
        <v>0</v>
      </c>
      <c r="M151" s="470">
        <f t="shared" si="60"/>
        <v>56226</v>
      </c>
      <c r="N151" s="470">
        <f t="shared" si="60"/>
        <v>33735</v>
      </c>
      <c r="O151" s="457"/>
      <c r="P151" s="767"/>
    </row>
    <row r="152" spans="2:17" ht="15.2" customHeight="1">
      <c r="B152" s="766" t="s">
        <v>855</v>
      </c>
      <c r="C152" s="766"/>
      <c r="D152" s="84"/>
      <c r="E152" s="87"/>
      <c r="F152" s="86"/>
      <c r="G152" s="470"/>
      <c r="H152" s="470">
        <f>SUM(H149:H151)</f>
        <v>11238</v>
      </c>
      <c r="I152" s="470"/>
      <c r="J152" s="470">
        <f>SUM(J149:J151)</f>
        <v>33735</v>
      </c>
      <c r="K152" s="470"/>
      <c r="L152" s="470">
        <f>SUM(L149:L151)</f>
        <v>0</v>
      </c>
      <c r="M152" s="470"/>
      <c r="N152" s="470">
        <f>SUM(N149:N151)</f>
        <v>44973</v>
      </c>
      <c r="O152" s="457"/>
      <c r="P152" s="767"/>
      <c r="Q152" s="80" t="s">
        <v>3244</v>
      </c>
    </row>
    <row r="153" spans="2:17" ht="15.2" customHeight="1">
      <c r="B153" s="83">
        <f>P153</f>
        <v>21</v>
      </c>
      <c r="C153" s="770" t="s">
        <v>1469</v>
      </c>
      <c r="D153" s="770"/>
      <c r="E153" s="770"/>
      <c r="F153" s="771"/>
      <c r="G153" s="470"/>
      <c r="H153" s="470"/>
      <c r="I153" s="470"/>
      <c r="J153" s="470"/>
      <c r="K153" s="470"/>
      <c r="L153" s="470"/>
      <c r="M153" s="470"/>
      <c r="N153" s="470"/>
      <c r="O153" s="457"/>
      <c r="P153" s="767">
        <f>MAX($P$5:P152)+1</f>
        <v>21</v>
      </c>
      <c r="Q153" s="80" t="s">
        <v>3243</v>
      </c>
    </row>
    <row r="154" spans="2:17" ht="15.2" customHeight="1">
      <c r="B154" s="766" t="s">
        <v>1465</v>
      </c>
      <c r="C154" s="766"/>
      <c r="D154" s="84"/>
      <c r="E154" s="87"/>
      <c r="F154" s="86" t="s">
        <v>933</v>
      </c>
      <c r="G154" s="470">
        <f>$H$132</f>
        <v>19716</v>
      </c>
      <c r="H154" s="470">
        <f>TRUNC(E154*G154,0)</f>
        <v>0</v>
      </c>
      <c r="I154" s="470">
        <f>$J$132</f>
        <v>44369</v>
      </c>
      <c r="J154" s="470">
        <f>TRUNC(I154*E154,0)</f>
        <v>0</v>
      </c>
      <c r="K154" s="470"/>
      <c r="L154" s="470">
        <f>TRUNC(K154*E154,0)</f>
        <v>0</v>
      </c>
      <c r="M154" s="470">
        <f t="shared" ref="M154:N156" si="61">G154+I154+K154</f>
        <v>64085</v>
      </c>
      <c r="N154" s="470">
        <f t="shared" si="61"/>
        <v>0</v>
      </c>
      <c r="O154" s="458">
        <f>$P$123</f>
        <v>17</v>
      </c>
      <c r="P154" s="767"/>
    </row>
    <row r="155" spans="2:17" ht="15.2" customHeight="1">
      <c r="B155" s="766" t="s">
        <v>1470</v>
      </c>
      <c r="C155" s="766"/>
      <c r="D155" s="84"/>
      <c r="E155" s="88">
        <v>0.46100000000000002</v>
      </c>
      <c r="F155" s="86" t="s">
        <v>933</v>
      </c>
      <c r="G155" s="470">
        <f>G154</f>
        <v>19716</v>
      </c>
      <c r="H155" s="470">
        <f>TRUNC(E155*G155,0)</f>
        <v>9089</v>
      </c>
      <c r="I155" s="470"/>
      <c r="J155" s="470">
        <f>TRUNC(I155*E155,0)</f>
        <v>0</v>
      </c>
      <c r="K155" s="470"/>
      <c r="L155" s="470">
        <f>TRUNC(K155*E155,0)</f>
        <v>0</v>
      </c>
      <c r="M155" s="470">
        <f t="shared" si="61"/>
        <v>19716</v>
      </c>
      <c r="N155" s="470">
        <f t="shared" si="61"/>
        <v>9089</v>
      </c>
      <c r="O155" s="457"/>
      <c r="P155" s="767"/>
    </row>
    <row r="156" spans="2:17" ht="15.2" customHeight="1">
      <c r="B156" s="766" t="s">
        <v>1471</v>
      </c>
      <c r="C156" s="766"/>
      <c r="D156" s="84"/>
      <c r="E156" s="88">
        <v>0.47099999999999997</v>
      </c>
      <c r="F156" s="86" t="s">
        <v>933</v>
      </c>
      <c r="G156" s="470"/>
      <c r="H156" s="470">
        <f>TRUNC(E156*G156,0)</f>
        <v>0</v>
      </c>
      <c r="I156" s="470">
        <f>I154</f>
        <v>44369</v>
      </c>
      <c r="J156" s="470">
        <f>TRUNC(I156*E156,0)</f>
        <v>20897</v>
      </c>
      <c r="K156" s="470"/>
      <c r="L156" s="470">
        <f>TRUNC(K156*E156,0)</f>
        <v>0</v>
      </c>
      <c r="M156" s="470">
        <f t="shared" si="61"/>
        <v>44369</v>
      </c>
      <c r="N156" s="470">
        <f t="shared" si="61"/>
        <v>20897</v>
      </c>
      <c r="O156" s="457"/>
      <c r="P156" s="767"/>
    </row>
    <row r="157" spans="2:17" ht="15.2" customHeight="1">
      <c r="B157" s="766" t="s">
        <v>855</v>
      </c>
      <c r="C157" s="766"/>
      <c r="D157" s="84"/>
      <c r="E157" s="87"/>
      <c r="F157" s="86"/>
      <c r="G157" s="470"/>
      <c r="H157" s="470">
        <f>SUM(H154:H156)</f>
        <v>9089</v>
      </c>
      <c r="I157" s="470"/>
      <c r="J157" s="470">
        <f>SUM(J154:J156)</f>
        <v>20897</v>
      </c>
      <c r="K157" s="470"/>
      <c r="L157" s="470">
        <f>SUM(L154:L156)</f>
        <v>0</v>
      </c>
      <c r="M157" s="470"/>
      <c r="N157" s="470">
        <f>SUM(N154:N156)</f>
        <v>29986</v>
      </c>
      <c r="O157" s="457"/>
      <c r="P157" s="767"/>
      <c r="Q157" s="80" t="s">
        <v>3244</v>
      </c>
    </row>
    <row r="158" spans="2:17" ht="15.2" customHeight="1">
      <c r="B158" s="83">
        <f>P158</f>
        <v>22</v>
      </c>
      <c r="C158" s="770" t="s">
        <v>868</v>
      </c>
      <c r="D158" s="770"/>
      <c r="E158" s="770"/>
      <c r="F158" s="771"/>
      <c r="G158" s="470"/>
      <c r="H158" s="470"/>
      <c r="I158" s="470"/>
      <c r="J158" s="470"/>
      <c r="K158" s="470"/>
      <c r="L158" s="470"/>
      <c r="M158" s="470"/>
      <c r="N158" s="470"/>
      <c r="O158" s="457"/>
      <c r="P158" s="767">
        <f>MAX($P$5:P157)+1</f>
        <v>22</v>
      </c>
      <c r="Q158" s="80" t="s">
        <v>3243</v>
      </c>
    </row>
    <row r="159" spans="2:17" ht="15.2" customHeight="1">
      <c r="B159" s="766" t="s">
        <v>1468</v>
      </c>
      <c r="C159" s="766"/>
      <c r="D159" s="84"/>
      <c r="E159" s="87"/>
      <c r="F159" s="86" t="s">
        <v>933</v>
      </c>
      <c r="G159" s="470">
        <f>$H$142</f>
        <v>19716</v>
      </c>
      <c r="H159" s="470">
        <f>TRUNC(E159*G159,0)</f>
        <v>0</v>
      </c>
      <c r="I159" s="470">
        <f>$J$142</f>
        <v>56226</v>
      </c>
      <c r="J159" s="470">
        <f>TRUNC(I159*E159,0)</f>
        <v>0</v>
      </c>
      <c r="K159" s="470"/>
      <c r="L159" s="470">
        <f>TRUNC(K159*E159,0)</f>
        <v>0</v>
      </c>
      <c r="M159" s="470">
        <f t="shared" ref="M159:N161" si="62">G159+I159+K159</f>
        <v>75942</v>
      </c>
      <c r="N159" s="470">
        <f t="shared" si="62"/>
        <v>0</v>
      </c>
      <c r="O159" s="458">
        <f>$P$133</f>
        <v>18</v>
      </c>
      <c r="P159" s="767"/>
    </row>
    <row r="160" spans="2:17" ht="15.2" customHeight="1">
      <c r="B160" s="766" t="s">
        <v>1470</v>
      </c>
      <c r="C160" s="766"/>
      <c r="D160" s="84"/>
      <c r="E160" s="88">
        <v>0.46100000000000002</v>
      </c>
      <c r="F160" s="86" t="s">
        <v>933</v>
      </c>
      <c r="G160" s="470">
        <f>G159</f>
        <v>19716</v>
      </c>
      <c r="H160" s="470">
        <f>TRUNC(E160*G160,0)</f>
        <v>9089</v>
      </c>
      <c r="I160" s="470"/>
      <c r="J160" s="470">
        <f>TRUNC(I160*E160,0)</f>
        <v>0</v>
      </c>
      <c r="K160" s="470"/>
      <c r="L160" s="470">
        <f>TRUNC(K160*E160,0)</f>
        <v>0</v>
      </c>
      <c r="M160" s="470">
        <f t="shared" si="62"/>
        <v>19716</v>
      </c>
      <c r="N160" s="470">
        <f t="shared" si="62"/>
        <v>9089</v>
      </c>
      <c r="O160" s="457"/>
      <c r="P160" s="767"/>
    </row>
    <row r="161" spans="2:17" ht="15.2" customHeight="1">
      <c r="B161" s="766" t="s">
        <v>1471</v>
      </c>
      <c r="C161" s="766"/>
      <c r="D161" s="84"/>
      <c r="E161" s="88">
        <v>0.47099999999999997</v>
      </c>
      <c r="F161" s="86" t="s">
        <v>933</v>
      </c>
      <c r="G161" s="470"/>
      <c r="H161" s="470">
        <f>TRUNC(E161*G161,0)</f>
        <v>0</v>
      </c>
      <c r="I161" s="470">
        <f>I159</f>
        <v>56226</v>
      </c>
      <c r="J161" s="470">
        <f>TRUNC(I161*E161,0)</f>
        <v>26482</v>
      </c>
      <c r="K161" s="470"/>
      <c r="L161" s="470">
        <f>TRUNC(K161*E161,0)</f>
        <v>0</v>
      </c>
      <c r="M161" s="470">
        <f t="shared" si="62"/>
        <v>56226</v>
      </c>
      <c r="N161" s="470">
        <f t="shared" si="62"/>
        <v>26482</v>
      </c>
      <c r="O161" s="457"/>
      <c r="P161" s="767"/>
    </row>
    <row r="162" spans="2:17" ht="15.2" customHeight="1">
      <c r="B162" s="766" t="s">
        <v>855</v>
      </c>
      <c r="C162" s="766"/>
      <c r="D162" s="84"/>
      <c r="E162" s="87"/>
      <c r="F162" s="86"/>
      <c r="G162" s="470"/>
      <c r="H162" s="470">
        <f>SUM(H159:H161)</f>
        <v>9089</v>
      </c>
      <c r="I162" s="470"/>
      <c r="J162" s="470">
        <f>SUM(J159:J161)</f>
        <v>26482</v>
      </c>
      <c r="K162" s="470"/>
      <c r="L162" s="470">
        <f>SUM(L159:L161)</f>
        <v>0</v>
      </c>
      <c r="M162" s="470"/>
      <c r="N162" s="470">
        <f>SUM(N159:N161)</f>
        <v>35571</v>
      </c>
      <c r="O162" s="457"/>
      <c r="P162" s="767"/>
      <c r="Q162" s="80" t="s">
        <v>3244</v>
      </c>
    </row>
    <row r="163" spans="2:17" ht="15.2" customHeight="1">
      <c r="B163" s="83">
        <f>P163</f>
        <v>23</v>
      </c>
      <c r="C163" s="770" t="s">
        <v>869</v>
      </c>
      <c r="D163" s="770"/>
      <c r="E163" s="770"/>
      <c r="F163" s="771"/>
      <c r="G163" s="470"/>
      <c r="H163" s="470"/>
      <c r="I163" s="470"/>
      <c r="J163" s="470"/>
      <c r="K163" s="470"/>
      <c r="L163" s="470"/>
      <c r="M163" s="470"/>
      <c r="N163" s="470"/>
      <c r="O163" s="457"/>
      <c r="P163" s="767">
        <f>MAX($P$5:P162)+1</f>
        <v>23</v>
      </c>
      <c r="Q163" s="80" t="s">
        <v>3243</v>
      </c>
    </row>
    <row r="164" spans="2:17" ht="15.2" customHeight="1">
      <c r="B164" s="766" t="s">
        <v>1465</v>
      </c>
      <c r="C164" s="766"/>
      <c r="D164" s="84"/>
      <c r="E164" s="87"/>
      <c r="F164" s="86" t="s">
        <v>933</v>
      </c>
      <c r="G164" s="470">
        <f>$H$132</f>
        <v>19716</v>
      </c>
      <c r="H164" s="470">
        <f>TRUNC(E164*G164,0)</f>
        <v>0</v>
      </c>
      <c r="I164" s="470">
        <f>$J$132</f>
        <v>44369</v>
      </c>
      <c r="J164" s="470">
        <f>TRUNC(I164*E164,0)</f>
        <v>0</v>
      </c>
      <c r="K164" s="470"/>
      <c r="L164" s="470">
        <f>TRUNC(K164*E164,0)</f>
        <v>0</v>
      </c>
      <c r="M164" s="470">
        <f t="shared" ref="M164:N166" si="63">G164+I164+K164</f>
        <v>64085</v>
      </c>
      <c r="N164" s="470">
        <f t="shared" si="63"/>
        <v>0</v>
      </c>
      <c r="O164" s="458">
        <f>$P$123</f>
        <v>17</v>
      </c>
      <c r="P164" s="767"/>
    </row>
    <row r="165" spans="2:17" ht="15.2" customHeight="1">
      <c r="B165" s="766" t="s">
        <v>870</v>
      </c>
      <c r="C165" s="766"/>
      <c r="D165" s="84"/>
      <c r="E165" s="88">
        <v>0.40100000000000002</v>
      </c>
      <c r="F165" s="86" t="s">
        <v>933</v>
      </c>
      <c r="G165" s="470">
        <f>G164</f>
        <v>19716</v>
      </c>
      <c r="H165" s="470">
        <f>TRUNC(E165*G165,0)</f>
        <v>7906</v>
      </c>
      <c r="I165" s="470"/>
      <c r="J165" s="470">
        <f>TRUNC(I165*E165,0)</f>
        <v>0</v>
      </c>
      <c r="K165" s="470"/>
      <c r="L165" s="470">
        <f>TRUNC(K165*E165,0)</f>
        <v>0</v>
      </c>
      <c r="M165" s="470">
        <f t="shared" si="63"/>
        <v>19716</v>
      </c>
      <c r="N165" s="470">
        <f t="shared" si="63"/>
        <v>7906</v>
      </c>
      <c r="O165" s="457"/>
      <c r="P165" s="767"/>
    </row>
    <row r="166" spans="2:17" ht="15.2" customHeight="1">
      <c r="B166" s="766" t="s">
        <v>871</v>
      </c>
      <c r="C166" s="766"/>
      <c r="D166" s="84"/>
      <c r="E166" s="90">
        <v>0.4</v>
      </c>
      <c r="F166" s="86" t="s">
        <v>933</v>
      </c>
      <c r="G166" s="470"/>
      <c r="H166" s="470">
        <f>TRUNC(E166*G166,0)</f>
        <v>0</v>
      </c>
      <c r="I166" s="470">
        <f>I164</f>
        <v>44369</v>
      </c>
      <c r="J166" s="470">
        <f>TRUNC(I166*E166,0)</f>
        <v>17747</v>
      </c>
      <c r="K166" s="470"/>
      <c r="L166" s="470">
        <f>TRUNC(K166*E166,0)</f>
        <v>0</v>
      </c>
      <c r="M166" s="470">
        <f t="shared" si="63"/>
        <v>44369</v>
      </c>
      <c r="N166" s="470">
        <f t="shared" si="63"/>
        <v>17747</v>
      </c>
      <c r="O166" s="457"/>
      <c r="P166" s="767"/>
    </row>
    <row r="167" spans="2:17" ht="15.2" customHeight="1">
      <c r="B167" s="766" t="s">
        <v>855</v>
      </c>
      <c r="C167" s="766"/>
      <c r="D167" s="84"/>
      <c r="E167" s="87"/>
      <c r="F167" s="86"/>
      <c r="G167" s="470"/>
      <c r="H167" s="470">
        <f>SUM(H164:H166)</f>
        <v>7906</v>
      </c>
      <c r="I167" s="470"/>
      <c r="J167" s="470">
        <f>SUM(J164:J166)</f>
        <v>17747</v>
      </c>
      <c r="K167" s="470"/>
      <c r="L167" s="470">
        <f>SUM(L164:L166)</f>
        <v>0</v>
      </c>
      <c r="M167" s="470"/>
      <c r="N167" s="470">
        <f>SUM(N164:N166)</f>
        <v>25653</v>
      </c>
      <c r="O167" s="457"/>
      <c r="P167" s="767"/>
      <c r="Q167" s="80" t="s">
        <v>3244</v>
      </c>
    </row>
    <row r="168" spans="2:17" ht="15.2" customHeight="1">
      <c r="B168" s="83">
        <f>P168</f>
        <v>24</v>
      </c>
      <c r="C168" s="770" t="s">
        <v>872</v>
      </c>
      <c r="D168" s="770"/>
      <c r="E168" s="770"/>
      <c r="F168" s="771"/>
      <c r="G168" s="470"/>
      <c r="H168" s="470"/>
      <c r="I168" s="470"/>
      <c r="J168" s="470"/>
      <c r="K168" s="470"/>
      <c r="L168" s="470"/>
      <c r="M168" s="470"/>
      <c r="N168" s="470"/>
      <c r="O168" s="457"/>
      <c r="P168" s="767">
        <f>MAX($P$5:P167)+1</f>
        <v>24</v>
      </c>
      <c r="Q168" s="80" t="s">
        <v>3243</v>
      </c>
    </row>
    <row r="169" spans="2:17" ht="15.2" customHeight="1">
      <c r="B169" s="766" t="s">
        <v>1468</v>
      </c>
      <c r="C169" s="766"/>
      <c r="D169" s="84"/>
      <c r="E169" s="87"/>
      <c r="F169" s="86" t="s">
        <v>933</v>
      </c>
      <c r="G169" s="470">
        <f>$H$142</f>
        <v>19716</v>
      </c>
      <c r="H169" s="470">
        <f>TRUNC(E169*G169,0)</f>
        <v>0</v>
      </c>
      <c r="I169" s="470">
        <f>$J$142</f>
        <v>56226</v>
      </c>
      <c r="J169" s="470">
        <f>TRUNC(I169*E169,0)</f>
        <v>0</v>
      </c>
      <c r="K169" s="470"/>
      <c r="L169" s="470">
        <f>TRUNC(K169*E169,0)</f>
        <v>0</v>
      </c>
      <c r="M169" s="470">
        <f t="shared" ref="M169:N171" si="64">G169+I169+K169</f>
        <v>75942</v>
      </c>
      <c r="N169" s="470">
        <f t="shared" si="64"/>
        <v>0</v>
      </c>
      <c r="O169" s="458">
        <f>$P$133</f>
        <v>18</v>
      </c>
      <c r="P169" s="767"/>
    </row>
    <row r="170" spans="2:17" ht="15.2" customHeight="1">
      <c r="B170" s="766" t="s">
        <v>870</v>
      </c>
      <c r="C170" s="766"/>
      <c r="D170" s="84"/>
      <c r="E170" s="88">
        <v>0.40100000000000002</v>
      </c>
      <c r="F170" s="86" t="s">
        <v>933</v>
      </c>
      <c r="G170" s="470">
        <f>G169</f>
        <v>19716</v>
      </c>
      <c r="H170" s="470">
        <f>TRUNC(E170*G170,0)</f>
        <v>7906</v>
      </c>
      <c r="I170" s="470"/>
      <c r="J170" s="470">
        <f>TRUNC(I170*E170,0)</f>
        <v>0</v>
      </c>
      <c r="K170" s="470"/>
      <c r="L170" s="470">
        <f>TRUNC(K170*E170,0)</f>
        <v>0</v>
      </c>
      <c r="M170" s="470">
        <f t="shared" si="64"/>
        <v>19716</v>
      </c>
      <c r="N170" s="470">
        <f t="shared" si="64"/>
        <v>7906</v>
      </c>
      <c r="O170" s="457"/>
      <c r="P170" s="767"/>
    </row>
    <row r="171" spans="2:17" ht="15.2" customHeight="1">
      <c r="B171" s="766" t="s">
        <v>871</v>
      </c>
      <c r="C171" s="766"/>
      <c r="D171" s="84"/>
      <c r="E171" s="87">
        <v>0.4</v>
      </c>
      <c r="F171" s="86" t="s">
        <v>933</v>
      </c>
      <c r="G171" s="470"/>
      <c r="H171" s="470">
        <f>TRUNC(E171*G171,0)</f>
        <v>0</v>
      </c>
      <c r="I171" s="470">
        <f>I169</f>
        <v>56226</v>
      </c>
      <c r="J171" s="470">
        <f>TRUNC(I171*E171,0)</f>
        <v>22490</v>
      </c>
      <c r="K171" s="470"/>
      <c r="L171" s="470">
        <f>TRUNC(K171*E171,0)</f>
        <v>0</v>
      </c>
      <c r="M171" s="470">
        <f t="shared" si="64"/>
        <v>56226</v>
      </c>
      <c r="N171" s="470">
        <f t="shared" si="64"/>
        <v>22490</v>
      </c>
      <c r="O171" s="457"/>
      <c r="P171" s="767"/>
    </row>
    <row r="172" spans="2:17" ht="15.2" customHeight="1">
      <c r="B172" s="766" t="s">
        <v>855</v>
      </c>
      <c r="C172" s="766"/>
      <c r="D172" s="84"/>
      <c r="E172" s="87"/>
      <c r="F172" s="86"/>
      <c r="G172" s="470"/>
      <c r="H172" s="470">
        <f>SUM(H169:H171)</f>
        <v>7906</v>
      </c>
      <c r="I172" s="470"/>
      <c r="J172" s="470">
        <f>SUM(J169:J171)</f>
        <v>22490</v>
      </c>
      <c r="K172" s="470"/>
      <c r="L172" s="470">
        <f>SUM(L169:L171)</f>
        <v>0</v>
      </c>
      <c r="M172" s="470"/>
      <c r="N172" s="470">
        <f>SUM(N169:N171)</f>
        <v>30396</v>
      </c>
      <c r="O172" s="457"/>
      <c r="P172" s="767"/>
      <c r="Q172" s="80" t="s">
        <v>3244</v>
      </c>
    </row>
    <row r="173" spans="2:17" ht="15.2" customHeight="1">
      <c r="B173" s="83">
        <f>P173</f>
        <v>25</v>
      </c>
      <c r="C173" s="770" t="s">
        <v>873</v>
      </c>
      <c r="D173" s="770"/>
      <c r="E173" s="770"/>
      <c r="F173" s="771"/>
      <c r="G173" s="470"/>
      <c r="H173" s="470"/>
      <c r="I173" s="470"/>
      <c r="J173" s="470"/>
      <c r="K173" s="470"/>
      <c r="L173" s="470"/>
      <c r="M173" s="470"/>
      <c r="N173" s="470"/>
      <c r="O173" s="457"/>
      <c r="P173" s="767">
        <f>MAX($P$5:P172)+1</f>
        <v>25</v>
      </c>
      <c r="Q173" s="80" t="s">
        <v>3243</v>
      </c>
    </row>
    <row r="174" spans="2:17" ht="15.2" customHeight="1">
      <c r="B174" s="766" t="s">
        <v>1465</v>
      </c>
      <c r="C174" s="766"/>
      <c r="D174" s="84"/>
      <c r="E174" s="87"/>
      <c r="F174" s="86" t="s">
        <v>933</v>
      </c>
      <c r="G174" s="470">
        <f>$H$132</f>
        <v>19716</v>
      </c>
      <c r="H174" s="470">
        <f>TRUNC(E174*G174,0)</f>
        <v>0</v>
      </c>
      <c r="I174" s="470">
        <f>$J$132</f>
        <v>44369</v>
      </c>
      <c r="J174" s="470">
        <f>TRUNC(I174*E174,0)</f>
        <v>0</v>
      </c>
      <c r="K174" s="470"/>
      <c r="L174" s="470">
        <f>TRUNC(K174*E174,0)</f>
        <v>0</v>
      </c>
      <c r="M174" s="470">
        <f t="shared" ref="M174:N176" si="65">G174+I174+K174</f>
        <v>64085</v>
      </c>
      <c r="N174" s="470">
        <f t="shared" si="65"/>
        <v>0</v>
      </c>
      <c r="O174" s="458">
        <f>$P$123</f>
        <v>17</v>
      </c>
      <c r="P174" s="767"/>
    </row>
    <row r="175" spans="2:17" ht="15.2" customHeight="1">
      <c r="B175" s="766" t="s">
        <v>874</v>
      </c>
      <c r="C175" s="766"/>
      <c r="D175" s="84"/>
      <c r="E175" s="88">
        <v>0.371</v>
      </c>
      <c r="F175" s="86" t="s">
        <v>933</v>
      </c>
      <c r="G175" s="470">
        <f>G174</f>
        <v>19716</v>
      </c>
      <c r="H175" s="470">
        <f>TRUNC(E175*G175,0)</f>
        <v>7314</v>
      </c>
      <c r="I175" s="470"/>
      <c r="J175" s="470">
        <f>TRUNC(I175*E175,0)</f>
        <v>0</v>
      </c>
      <c r="K175" s="470"/>
      <c r="L175" s="470">
        <f>TRUNC(K175*E175,0)</f>
        <v>0</v>
      </c>
      <c r="M175" s="470">
        <f t="shared" si="65"/>
        <v>19716</v>
      </c>
      <c r="N175" s="470">
        <f t="shared" si="65"/>
        <v>7314</v>
      </c>
      <c r="O175" s="457"/>
      <c r="P175" s="767"/>
    </row>
    <row r="176" spans="2:17" ht="15.2" customHeight="1">
      <c r="B176" s="766" t="s">
        <v>875</v>
      </c>
      <c r="C176" s="766"/>
      <c r="D176" s="84"/>
      <c r="E176" s="91">
        <v>0.34200000000000003</v>
      </c>
      <c r="F176" s="86" t="s">
        <v>933</v>
      </c>
      <c r="G176" s="470"/>
      <c r="H176" s="470">
        <f>TRUNC(E176*G176,0)</f>
        <v>0</v>
      </c>
      <c r="I176" s="470">
        <f>I174</f>
        <v>44369</v>
      </c>
      <c r="J176" s="470">
        <f>TRUNC(I176*E176,0)</f>
        <v>15174</v>
      </c>
      <c r="K176" s="470"/>
      <c r="L176" s="470">
        <f>TRUNC(K176*E176,0)</f>
        <v>0</v>
      </c>
      <c r="M176" s="470">
        <f t="shared" si="65"/>
        <v>44369</v>
      </c>
      <c r="N176" s="470">
        <f t="shared" si="65"/>
        <v>15174</v>
      </c>
      <c r="O176" s="457"/>
      <c r="P176" s="767"/>
    </row>
    <row r="177" spans="2:17" ht="15.2" customHeight="1">
      <c r="B177" s="766" t="s">
        <v>855</v>
      </c>
      <c r="C177" s="766"/>
      <c r="D177" s="84"/>
      <c r="E177" s="87"/>
      <c r="F177" s="86"/>
      <c r="G177" s="470"/>
      <c r="H177" s="470">
        <f>SUM(H174:H176)</f>
        <v>7314</v>
      </c>
      <c r="I177" s="470"/>
      <c r="J177" s="470">
        <f>SUM(J174:J176)</f>
        <v>15174</v>
      </c>
      <c r="K177" s="470"/>
      <c r="L177" s="470">
        <f>SUM(L174:L176)</f>
        <v>0</v>
      </c>
      <c r="M177" s="470"/>
      <c r="N177" s="470">
        <f>SUM(N174:N176)</f>
        <v>22488</v>
      </c>
      <c r="O177" s="457"/>
      <c r="P177" s="767"/>
      <c r="Q177" s="80" t="s">
        <v>3244</v>
      </c>
    </row>
    <row r="178" spans="2:17" ht="15.2" customHeight="1">
      <c r="B178" s="83">
        <f>P178</f>
        <v>26</v>
      </c>
      <c r="C178" s="770" t="s">
        <v>876</v>
      </c>
      <c r="D178" s="770"/>
      <c r="E178" s="770"/>
      <c r="F178" s="771"/>
      <c r="G178" s="470"/>
      <c r="H178" s="470"/>
      <c r="I178" s="470"/>
      <c r="J178" s="470"/>
      <c r="K178" s="470"/>
      <c r="L178" s="470"/>
      <c r="M178" s="470"/>
      <c r="N178" s="470"/>
      <c r="O178" s="457"/>
      <c r="P178" s="767">
        <f>MAX($P$5:P177)+1</f>
        <v>26</v>
      </c>
      <c r="Q178" s="80" t="s">
        <v>3243</v>
      </c>
    </row>
    <row r="179" spans="2:17" ht="15.2" customHeight="1">
      <c r="B179" s="766" t="s">
        <v>1468</v>
      </c>
      <c r="C179" s="766"/>
      <c r="D179" s="84"/>
      <c r="E179" s="87"/>
      <c r="F179" s="86" t="s">
        <v>933</v>
      </c>
      <c r="G179" s="470">
        <f>$H$142</f>
        <v>19716</v>
      </c>
      <c r="H179" s="470">
        <f>TRUNC(E179*G179,0)</f>
        <v>0</v>
      </c>
      <c r="I179" s="470">
        <f>$J$142</f>
        <v>56226</v>
      </c>
      <c r="J179" s="470">
        <f>TRUNC(I179*E179,0)</f>
        <v>0</v>
      </c>
      <c r="K179" s="470"/>
      <c r="L179" s="470">
        <f>TRUNC(K179*E179,0)</f>
        <v>0</v>
      </c>
      <c r="M179" s="470">
        <f t="shared" ref="M179:N181" si="66">G179+I179+K179</f>
        <v>75942</v>
      </c>
      <c r="N179" s="470">
        <f t="shared" si="66"/>
        <v>0</v>
      </c>
      <c r="O179" s="458">
        <f>$P$133</f>
        <v>18</v>
      </c>
      <c r="P179" s="767"/>
    </row>
    <row r="180" spans="2:17" ht="15.2" customHeight="1">
      <c r="B180" s="766" t="s">
        <v>874</v>
      </c>
      <c r="C180" s="766"/>
      <c r="D180" s="84"/>
      <c r="E180" s="88">
        <v>0.371</v>
      </c>
      <c r="F180" s="86" t="s">
        <v>933</v>
      </c>
      <c r="G180" s="470">
        <f>G179</f>
        <v>19716</v>
      </c>
      <c r="H180" s="470">
        <f>TRUNC(E180*G180,0)</f>
        <v>7314</v>
      </c>
      <c r="I180" s="470"/>
      <c r="J180" s="470">
        <f>TRUNC(I180*E180,0)</f>
        <v>0</v>
      </c>
      <c r="K180" s="470"/>
      <c r="L180" s="470">
        <f>TRUNC(K180*E180,0)</f>
        <v>0</v>
      </c>
      <c r="M180" s="470">
        <f t="shared" si="66"/>
        <v>19716</v>
      </c>
      <c r="N180" s="470">
        <f t="shared" si="66"/>
        <v>7314</v>
      </c>
      <c r="O180" s="457"/>
      <c r="P180" s="767"/>
    </row>
    <row r="181" spans="2:17" ht="15.2" customHeight="1">
      <c r="B181" s="766" t="s">
        <v>875</v>
      </c>
      <c r="C181" s="766"/>
      <c r="D181" s="84"/>
      <c r="E181" s="88">
        <v>0.34200000000000003</v>
      </c>
      <c r="F181" s="86" t="s">
        <v>933</v>
      </c>
      <c r="G181" s="470"/>
      <c r="H181" s="470">
        <f>TRUNC(E181*G181,0)</f>
        <v>0</v>
      </c>
      <c r="I181" s="470">
        <f>I179</f>
        <v>56226</v>
      </c>
      <c r="J181" s="470">
        <f>TRUNC(I181*E181,0)</f>
        <v>19229</v>
      </c>
      <c r="K181" s="470"/>
      <c r="L181" s="470">
        <f>TRUNC(K181*E181,0)</f>
        <v>0</v>
      </c>
      <c r="M181" s="470">
        <f t="shared" si="66"/>
        <v>56226</v>
      </c>
      <c r="N181" s="470">
        <f t="shared" si="66"/>
        <v>19229</v>
      </c>
      <c r="O181" s="457"/>
      <c r="P181" s="767"/>
    </row>
    <row r="182" spans="2:17" ht="15.2" customHeight="1">
      <c r="B182" s="766" t="s">
        <v>855</v>
      </c>
      <c r="C182" s="766"/>
      <c r="D182" s="84"/>
      <c r="E182" s="87"/>
      <c r="F182" s="86"/>
      <c r="G182" s="470"/>
      <c r="H182" s="470">
        <f>SUM(H179:H181)</f>
        <v>7314</v>
      </c>
      <c r="I182" s="470"/>
      <c r="J182" s="470">
        <f>SUM(J179:J181)</f>
        <v>19229</v>
      </c>
      <c r="K182" s="470"/>
      <c r="L182" s="470">
        <f>SUM(L179:L181)</f>
        <v>0</v>
      </c>
      <c r="M182" s="470"/>
      <c r="N182" s="470">
        <f>SUM(N179:N181)</f>
        <v>26543</v>
      </c>
      <c r="O182" s="457"/>
      <c r="P182" s="767"/>
      <c r="Q182" s="80" t="s">
        <v>3244</v>
      </c>
    </row>
    <row r="183" spans="2:17" ht="15.2" customHeight="1">
      <c r="B183" s="83">
        <f>P183</f>
        <v>27</v>
      </c>
      <c r="C183" s="770" t="s">
        <v>877</v>
      </c>
      <c r="D183" s="770"/>
      <c r="E183" s="770"/>
      <c r="F183" s="771"/>
      <c r="G183" s="470"/>
      <c r="H183" s="470"/>
      <c r="I183" s="470"/>
      <c r="J183" s="470"/>
      <c r="K183" s="470"/>
      <c r="L183" s="470"/>
      <c r="M183" s="470"/>
      <c r="N183" s="470"/>
      <c r="O183" s="457"/>
      <c r="P183" s="767">
        <f>MAX($P$5:P182)+1</f>
        <v>27</v>
      </c>
      <c r="Q183" s="80" t="s">
        <v>3243</v>
      </c>
    </row>
    <row r="184" spans="2:17" ht="15.2" customHeight="1">
      <c r="B184" s="766" t="s">
        <v>1465</v>
      </c>
      <c r="C184" s="766"/>
      <c r="D184" s="84"/>
      <c r="E184" s="87"/>
      <c r="F184" s="86" t="s">
        <v>933</v>
      </c>
      <c r="G184" s="470">
        <f>$H$132</f>
        <v>19716</v>
      </c>
      <c r="H184" s="470">
        <f>TRUNC(E184*G184,0)</f>
        <v>0</v>
      </c>
      <c r="I184" s="470">
        <f>$J$132</f>
        <v>44369</v>
      </c>
      <c r="J184" s="470">
        <f>TRUNC(I184*E184,0)</f>
        <v>0</v>
      </c>
      <c r="K184" s="470"/>
      <c r="L184" s="470">
        <f>TRUNC(K184*E184,0)</f>
        <v>0</v>
      </c>
      <c r="M184" s="470">
        <f t="shared" ref="M184:N186" si="67">G184+I184+K184</f>
        <v>64085</v>
      </c>
      <c r="N184" s="470">
        <f t="shared" si="67"/>
        <v>0</v>
      </c>
      <c r="O184" s="458">
        <f>$P$123</f>
        <v>17</v>
      </c>
      <c r="P184" s="767"/>
    </row>
    <row r="185" spans="2:17" ht="15.2" customHeight="1">
      <c r="B185" s="766" t="s">
        <v>878</v>
      </c>
      <c r="C185" s="766"/>
      <c r="D185" s="84"/>
      <c r="E185" s="88">
        <v>0.34699999999999998</v>
      </c>
      <c r="F185" s="86" t="s">
        <v>933</v>
      </c>
      <c r="G185" s="470">
        <f>G184</f>
        <v>19716</v>
      </c>
      <c r="H185" s="470">
        <f>TRUNC(E185*G185,0)</f>
        <v>6841</v>
      </c>
      <c r="I185" s="470"/>
      <c r="J185" s="470">
        <f>TRUNC(I185*E185,0)</f>
        <v>0</v>
      </c>
      <c r="K185" s="470"/>
      <c r="L185" s="470">
        <f>TRUNC(K185*E185,0)</f>
        <v>0</v>
      </c>
      <c r="M185" s="470">
        <f t="shared" si="67"/>
        <v>19716</v>
      </c>
      <c r="N185" s="470">
        <f t="shared" si="67"/>
        <v>6841</v>
      </c>
      <c r="O185" s="457"/>
      <c r="P185" s="767"/>
    </row>
    <row r="186" spans="2:17" ht="15.2" customHeight="1">
      <c r="B186" s="766" t="s">
        <v>879</v>
      </c>
      <c r="C186" s="766"/>
      <c r="D186" s="84"/>
      <c r="E186" s="90">
        <v>0.32</v>
      </c>
      <c r="F186" s="86" t="s">
        <v>933</v>
      </c>
      <c r="G186" s="470"/>
      <c r="H186" s="470">
        <f>TRUNC(E186*G186,0)</f>
        <v>0</v>
      </c>
      <c r="I186" s="470">
        <f>I184</f>
        <v>44369</v>
      </c>
      <c r="J186" s="470">
        <f>TRUNC(I186*E186,0)</f>
        <v>14198</v>
      </c>
      <c r="K186" s="470"/>
      <c r="L186" s="470">
        <f>TRUNC(K186*E186,0)</f>
        <v>0</v>
      </c>
      <c r="M186" s="470">
        <f t="shared" si="67"/>
        <v>44369</v>
      </c>
      <c r="N186" s="470">
        <f t="shared" si="67"/>
        <v>14198</v>
      </c>
      <c r="O186" s="457"/>
      <c r="P186" s="767"/>
    </row>
    <row r="187" spans="2:17" ht="15.2" customHeight="1">
      <c r="B187" s="766" t="s">
        <v>855</v>
      </c>
      <c r="C187" s="766"/>
      <c r="D187" s="84"/>
      <c r="E187" s="87"/>
      <c r="F187" s="86"/>
      <c r="G187" s="470"/>
      <c r="H187" s="470">
        <f>SUM(H184:H186)</f>
        <v>6841</v>
      </c>
      <c r="I187" s="470"/>
      <c r="J187" s="470">
        <f>SUM(J184:J186)</f>
        <v>14198</v>
      </c>
      <c r="K187" s="470"/>
      <c r="L187" s="470">
        <f>SUM(L184:L186)</f>
        <v>0</v>
      </c>
      <c r="M187" s="470"/>
      <c r="N187" s="470">
        <f>SUM(N184:N186)</f>
        <v>21039</v>
      </c>
      <c r="O187" s="457"/>
      <c r="P187" s="767"/>
      <c r="Q187" s="80" t="s">
        <v>3244</v>
      </c>
    </row>
    <row r="188" spans="2:17" ht="15.2" customHeight="1">
      <c r="B188" s="83">
        <f>P188</f>
        <v>28</v>
      </c>
      <c r="C188" s="770" t="s">
        <v>880</v>
      </c>
      <c r="D188" s="770"/>
      <c r="E188" s="770"/>
      <c r="F188" s="771"/>
      <c r="G188" s="470"/>
      <c r="H188" s="470"/>
      <c r="I188" s="470"/>
      <c r="J188" s="470"/>
      <c r="K188" s="470"/>
      <c r="L188" s="470"/>
      <c r="M188" s="470"/>
      <c r="N188" s="470"/>
      <c r="O188" s="457"/>
      <c r="P188" s="767">
        <f>MAX($P$5:P187)+1</f>
        <v>28</v>
      </c>
      <c r="Q188" s="80" t="s">
        <v>3243</v>
      </c>
    </row>
    <row r="189" spans="2:17" ht="15.2" customHeight="1">
      <c r="B189" s="766" t="s">
        <v>1468</v>
      </c>
      <c r="C189" s="766"/>
      <c r="D189" s="84"/>
      <c r="E189" s="87"/>
      <c r="F189" s="86" t="s">
        <v>933</v>
      </c>
      <c r="G189" s="470">
        <f>$H$142</f>
        <v>19716</v>
      </c>
      <c r="H189" s="470">
        <f>TRUNC(E189*G189,0)</f>
        <v>0</v>
      </c>
      <c r="I189" s="470">
        <f>$J$142</f>
        <v>56226</v>
      </c>
      <c r="J189" s="470">
        <f>TRUNC(I189*E189,0)</f>
        <v>0</v>
      </c>
      <c r="K189" s="470"/>
      <c r="L189" s="470">
        <f>TRUNC(K189*E189,0)</f>
        <v>0</v>
      </c>
      <c r="M189" s="470">
        <f t="shared" ref="M189:N191" si="68">G189+I189+K189</f>
        <v>75942</v>
      </c>
      <c r="N189" s="470">
        <f t="shared" si="68"/>
        <v>0</v>
      </c>
      <c r="O189" s="458">
        <f>$P$133</f>
        <v>18</v>
      </c>
      <c r="P189" s="767"/>
    </row>
    <row r="190" spans="2:17" ht="15.2" customHeight="1">
      <c r="B190" s="766" t="s">
        <v>878</v>
      </c>
      <c r="C190" s="766"/>
      <c r="D190" s="84"/>
      <c r="E190" s="88">
        <v>0.34699999999999998</v>
      </c>
      <c r="F190" s="86" t="s">
        <v>933</v>
      </c>
      <c r="G190" s="470">
        <f>G189</f>
        <v>19716</v>
      </c>
      <c r="H190" s="470">
        <f>TRUNC(E190*G190,0)</f>
        <v>6841</v>
      </c>
      <c r="I190" s="470"/>
      <c r="J190" s="470">
        <f>TRUNC(I190*E190,0)</f>
        <v>0</v>
      </c>
      <c r="K190" s="470"/>
      <c r="L190" s="470">
        <f>TRUNC(K190*E190,0)</f>
        <v>0</v>
      </c>
      <c r="M190" s="470">
        <f t="shared" si="68"/>
        <v>19716</v>
      </c>
      <c r="N190" s="470">
        <f t="shared" si="68"/>
        <v>6841</v>
      </c>
      <c r="O190" s="457"/>
      <c r="P190" s="767"/>
    </row>
    <row r="191" spans="2:17" ht="15.2" customHeight="1">
      <c r="B191" s="766" t="s">
        <v>879</v>
      </c>
      <c r="C191" s="766"/>
      <c r="D191" s="84"/>
      <c r="E191" s="90">
        <v>0.32</v>
      </c>
      <c r="F191" s="86" t="s">
        <v>933</v>
      </c>
      <c r="G191" s="470"/>
      <c r="H191" s="470">
        <f>TRUNC(E191*G191,0)</f>
        <v>0</v>
      </c>
      <c r="I191" s="470">
        <f>I189</f>
        <v>56226</v>
      </c>
      <c r="J191" s="470">
        <f>TRUNC(I191*E191,0)</f>
        <v>17992</v>
      </c>
      <c r="K191" s="470"/>
      <c r="L191" s="470">
        <f>TRUNC(K191*E191,0)</f>
        <v>0</v>
      </c>
      <c r="M191" s="470">
        <f t="shared" si="68"/>
        <v>56226</v>
      </c>
      <c r="N191" s="470">
        <f t="shared" si="68"/>
        <v>17992</v>
      </c>
      <c r="O191" s="457"/>
      <c r="P191" s="767"/>
    </row>
    <row r="192" spans="2:17" ht="15.2" customHeight="1">
      <c r="B192" s="766" t="s">
        <v>855</v>
      </c>
      <c r="C192" s="766"/>
      <c r="D192" s="84"/>
      <c r="E192" s="87"/>
      <c r="F192" s="86"/>
      <c r="G192" s="470"/>
      <c r="H192" s="470">
        <f>SUM(H189:H191)</f>
        <v>6841</v>
      </c>
      <c r="I192" s="470"/>
      <c r="J192" s="470">
        <f>SUM(J189:J191)</f>
        <v>17992</v>
      </c>
      <c r="K192" s="470"/>
      <c r="L192" s="470">
        <f>SUM(L189:L191)</f>
        <v>0</v>
      </c>
      <c r="M192" s="470"/>
      <c r="N192" s="470">
        <f>SUM(N189:N191)</f>
        <v>24833</v>
      </c>
      <c r="O192" s="457"/>
      <c r="P192" s="767"/>
      <c r="Q192" s="80" t="s">
        <v>3244</v>
      </c>
    </row>
    <row r="193" spans="2:17" ht="15.2" customHeight="1">
      <c r="B193" s="83">
        <f>P193</f>
        <v>29</v>
      </c>
      <c r="C193" s="770" t="s">
        <v>881</v>
      </c>
      <c r="D193" s="770"/>
      <c r="E193" s="770"/>
      <c r="F193" s="771"/>
      <c r="G193" s="470"/>
      <c r="H193" s="470"/>
      <c r="I193" s="470"/>
      <c r="J193" s="470"/>
      <c r="K193" s="470"/>
      <c r="L193" s="470"/>
      <c r="M193" s="470"/>
      <c r="N193" s="470"/>
      <c r="O193" s="457"/>
      <c r="P193" s="767">
        <f>MAX($P$5:P192)+1</f>
        <v>29</v>
      </c>
      <c r="Q193" s="80" t="s">
        <v>3243</v>
      </c>
    </row>
    <row r="194" spans="2:17" ht="15.2" customHeight="1">
      <c r="B194" s="766" t="s">
        <v>116</v>
      </c>
      <c r="C194" s="766"/>
      <c r="D194" s="84" t="s">
        <v>1200</v>
      </c>
      <c r="E194" s="87">
        <v>0.03</v>
      </c>
      <c r="F194" s="86" t="s">
        <v>1168</v>
      </c>
      <c r="G194" s="470">
        <f>사급자재!$M$30</f>
        <v>479160</v>
      </c>
      <c r="H194" s="470">
        <f t="shared" ref="H194:H201" si="69">TRUNC(E194*G194,0)</f>
        <v>14374</v>
      </c>
      <c r="I194" s="470"/>
      <c r="J194" s="470">
        <f t="shared" ref="J194:J201" si="70">TRUNC(I194*E194,0)</f>
        <v>0</v>
      </c>
      <c r="K194" s="470"/>
      <c r="L194" s="470">
        <f t="shared" ref="L194:L201" si="71">TRUNC(K194*E194,0)</f>
        <v>0</v>
      </c>
      <c r="M194" s="470">
        <f t="shared" ref="M194:N199" si="72">G194+I194+K194</f>
        <v>479160</v>
      </c>
      <c r="N194" s="470">
        <f t="shared" si="72"/>
        <v>14374</v>
      </c>
      <c r="O194" s="457"/>
      <c r="P194" s="767"/>
    </row>
    <row r="195" spans="2:17" ht="15.2" customHeight="1">
      <c r="B195" s="766" t="s">
        <v>1199</v>
      </c>
      <c r="C195" s="766"/>
      <c r="D195" s="84" t="s">
        <v>1200</v>
      </c>
      <c r="E195" s="88">
        <v>3.7999999999999999E-2</v>
      </c>
      <c r="F195" s="86" t="s">
        <v>1168</v>
      </c>
      <c r="G195" s="470">
        <f>사급자재!$M$32</f>
        <v>407286</v>
      </c>
      <c r="H195" s="470">
        <f t="shared" si="69"/>
        <v>15476</v>
      </c>
      <c r="I195" s="470"/>
      <c r="J195" s="470">
        <f t="shared" si="70"/>
        <v>0</v>
      </c>
      <c r="K195" s="470"/>
      <c r="L195" s="470">
        <f t="shared" si="71"/>
        <v>0</v>
      </c>
      <c r="M195" s="470">
        <f t="shared" si="72"/>
        <v>407286</v>
      </c>
      <c r="N195" s="470">
        <f t="shared" si="72"/>
        <v>15476</v>
      </c>
      <c r="O195" s="457"/>
      <c r="P195" s="767"/>
    </row>
    <row r="196" spans="2:17" ht="15.2" customHeight="1">
      <c r="B196" s="766" t="s">
        <v>1206</v>
      </c>
      <c r="C196" s="766"/>
      <c r="D196" s="84" t="s">
        <v>882</v>
      </c>
      <c r="E196" s="89">
        <v>-0.23</v>
      </c>
      <c r="F196" s="86" t="s">
        <v>933</v>
      </c>
      <c r="G196" s="470">
        <f>TRUNC(E194*G194+E195*G195)</f>
        <v>29851</v>
      </c>
      <c r="H196" s="470">
        <f>TRUNC(E196*G196,0)</f>
        <v>-6865</v>
      </c>
      <c r="I196" s="470"/>
      <c r="J196" s="470">
        <f>TRUNC(I196*E196,0)</f>
        <v>0</v>
      </c>
      <c r="K196" s="470"/>
      <c r="L196" s="470">
        <f>TRUNC(K196*E196,0)</f>
        <v>0</v>
      </c>
      <c r="M196" s="470">
        <f t="shared" si="72"/>
        <v>29851</v>
      </c>
      <c r="N196" s="470">
        <f t="shared" si="72"/>
        <v>-6865</v>
      </c>
      <c r="O196" s="457"/>
      <c r="P196" s="767"/>
    </row>
    <row r="197" spans="2:17" ht="15.2" customHeight="1">
      <c r="B197" s="766" t="s">
        <v>1201</v>
      </c>
      <c r="C197" s="766"/>
      <c r="D197" s="84" t="s">
        <v>1202</v>
      </c>
      <c r="E197" s="87">
        <v>0.28999999999999998</v>
      </c>
      <c r="F197" s="86" t="s">
        <v>1799</v>
      </c>
      <c r="G197" s="470">
        <f>사급자재!$M$34</f>
        <v>1250</v>
      </c>
      <c r="H197" s="470">
        <f t="shared" si="69"/>
        <v>362</v>
      </c>
      <c r="I197" s="470"/>
      <c r="J197" s="470">
        <f t="shared" si="70"/>
        <v>0</v>
      </c>
      <c r="K197" s="470"/>
      <c r="L197" s="470">
        <f t="shared" si="71"/>
        <v>0</v>
      </c>
      <c r="M197" s="470">
        <f t="shared" si="72"/>
        <v>1250</v>
      </c>
      <c r="N197" s="470">
        <f t="shared" si="72"/>
        <v>362</v>
      </c>
      <c r="O197" s="457"/>
      <c r="P197" s="767"/>
    </row>
    <row r="198" spans="2:17" ht="15.2" customHeight="1">
      <c r="B198" s="766" t="s">
        <v>1203</v>
      </c>
      <c r="C198" s="766"/>
      <c r="D198" s="84"/>
      <c r="E198" s="87">
        <v>0.25</v>
      </c>
      <c r="F198" s="86" t="s">
        <v>1799</v>
      </c>
      <c r="G198" s="470">
        <f>사급자재!$M$35</f>
        <v>1100</v>
      </c>
      <c r="H198" s="470">
        <f t="shared" si="69"/>
        <v>275</v>
      </c>
      <c r="I198" s="470"/>
      <c r="J198" s="470">
        <f t="shared" si="70"/>
        <v>0</v>
      </c>
      <c r="K198" s="470"/>
      <c r="L198" s="470">
        <f t="shared" si="71"/>
        <v>0</v>
      </c>
      <c r="M198" s="470">
        <f t="shared" si="72"/>
        <v>1100</v>
      </c>
      <c r="N198" s="470">
        <f t="shared" si="72"/>
        <v>275</v>
      </c>
      <c r="O198" s="457"/>
      <c r="P198" s="767"/>
    </row>
    <row r="199" spans="2:17" ht="15.2" customHeight="1">
      <c r="B199" s="766" t="s">
        <v>1204</v>
      </c>
      <c r="C199" s="766"/>
      <c r="D199" s="84" t="s">
        <v>1462</v>
      </c>
      <c r="E199" s="87">
        <v>0.19</v>
      </c>
      <c r="F199" s="86" t="s">
        <v>456</v>
      </c>
      <c r="G199" s="470">
        <f>사급자재!$M$37</f>
        <v>1250</v>
      </c>
      <c r="H199" s="470">
        <f t="shared" si="69"/>
        <v>237</v>
      </c>
      <c r="I199" s="470"/>
      <c r="J199" s="470">
        <f t="shared" si="70"/>
        <v>0</v>
      </c>
      <c r="K199" s="470"/>
      <c r="L199" s="470">
        <f t="shared" si="71"/>
        <v>0</v>
      </c>
      <c r="M199" s="470">
        <f t="shared" si="72"/>
        <v>1250</v>
      </c>
      <c r="N199" s="470">
        <f t="shared" si="72"/>
        <v>237</v>
      </c>
      <c r="O199" s="457"/>
      <c r="P199" s="767"/>
    </row>
    <row r="200" spans="2:17" ht="15.2" customHeight="1">
      <c r="B200" s="766" t="s">
        <v>1205</v>
      </c>
      <c r="C200" s="766"/>
      <c r="D200" s="84"/>
      <c r="E200" s="87">
        <v>0.34</v>
      </c>
      <c r="F200" s="86" t="s">
        <v>1163</v>
      </c>
      <c r="G200" s="470"/>
      <c r="H200" s="470">
        <f t="shared" si="69"/>
        <v>0</v>
      </c>
      <c r="I200" s="470">
        <f>SUMIF('노임(2015)'!$B$4:$B$87,B200,'노임(2015)'!$C$4:$C$87)+SUMIF('노임(2015)'!$E$4:$E$87,B200,'노임(2015)'!$F$4:$F$87)</f>
        <v>152831</v>
      </c>
      <c r="J200" s="470">
        <f t="shared" si="70"/>
        <v>51962</v>
      </c>
      <c r="K200" s="470"/>
      <c r="L200" s="470">
        <f t="shared" si="71"/>
        <v>0</v>
      </c>
      <c r="M200" s="470">
        <f>G200+I200+K200</f>
        <v>152831</v>
      </c>
      <c r="N200" s="470">
        <f>H200+J200+L200</f>
        <v>51962</v>
      </c>
      <c r="O200" s="457"/>
      <c r="P200" s="767"/>
    </row>
    <row r="201" spans="2:17" ht="15.2" customHeight="1">
      <c r="B201" s="766" t="s">
        <v>1162</v>
      </c>
      <c r="C201" s="766"/>
      <c r="D201" s="84"/>
      <c r="E201" s="87">
        <v>0.27</v>
      </c>
      <c r="F201" s="86" t="s">
        <v>1163</v>
      </c>
      <c r="G201" s="470"/>
      <c r="H201" s="470">
        <f t="shared" si="69"/>
        <v>0</v>
      </c>
      <c r="I201" s="470">
        <f>SUMIF('노임(2015)'!$B$4:$B$87,B201,'노임(2015)'!$C$4:$C$87)+SUMIF('노임(2015)'!$E$4:$E$87,B201,'노임(2015)'!$F$4:$F$87)</f>
        <v>89566</v>
      </c>
      <c r="J201" s="470">
        <f t="shared" si="70"/>
        <v>24182</v>
      </c>
      <c r="K201" s="470"/>
      <c r="L201" s="470">
        <f t="shared" si="71"/>
        <v>0</v>
      </c>
      <c r="M201" s="470">
        <f>G201+I201+K201</f>
        <v>89566</v>
      </c>
      <c r="N201" s="470">
        <f>H201+J201+L201</f>
        <v>24182</v>
      </c>
      <c r="O201" s="457"/>
      <c r="P201" s="767"/>
    </row>
    <row r="202" spans="2:17" ht="15.2" customHeight="1">
      <c r="B202" s="766" t="s">
        <v>855</v>
      </c>
      <c r="C202" s="766"/>
      <c r="D202" s="84"/>
      <c r="E202" s="87"/>
      <c r="F202" s="86"/>
      <c r="G202" s="470"/>
      <c r="H202" s="470">
        <f>SUM(H194:H201)</f>
        <v>23859</v>
      </c>
      <c r="I202" s="470"/>
      <c r="J202" s="470">
        <f>SUM(J194:J201)</f>
        <v>76144</v>
      </c>
      <c r="K202" s="470"/>
      <c r="L202" s="470">
        <f>SUM(L194:L201)</f>
        <v>0</v>
      </c>
      <c r="M202" s="470"/>
      <c r="N202" s="470">
        <f>SUM(N194:N201)</f>
        <v>100003</v>
      </c>
      <c r="O202" s="457"/>
      <c r="P202" s="767"/>
      <c r="Q202" s="80" t="s">
        <v>3244</v>
      </c>
    </row>
    <row r="203" spans="2:17" ht="15.2" customHeight="1">
      <c r="B203" s="83">
        <f>P203</f>
        <v>30</v>
      </c>
      <c r="C203" s="770" t="s">
        <v>883</v>
      </c>
      <c r="D203" s="770"/>
      <c r="E203" s="770"/>
      <c r="F203" s="771"/>
      <c r="G203" s="470"/>
      <c r="H203" s="470"/>
      <c r="I203" s="470"/>
      <c r="J203" s="470"/>
      <c r="K203" s="470"/>
      <c r="L203" s="470"/>
      <c r="M203" s="470"/>
      <c r="N203" s="470"/>
      <c r="O203" s="457"/>
      <c r="P203" s="767">
        <f>MAX($P$5:P202)+1</f>
        <v>30</v>
      </c>
      <c r="Q203" s="80" t="s">
        <v>3243</v>
      </c>
    </row>
    <row r="204" spans="2:17" ht="15.2" customHeight="1">
      <c r="B204" s="766" t="s">
        <v>116</v>
      </c>
      <c r="C204" s="766"/>
      <c r="D204" s="84" t="s">
        <v>1200</v>
      </c>
      <c r="E204" s="87">
        <v>0.03</v>
      </c>
      <c r="F204" s="86" t="s">
        <v>1168</v>
      </c>
      <c r="G204" s="470">
        <f>사급자재!$M$30</f>
        <v>479160</v>
      </c>
      <c r="H204" s="470">
        <f t="shared" ref="H204:H211" si="73">TRUNC(E204*G204,0)</f>
        <v>14374</v>
      </c>
      <c r="I204" s="470"/>
      <c r="J204" s="470">
        <f t="shared" ref="J204:J211" si="74">TRUNC(I204*E204,0)</f>
        <v>0</v>
      </c>
      <c r="K204" s="470"/>
      <c r="L204" s="470">
        <f t="shared" ref="L204:L211" si="75">TRUNC(K204*E204,0)</f>
        <v>0</v>
      </c>
      <c r="M204" s="470">
        <f t="shared" ref="M204:N209" si="76">G204+I204+K204</f>
        <v>479160</v>
      </c>
      <c r="N204" s="470">
        <f t="shared" si="76"/>
        <v>14374</v>
      </c>
      <c r="O204" s="457"/>
      <c r="P204" s="767"/>
    </row>
    <row r="205" spans="2:17" ht="15.2" customHeight="1">
      <c r="B205" s="766" t="s">
        <v>1199</v>
      </c>
      <c r="C205" s="766"/>
      <c r="D205" s="84" t="s">
        <v>1200</v>
      </c>
      <c r="E205" s="88">
        <v>3.7999999999999999E-2</v>
      </c>
      <c r="F205" s="86" t="s">
        <v>1168</v>
      </c>
      <c r="G205" s="470">
        <f>사급자재!$M$32</f>
        <v>407286</v>
      </c>
      <c r="H205" s="470">
        <f t="shared" si="73"/>
        <v>15476</v>
      </c>
      <c r="I205" s="470"/>
      <c r="J205" s="470">
        <f t="shared" si="74"/>
        <v>0</v>
      </c>
      <c r="K205" s="470"/>
      <c r="L205" s="470">
        <f t="shared" si="75"/>
        <v>0</v>
      </c>
      <c r="M205" s="470">
        <f t="shared" si="76"/>
        <v>407286</v>
      </c>
      <c r="N205" s="470">
        <f t="shared" si="76"/>
        <v>15476</v>
      </c>
      <c r="O205" s="457"/>
      <c r="P205" s="767"/>
    </row>
    <row r="206" spans="2:17" ht="15.2" customHeight="1">
      <c r="B206" s="766" t="s">
        <v>1206</v>
      </c>
      <c r="C206" s="766"/>
      <c r="D206" s="84" t="s">
        <v>882</v>
      </c>
      <c r="E206" s="89">
        <v>-0.23</v>
      </c>
      <c r="F206" s="86" t="s">
        <v>933</v>
      </c>
      <c r="G206" s="470">
        <f>TRUNC(E204*G204+E205*G205)</f>
        <v>29851</v>
      </c>
      <c r="H206" s="470">
        <f>TRUNC(E206*G206,0)</f>
        <v>-6865</v>
      </c>
      <c r="I206" s="470"/>
      <c r="J206" s="470">
        <f>TRUNC(I206*E206,0)</f>
        <v>0</v>
      </c>
      <c r="K206" s="470"/>
      <c r="L206" s="470">
        <f>TRUNC(K206*E206,0)</f>
        <v>0</v>
      </c>
      <c r="M206" s="470">
        <f t="shared" si="76"/>
        <v>29851</v>
      </c>
      <c r="N206" s="470">
        <f t="shared" si="76"/>
        <v>-6865</v>
      </c>
      <c r="O206" s="457"/>
      <c r="P206" s="767"/>
    </row>
    <row r="207" spans="2:17" ht="15.2" customHeight="1">
      <c r="B207" s="766" t="s">
        <v>1201</v>
      </c>
      <c r="C207" s="766"/>
      <c r="D207" s="84" t="s">
        <v>1202</v>
      </c>
      <c r="E207" s="87">
        <v>0.28999999999999998</v>
      </c>
      <c r="F207" s="86" t="s">
        <v>1799</v>
      </c>
      <c r="G207" s="470">
        <f>사급자재!$M$34</f>
        <v>1250</v>
      </c>
      <c r="H207" s="470">
        <f t="shared" si="73"/>
        <v>362</v>
      </c>
      <c r="I207" s="470"/>
      <c r="J207" s="470">
        <f t="shared" si="74"/>
        <v>0</v>
      </c>
      <c r="K207" s="470"/>
      <c r="L207" s="470">
        <f t="shared" si="75"/>
        <v>0</v>
      </c>
      <c r="M207" s="470">
        <f t="shared" si="76"/>
        <v>1250</v>
      </c>
      <c r="N207" s="470">
        <f t="shared" si="76"/>
        <v>362</v>
      </c>
      <c r="O207" s="457"/>
      <c r="P207" s="767"/>
    </row>
    <row r="208" spans="2:17" ht="15.2" customHeight="1">
      <c r="B208" s="766" t="s">
        <v>1203</v>
      </c>
      <c r="C208" s="766"/>
      <c r="D208" s="84"/>
      <c r="E208" s="87">
        <v>0.25</v>
      </c>
      <c r="F208" s="86" t="s">
        <v>1799</v>
      </c>
      <c r="G208" s="470">
        <f>사급자재!$M$35</f>
        <v>1100</v>
      </c>
      <c r="H208" s="470">
        <f t="shared" si="73"/>
        <v>275</v>
      </c>
      <c r="I208" s="470"/>
      <c r="J208" s="470">
        <f t="shared" si="74"/>
        <v>0</v>
      </c>
      <c r="K208" s="470"/>
      <c r="L208" s="470">
        <f t="shared" si="75"/>
        <v>0</v>
      </c>
      <c r="M208" s="470">
        <f t="shared" si="76"/>
        <v>1100</v>
      </c>
      <c r="N208" s="470">
        <f t="shared" si="76"/>
        <v>275</v>
      </c>
      <c r="O208" s="457"/>
      <c r="P208" s="767"/>
    </row>
    <row r="209" spans="2:17" ht="15.2" customHeight="1">
      <c r="B209" s="766" t="s">
        <v>1204</v>
      </c>
      <c r="C209" s="766"/>
      <c r="D209" s="84" t="s">
        <v>1462</v>
      </c>
      <c r="E209" s="87">
        <v>0.19</v>
      </c>
      <c r="F209" s="86" t="s">
        <v>456</v>
      </c>
      <c r="G209" s="470">
        <f>사급자재!$M$37</f>
        <v>1250</v>
      </c>
      <c r="H209" s="470">
        <f t="shared" si="73"/>
        <v>237</v>
      </c>
      <c r="I209" s="470"/>
      <c r="J209" s="470">
        <f t="shared" si="74"/>
        <v>0</v>
      </c>
      <c r="K209" s="470"/>
      <c r="L209" s="470">
        <f t="shared" si="75"/>
        <v>0</v>
      </c>
      <c r="M209" s="470">
        <f t="shared" si="76"/>
        <v>1250</v>
      </c>
      <c r="N209" s="470">
        <f t="shared" si="76"/>
        <v>237</v>
      </c>
      <c r="O209" s="457"/>
      <c r="P209" s="767"/>
    </row>
    <row r="210" spans="2:17" ht="15.2" customHeight="1">
      <c r="B210" s="766" t="s">
        <v>1205</v>
      </c>
      <c r="C210" s="766"/>
      <c r="D210" s="84"/>
      <c r="E210" s="87">
        <f>TRUNC($E$200*1.3,2)</f>
        <v>0.44</v>
      </c>
      <c r="F210" s="86" t="s">
        <v>1163</v>
      </c>
      <c r="G210" s="470"/>
      <c r="H210" s="470">
        <f t="shared" si="73"/>
        <v>0</v>
      </c>
      <c r="I210" s="470">
        <f>SUMIF('노임(2015)'!$B$4:$B$87,B210,'노임(2015)'!$C$4:$C$87)+SUMIF('노임(2015)'!$E$4:$E$87,B210,'노임(2015)'!$F$4:$F$87)</f>
        <v>152831</v>
      </c>
      <c r="J210" s="470">
        <f t="shared" si="74"/>
        <v>67245</v>
      </c>
      <c r="K210" s="470"/>
      <c r="L210" s="470">
        <f t="shared" si="75"/>
        <v>0</v>
      </c>
      <c r="M210" s="470">
        <f>G210+I210+K210</f>
        <v>152831</v>
      </c>
      <c r="N210" s="470">
        <f>H210+J210+L210</f>
        <v>67245</v>
      </c>
      <c r="O210" s="457"/>
      <c r="P210" s="767"/>
    </row>
    <row r="211" spans="2:17" ht="15.2" customHeight="1">
      <c r="B211" s="766" t="s">
        <v>1162</v>
      </c>
      <c r="C211" s="766"/>
      <c r="D211" s="84"/>
      <c r="E211" s="87">
        <f>TRUNC($E$201*1.3,2)</f>
        <v>0.35</v>
      </c>
      <c r="F211" s="86" t="s">
        <v>1163</v>
      </c>
      <c r="G211" s="470"/>
      <c r="H211" s="470">
        <f t="shared" si="73"/>
        <v>0</v>
      </c>
      <c r="I211" s="470">
        <f>SUMIF('노임(2015)'!$B$4:$B$87,B211,'노임(2015)'!$C$4:$C$87)+SUMIF('노임(2015)'!$E$4:$E$87,B211,'노임(2015)'!$F$4:$F$87)</f>
        <v>89566</v>
      </c>
      <c r="J211" s="470">
        <f t="shared" si="74"/>
        <v>31348</v>
      </c>
      <c r="K211" s="470"/>
      <c r="L211" s="470">
        <f t="shared" si="75"/>
        <v>0</v>
      </c>
      <c r="M211" s="470">
        <f>G211+I211+K211</f>
        <v>89566</v>
      </c>
      <c r="N211" s="470">
        <f>H211+J211+L211</f>
        <v>31348</v>
      </c>
      <c r="O211" s="457"/>
      <c r="P211" s="767"/>
    </row>
    <row r="212" spans="2:17" ht="15.2" customHeight="1">
      <c r="B212" s="766" t="s">
        <v>855</v>
      </c>
      <c r="C212" s="766"/>
      <c r="D212" s="84"/>
      <c r="E212" s="87"/>
      <c r="F212" s="86"/>
      <c r="G212" s="470"/>
      <c r="H212" s="470">
        <f>SUM(H204:H211)</f>
        <v>23859</v>
      </c>
      <c r="I212" s="470"/>
      <c r="J212" s="470">
        <f>SUM(J204:J211)</f>
        <v>98593</v>
      </c>
      <c r="K212" s="470"/>
      <c r="L212" s="470">
        <f>SUM(L204:L211)</f>
        <v>0</v>
      </c>
      <c r="M212" s="470"/>
      <c r="N212" s="470">
        <f>SUM(N204:N211)</f>
        <v>122452</v>
      </c>
      <c r="O212" s="457"/>
      <c r="P212" s="767"/>
      <c r="Q212" s="80" t="s">
        <v>3244</v>
      </c>
    </row>
    <row r="213" spans="2:17" ht="15.2" customHeight="1">
      <c r="B213" s="83">
        <f>P213</f>
        <v>31</v>
      </c>
      <c r="C213" s="770" t="s">
        <v>884</v>
      </c>
      <c r="D213" s="770"/>
      <c r="E213" s="770"/>
      <c r="F213" s="771"/>
      <c r="G213" s="470"/>
      <c r="H213" s="470"/>
      <c r="I213" s="470"/>
      <c r="J213" s="470"/>
      <c r="K213" s="470"/>
      <c r="L213" s="470"/>
      <c r="M213" s="470"/>
      <c r="N213" s="470"/>
      <c r="O213" s="457"/>
      <c r="P213" s="767">
        <f>MAX($P$5:P212)+1</f>
        <v>31</v>
      </c>
      <c r="Q213" s="80" t="s">
        <v>3243</v>
      </c>
    </row>
    <row r="214" spans="2:17" ht="15.2" customHeight="1">
      <c r="B214" s="766" t="s">
        <v>1465</v>
      </c>
      <c r="C214" s="766"/>
      <c r="D214" s="84"/>
      <c r="E214" s="87"/>
      <c r="F214" s="86" t="s">
        <v>933</v>
      </c>
      <c r="G214" s="470">
        <f>$H$202</f>
        <v>23859</v>
      </c>
      <c r="H214" s="470">
        <f>TRUNC(E214*G214,0)</f>
        <v>0</v>
      </c>
      <c r="I214" s="470">
        <f>$J$202</f>
        <v>76144</v>
      </c>
      <c r="J214" s="470">
        <f>TRUNC(I214*E214,0)</f>
        <v>0</v>
      </c>
      <c r="K214" s="470"/>
      <c r="L214" s="470">
        <f>TRUNC(K214*E214,0)</f>
        <v>0</v>
      </c>
      <c r="M214" s="470">
        <f t="shared" ref="M214:N216" si="77">G214+I214+K214</f>
        <v>100003</v>
      </c>
      <c r="N214" s="470">
        <f t="shared" si="77"/>
        <v>0</v>
      </c>
      <c r="O214" s="458">
        <f>$P$193</f>
        <v>29</v>
      </c>
      <c r="P214" s="767"/>
    </row>
    <row r="215" spans="2:17" ht="15.2" customHeight="1">
      <c r="B215" s="766" t="s">
        <v>885</v>
      </c>
      <c r="C215" s="766"/>
      <c r="D215" s="84"/>
      <c r="E215" s="88">
        <v>0.57699999999999996</v>
      </c>
      <c r="F215" s="86" t="s">
        <v>933</v>
      </c>
      <c r="G215" s="470">
        <f>G214</f>
        <v>23859</v>
      </c>
      <c r="H215" s="470">
        <f>TRUNC(E215*G215,0)</f>
        <v>13766</v>
      </c>
      <c r="I215" s="470"/>
      <c r="J215" s="470">
        <f>TRUNC(I215*E215,0)</f>
        <v>0</v>
      </c>
      <c r="K215" s="470"/>
      <c r="L215" s="470">
        <f>TRUNC(K215*E215,0)</f>
        <v>0</v>
      </c>
      <c r="M215" s="470">
        <f t="shared" si="77"/>
        <v>23859</v>
      </c>
      <c r="N215" s="470">
        <f t="shared" si="77"/>
        <v>13766</v>
      </c>
      <c r="O215" s="457"/>
      <c r="P215" s="767"/>
    </row>
    <row r="216" spans="2:17" ht="15.2" customHeight="1">
      <c r="B216" s="766" t="s">
        <v>886</v>
      </c>
      <c r="C216" s="766"/>
      <c r="D216" s="84"/>
      <c r="E216" s="87">
        <v>0.63</v>
      </c>
      <c r="F216" s="86" t="s">
        <v>933</v>
      </c>
      <c r="G216" s="470"/>
      <c r="H216" s="470">
        <f>TRUNC(E216*G216,0)</f>
        <v>0</v>
      </c>
      <c r="I216" s="470">
        <f>I214</f>
        <v>76144</v>
      </c>
      <c r="J216" s="470">
        <f>TRUNC(I216*E216,0)</f>
        <v>47970</v>
      </c>
      <c r="K216" s="470"/>
      <c r="L216" s="470">
        <f>TRUNC(K216*E216,0)</f>
        <v>0</v>
      </c>
      <c r="M216" s="470">
        <f t="shared" si="77"/>
        <v>76144</v>
      </c>
      <c r="N216" s="470">
        <f t="shared" si="77"/>
        <v>47970</v>
      </c>
      <c r="O216" s="457"/>
      <c r="P216" s="767"/>
    </row>
    <row r="217" spans="2:17" ht="15.2" customHeight="1">
      <c r="B217" s="766" t="s">
        <v>855</v>
      </c>
      <c r="C217" s="766"/>
      <c r="D217" s="84"/>
      <c r="E217" s="87"/>
      <c r="F217" s="86"/>
      <c r="G217" s="470"/>
      <c r="H217" s="470">
        <f>SUM(H214:H216)</f>
        <v>13766</v>
      </c>
      <c r="I217" s="470"/>
      <c r="J217" s="470">
        <f>SUM(J214:J216)</f>
        <v>47970</v>
      </c>
      <c r="K217" s="470"/>
      <c r="L217" s="470">
        <f>SUM(L214:L216)</f>
        <v>0</v>
      </c>
      <c r="M217" s="470"/>
      <c r="N217" s="470">
        <f>SUM(N214:N216)</f>
        <v>61736</v>
      </c>
      <c r="O217" s="457"/>
      <c r="P217" s="767"/>
      <c r="Q217" s="80" t="s">
        <v>3244</v>
      </c>
    </row>
    <row r="218" spans="2:17" ht="15.2" customHeight="1">
      <c r="B218" s="83">
        <f>P218</f>
        <v>32</v>
      </c>
      <c r="C218" s="770" t="s">
        <v>887</v>
      </c>
      <c r="D218" s="770"/>
      <c r="E218" s="770"/>
      <c r="F218" s="771"/>
      <c r="G218" s="470"/>
      <c r="H218" s="470"/>
      <c r="I218" s="470"/>
      <c r="J218" s="470"/>
      <c r="K218" s="470"/>
      <c r="L218" s="470"/>
      <c r="M218" s="470"/>
      <c r="N218" s="470"/>
      <c r="O218" s="457"/>
      <c r="P218" s="767">
        <f>MAX($P$5:P217)+1</f>
        <v>32</v>
      </c>
      <c r="Q218" s="80" t="s">
        <v>3243</v>
      </c>
    </row>
    <row r="219" spans="2:17" ht="15.2" customHeight="1">
      <c r="B219" s="766" t="s">
        <v>1468</v>
      </c>
      <c r="C219" s="766"/>
      <c r="D219" s="84"/>
      <c r="E219" s="87"/>
      <c r="F219" s="86" t="s">
        <v>933</v>
      </c>
      <c r="G219" s="470">
        <f>$H$212</f>
        <v>23859</v>
      </c>
      <c r="H219" s="470">
        <f>TRUNC(E219*G219,0)</f>
        <v>0</v>
      </c>
      <c r="I219" s="470">
        <f>$J$212</f>
        <v>98593</v>
      </c>
      <c r="J219" s="470">
        <f>TRUNC(I219*E219,0)</f>
        <v>0</v>
      </c>
      <c r="K219" s="470"/>
      <c r="L219" s="470">
        <f>TRUNC(K219*E219,0)</f>
        <v>0</v>
      </c>
      <c r="M219" s="470">
        <f t="shared" ref="M219:N221" si="78">G219+I219+K219</f>
        <v>122452</v>
      </c>
      <c r="N219" s="470">
        <f t="shared" si="78"/>
        <v>0</v>
      </c>
      <c r="O219" s="458">
        <f>$P$203</f>
        <v>30</v>
      </c>
      <c r="P219" s="767"/>
    </row>
    <row r="220" spans="2:17" ht="15.2" customHeight="1">
      <c r="B220" s="766" t="s">
        <v>885</v>
      </c>
      <c r="C220" s="766"/>
      <c r="D220" s="84"/>
      <c r="E220" s="88">
        <v>0.57699999999999996</v>
      </c>
      <c r="F220" s="86" t="s">
        <v>933</v>
      </c>
      <c r="G220" s="470">
        <f>G219</f>
        <v>23859</v>
      </c>
      <c r="H220" s="470">
        <f>TRUNC(E220*G220,0)</f>
        <v>13766</v>
      </c>
      <c r="I220" s="470"/>
      <c r="J220" s="470">
        <f>TRUNC(I220*E220,0)</f>
        <v>0</v>
      </c>
      <c r="K220" s="470"/>
      <c r="L220" s="470">
        <f>TRUNC(K220*E220,0)</f>
        <v>0</v>
      </c>
      <c r="M220" s="470">
        <f t="shared" si="78"/>
        <v>23859</v>
      </c>
      <c r="N220" s="470">
        <f t="shared" si="78"/>
        <v>13766</v>
      </c>
      <c r="O220" s="457"/>
      <c r="P220" s="767"/>
    </row>
    <row r="221" spans="2:17" ht="15.2" customHeight="1">
      <c r="B221" s="766" t="s">
        <v>886</v>
      </c>
      <c r="C221" s="766"/>
      <c r="D221" s="84"/>
      <c r="E221" s="87">
        <v>0.63</v>
      </c>
      <c r="F221" s="86" t="s">
        <v>933</v>
      </c>
      <c r="G221" s="470"/>
      <c r="H221" s="470">
        <f>TRUNC(E221*G221,0)</f>
        <v>0</v>
      </c>
      <c r="I221" s="470">
        <f>I219</f>
        <v>98593</v>
      </c>
      <c r="J221" s="470">
        <f>TRUNC(I221*E221,0)</f>
        <v>62113</v>
      </c>
      <c r="K221" s="470"/>
      <c r="L221" s="470">
        <f>TRUNC(K221*E221,0)</f>
        <v>0</v>
      </c>
      <c r="M221" s="470">
        <f t="shared" si="78"/>
        <v>98593</v>
      </c>
      <c r="N221" s="470">
        <f t="shared" si="78"/>
        <v>62113</v>
      </c>
      <c r="O221" s="457"/>
      <c r="P221" s="767"/>
    </row>
    <row r="222" spans="2:17" ht="15.2" customHeight="1">
      <c r="B222" s="766" t="s">
        <v>855</v>
      </c>
      <c r="C222" s="766"/>
      <c r="D222" s="84"/>
      <c r="E222" s="87"/>
      <c r="F222" s="86"/>
      <c r="G222" s="470"/>
      <c r="H222" s="470">
        <f>SUM(H219:H221)</f>
        <v>13766</v>
      </c>
      <c r="I222" s="470"/>
      <c r="J222" s="470">
        <f>SUM(J219:J221)</f>
        <v>62113</v>
      </c>
      <c r="K222" s="470"/>
      <c r="L222" s="470">
        <f>SUM(L219:L221)</f>
        <v>0</v>
      </c>
      <c r="M222" s="470"/>
      <c r="N222" s="470">
        <f>SUM(N219:N221)</f>
        <v>75879</v>
      </c>
      <c r="O222" s="457"/>
      <c r="P222" s="767"/>
      <c r="Q222" s="80" t="s">
        <v>3244</v>
      </c>
    </row>
    <row r="223" spans="2:17" ht="15.2" customHeight="1">
      <c r="B223" s="83">
        <f>P223</f>
        <v>33</v>
      </c>
      <c r="C223" s="770" t="s">
        <v>888</v>
      </c>
      <c r="D223" s="770"/>
      <c r="E223" s="770"/>
      <c r="F223" s="771"/>
      <c r="G223" s="470"/>
      <c r="H223" s="470"/>
      <c r="I223" s="470"/>
      <c r="J223" s="470"/>
      <c r="K223" s="470"/>
      <c r="L223" s="470"/>
      <c r="M223" s="470"/>
      <c r="N223" s="470"/>
      <c r="O223" s="457"/>
      <c r="P223" s="767">
        <f>MAX($P$5:P222)+1</f>
        <v>33</v>
      </c>
      <c r="Q223" s="80" t="s">
        <v>3243</v>
      </c>
    </row>
    <row r="224" spans="2:17" ht="15.2" customHeight="1">
      <c r="B224" s="766" t="s">
        <v>1465</v>
      </c>
      <c r="C224" s="766"/>
      <c r="D224" s="84"/>
      <c r="E224" s="87"/>
      <c r="F224" s="86" t="s">
        <v>933</v>
      </c>
      <c r="G224" s="470">
        <f>$H$202</f>
        <v>23859</v>
      </c>
      <c r="H224" s="470">
        <f>TRUNC(E224*G224,0)</f>
        <v>0</v>
      </c>
      <c r="I224" s="470">
        <f>$J$202</f>
        <v>76144</v>
      </c>
      <c r="J224" s="470">
        <f>TRUNC(I224*E224,0)</f>
        <v>0</v>
      </c>
      <c r="K224" s="470"/>
      <c r="L224" s="470">
        <f>TRUNC(K224*E224,0)</f>
        <v>0</v>
      </c>
      <c r="M224" s="470">
        <f t="shared" ref="M224:N226" si="79">G224+I224+K224</f>
        <v>100003</v>
      </c>
      <c r="N224" s="470">
        <f t="shared" si="79"/>
        <v>0</v>
      </c>
      <c r="O224" s="458">
        <f>$P$193</f>
        <v>29</v>
      </c>
      <c r="P224" s="767"/>
    </row>
    <row r="225" spans="2:17" ht="15.2" customHeight="1">
      <c r="B225" s="766" t="s">
        <v>889</v>
      </c>
      <c r="C225" s="766"/>
      <c r="D225" s="84"/>
      <c r="E225" s="88">
        <v>0.46600000000000003</v>
      </c>
      <c r="F225" s="86" t="s">
        <v>933</v>
      </c>
      <c r="G225" s="470">
        <f>G224</f>
        <v>23859</v>
      </c>
      <c r="H225" s="470">
        <f>TRUNC(E225*G225,0)</f>
        <v>11118</v>
      </c>
      <c r="I225" s="470"/>
      <c r="J225" s="470">
        <f>TRUNC(I225*E225,0)</f>
        <v>0</v>
      </c>
      <c r="K225" s="470"/>
      <c r="L225" s="470">
        <f>TRUNC(K225*E225,0)</f>
        <v>0</v>
      </c>
      <c r="M225" s="470">
        <f t="shared" si="79"/>
        <v>23859</v>
      </c>
      <c r="N225" s="470">
        <f t="shared" si="79"/>
        <v>11118</v>
      </c>
      <c r="O225" s="457"/>
      <c r="P225" s="767"/>
    </row>
    <row r="226" spans="2:17" ht="15.2" customHeight="1">
      <c r="B226" s="766" t="s">
        <v>890</v>
      </c>
      <c r="C226" s="766"/>
      <c r="D226" s="84"/>
      <c r="E226" s="88">
        <v>0.51600000000000001</v>
      </c>
      <c r="F226" s="86" t="s">
        <v>933</v>
      </c>
      <c r="G226" s="470"/>
      <c r="H226" s="470">
        <f>TRUNC(E226*G226,0)</f>
        <v>0</v>
      </c>
      <c r="I226" s="470">
        <f>I224</f>
        <v>76144</v>
      </c>
      <c r="J226" s="470">
        <f>TRUNC(I226*E226,0)</f>
        <v>39290</v>
      </c>
      <c r="K226" s="470"/>
      <c r="L226" s="470">
        <f>TRUNC(K226*E226,0)</f>
        <v>0</v>
      </c>
      <c r="M226" s="470">
        <f t="shared" si="79"/>
        <v>76144</v>
      </c>
      <c r="N226" s="470">
        <f t="shared" si="79"/>
        <v>39290</v>
      </c>
      <c r="O226" s="457"/>
      <c r="P226" s="767"/>
    </row>
    <row r="227" spans="2:17" ht="15.2" customHeight="1">
      <c r="B227" s="766" t="s">
        <v>855</v>
      </c>
      <c r="C227" s="766"/>
      <c r="D227" s="84"/>
      <c r="E227" s="87"/>
      <c r="F227" s="86"/>
      <c r="G227" s="470"/>
      <c r="H227" s="470">
        <f>SUM(H224:H226)</f>
        <v>11118</v>
      </c>
      <c r="I227" s="470"/>
      <c r="J227" s="470">
        <f>SUM(J224:J226)</f>
        <v>39290</v>
      </c>
      <c r="K227" s="470"/>
      <c r="L227" s="470">
        <f>SUM(L224:L226)</f>
        <v>0</v>
      </c>
      <c r="M227" s="470"/>
      <c r="N227" s="470">
        <f>SUM(N224:N226)</f>
        <v>50408</v>
      </c>
      <c r="O227" s="457"/>
      <c r="P227" s="767"/>
      <c r="Q227" s="80" t="s">
        <v>3244</v>
      </c>
    </row>
    <row r="228" spans="2:17" ht="15.2" customHeight="1">
      <c r="B228" s="83">
        <f>P228</f>
        <v>34</v>
      </c>
      <c r="C228" s="770" t="s">
        <v>891</v>
      </c>
      <c r="D228" s="770"/>
      <c r="E228" s="770"/>
      <c r="F228" s="771"/>
      <c r="G228" s="470"/>
      <c r="H228" s="470"/>
      <c r="I228" s="470"/>
      <c r="J228" s="470"/>
      <c r="K228" s="470"/>
      <c r="L228" s="470"/>
      <c r="M228" s="470"/>
      <c r="N228" s="470"/>
      <c r="O228" s="457"/>
      <c r="P228" s="767">
        <f>MAX($P$5:P227)+1</f>
        <v>34</v>
      </c>
      <c r="Q228" s="80" t="s">
        <v>3243</v>
      </c>
    </row>
    <row r="229" spans="2:17" ht="15.2" customHeight="1">
      <c r="B229" s="766" t="s">
        <v>1468</v>
      </c>
      <c r="C229" s="766"/>
      <c r="D229" s="84"/>
      <c r="E229" s="87"/>
      <c r="F229" s="86" t="s">
        <v>933</v>
      </c>
      <c r="G229" s="470">
        <f>$H$212</f>
        <v>23859</v>
      </c>
      <c r="H229" s="470">
        <f>TRUNC(E229*G229,0)</f>
        <v>0</v>
      </c>
      <c r="I229" s="470">
        <f>$J$212</f>
        <v>98593</v>
      </c>
      <c r="J229" s="470">
        <f>TRUNC(I229*E229,0)</f>
        <v>0</v>
      </c>
      <c r="K229" s="470"/>
      <c r="L229" s="470">
        <f>TRUNC(K229*E229,0)</f>
        <v>0</v>
      </c>
      <c r="M229" s="470">
        <f t="shared" ref="M229:N231" si="80">G229+I229+K229</f>
        <v>122452</v>
      </c>
      <c r="N229" s="470">
        <f t="shared" si="80"/>
        <v>0</v>
      </c>
      <c r="O229" s="458">
        <f>$P$203</f>
        <v>30</v>
      </c>
      <c r="P229" s="767"/>
    </row>
    <row r="230" spans="2:17" ht="15.2" customHeight="1">
      <c r="B230" s="766" t="s">
        <v>889</v>
      </c>
      <c r="C230" s="766"/>
      <c r="D230" s="84"/>
      <c r="E230" s="88">
        <v>0.46600000000000003</v>
      </c>
      <c r="F230" s="86" t="s">
        <v>933</v>
      </c>
      <c r="G230" s="470">
        <f>G229</f>
        <v>23859</v>
      </c>
      <c r="H230" s="470">
        <f>TRUNC(E230*G230,0)</f>
        <v>11118</v>
      </c>
      <c r="I230" s="470"/>
      <c r="J230" s="470">
        <f>TRUNC(I230*E230,0)</f>
        <v>0</v>
      </c>
      <c r="K230" s="470"/>
      <c r="L230" s="470">
        <f>TRUNC(K230*E230,0)</f>
        <v>0</v>
      </c>
      <c r="M230" s="470">
        <f t="shared" si="80"/>
        <v>23859</v>
      </c>
      <c r="N230" s="470">
        <f t="shared" si="80"/>
        <v>11118</v>
      </c>
      <c r="O230" s="457"/>
      <c r="P230" s="767"/>
    </row>
    <row r="231" spans="2:17" ht="15.2" customHeight="1">
      <c r="B231" s="766" t="s">
        <v>890</v>
      </c>
      <c r="C231" s="766"/>
      <c r="D231" s="84"/>
      <c r="E231" s="88">
        <v>0.51600000000000001</v>
      </c>
      <c r="F231" s="86" t="s">
        <v>933</v>
      </c>
      <c r="G231" s="470"/>
      <c r="H231" s="470">
        <f>TRUNC(E231*G231,0)</f>
        <v>0</v>
      </c>
      <c r="I231" s="470">
        <f>I229</f>
        <v>98593</v>
      </c>
      <c r="J231" s="470">
        <f>TRUNC(I231*E231,0)</f>
        <v>50873</v>
      </c>
      <c r="K231" s="470"/>
      <c r="L231" s="470">
        <f>TRUNC(K231*E231,0)</f>
        <v>0</v>
      </c>
      <c r="M231" s="470">
        <f t="shared" si="80"/>
        <v>98593</v>
      </c>
      <c r="N231" s="470">
        <f t="shared" si="80"/>
        <v>50873</v>
      </c>
      <c r="O231" s="457"/>
      <c r="P231" s="767"/>
    </row>
    <row r="232" spans="2:17" ht="15.2" customHeight="1">
      <c r="B232" s="766" t="s">
        <v>855</v>
      </c>
      <c r="C232" s="766"/>
      <c r="D232" s="84"/>
      <c r="E232" s="87"/>
      <c r="F232" s="86"/>
      <c r="G232" s="470"/>
      <c r="H232" s="470">
        <f>SUM(H229:H231)</f>
        <v>11118</v>
      </c>
      <c r="I232" s="470"/>
      <c r="J232" s="470">
        <f>SUM(J229:J231)</f>
        <v>50873</v>
      </c>
      <c r="K232" s="470"/>
      <c r="L232" s="470">
        <f>SUM(L229:L231)</f>
        <v>0</v>
      </c>
      <c r="M232" s="470"/>
      <c r="N232" s="470">
        <f>SUM(N229:N231)</f>
        <v>61991</v>
      </c>
      <c r="O232" s="457"/>
      <c r="P232" s="767"/>
      <c r="Q232" s="80" t="s">
        <v>3244</v>
      </c>
    </row>
    <row r="233" spans="2:17" ht="15.2" customHeight="1">
      <c r="B233" s="83">
        <f>P233</f>
        <v>35</v>
      </c>
      <c r="C233" s="770" t="s">
        <v>892</v>
      </c>
      <c r="D233" s="770"/>
      <c r="E233" s="770"/>
      <c r="F233" s="771"/>
      <c r="G233" s="470"/>
      <c r="H233" s="470"/>
      <c r="I233" s="470"/>
      <c r="J233" s="470"/>
      <c r="K233" s="470"/>
      <c r="L233" s="470"/>
      <c r="M233" s="470"/>
      <c r="N233" s="470"/>
      <c r="O233" s="457"/>
      <c r="P233" s="767">
        <f>MAX($P$5:P232)+1</f>
        <v>35</v>
      </c>
      <c r="Q233" s="80" t="s">
        <v>3243</v>
      </c>
    </row>
    <row r="234" spans="2:17" ht="15.2" customHeight="1">
      <c r="B234" s="766" t="s">
        <v>1722</v>
      </c>
      <c r="C234" s="766"/>
      <c r="D234" s="84" t="s">
        <v>893</v>
      </c>
      <c r="E234" s="87">
        <v>0.08</v>
      </c>
      <c r="F234" s="86" t="s">
        <v>456</v>
      </c>
      <c r="G234" s="470">
        <f>사급자재!$M$47</f>
        <v>5055</v>
      </c>
      <c r="H234" s="470">
        <f>TRUNC(E234*G234,0)</f>
        <v>404</v>
      </c>
      <c r="I234" s="470"/>
      <c r="J234" s="470">
        <f>TRUNC(I234*E234,0)</f>
        <v>0</v>
      </c>
      <c r="K234" s="470"/>
      <c r="L234" s="470">
        <f>TRUNC(K234*E234,0)</f>
        <v>0</v>
      </c>
      <c r="M234" s="470">
        <f t="shared" ref="M234:N238" si="81">G234+I234+K234</f>
        <v>5055</v>
      </c>
      <c r="N234" s="470">
        <f t="shared" si="81"/>
        <v>404</v>
      </c>
      <c r="O234" s="457"/>
      <c r="P234" s="767"/>
    </row>
    <row r="235" spans="2:17" ht="15.2" customHeight="1">
      <c r="B235" s="766" t="s">
        <v>1723</v>
      </c>
      <c r="C235" s="766"/>
      <c r="D235" s="84" t="s">
        <v>894</v>
      </c>
      <c r="E235" s="88">
        <v>4.0000000000000001E-3</v>
      </c>
      <c r="F235" s="86" t="s">
        <v>456</v>
      </c>
      <c r="G235" s="470">
        <f>사급자재!$M$49</f>
        <v>1778</v>
      </c>
      <c r="H235" s="470">
        <f>TRUNC(E235*G235,0)</f>
        <v>7</v>
      </c>
      <c r="I235" s="470"/>
      <c r="J235" s="470">
        <f>TRUNC(I235*E235,0)</f>
        <v>0</v>
      </c>
      <c r="K235" s="470"/>
      <c r="L235" s="470">
        <f>TRUNC(K235*E235,0)</f>
        <v>0</v>
      </c>
      <c r="M235" s="470">
        <f t="shared" si="81"/>
        <v>1778</v>
      </c>
      <c r="N235" s="470">
        <f t="shared" si="81"/>
        <v>7</v>
      </c>
      <c r="O235" s="457"/>
      <c r="P235" s="767"/>
    </row>
    <row r="236" spans="2:17" ht="15.2" customHeight="1">
      <c r="B236" s="766" t="s">
        <v>1724</v>
      </c>
      <c r="C236" s="766"/>
      <c r="D236" s="84"/>
      <c r="E236" s="87">
        <v>0.05</v>
      </c>
      <c r="F236" s="86" t="s">
        <v>1725</v>
      </c>
      <c r="G236" s="470">
        <f>사급자재!$M$50</f>
        <v>220</v>
      </c>
      <c r="H236" s="470">
        <f>TRUNC(E236*G236,0)</f>
        <v>11</v>
      </c>
      <c r="I236" s="470"/>
      <c r="J236" s="470">
        <f>TRUNC(I236*E236,0)</f>
        <v>0</v>
      </c>
      <c r="K236" s="470"/>
      <c r="L236" s="470">
        <f>TRUNC(K236*E236,0)</f>
        <v>0</v>
      </c>
      <c r="M236" s="470">
        <f t="shared" si="81"/>
        <v>220</v>
      </c>
      <c r="N236" s="470">
        <f t="shared" si="81"/>
        <v>11</v>
      </c>
      <c r="O236" s="457"/>
      <c r="P236" s="767"/>
    </row>
    <row r="237" spans="2:17" ht="15.2" customHeight="1">
      <c r="B237" s="766" t="s">
        <v>1726</v>
      </c>
      <c r="C237" s="766"/>
      <c r="D237" s="84"/>
      <c r="E237" s="88">
        <v>1.9E-2</v>
      </c>
      <c r="F237" s="86" t="s">
        <v>1163</v>
      </c>
      <c r="G237" s="470"/>
      <c r="H237" s="470">
        <f>TRUNC(E237*G237,0)</f>
        <v>0</v>
      </c>
      <c r="I237" s="470">
        <f>SUMIF('노임(2015)'!$B$4:$B$87,B237,'노임(2015)'!$C$4:$C$87)+SUMIF('노임(2015)'!$E$4:$E$87,B237,'노임(2015)'!$F$4:$F$87)</f>
        <v>127681</v>
      </c>
      <c r="J237" s="470">
        <f>TRUNC(I237*E237,0)</f>
        <v>2425</v>
      </c>
      <c r="K237" s="470"/>
      <c r="L237" s="470">
        <f>TRUNC(K237*E237,0)</f>
        <v>0</v>
      </c>
      <c r="M237" s="470">
        <f t="shared" si="81"/>
        <v>127681</v>
      </c>
      <c r="N237" s="470">
        <f t="shared" si="81"/>
        <v>2425</v>
      </c>
      <c r="O237" s="457"/>
      <c r="P237" s="767"/>
    </row>
    <row r="238" spans="2:17" ht="15.2" customHeight="1">
      <c r="B238" s="766" t="s">
        <v>842</v>
      </c>
      <c r="C238" s="766"/>
      <c r="D238" s="84" t="s">
        <v>861</v>
      </c>
      <c r="E238" s="87">
        <v>0.02</v>
      </c>
      <c r="F238" s="86" t="s">
        <v>933</v>
      </c>
      <c r="G238" s="470">
        <f>J237</f>
        <v>2425</v>
      </c>
      <c r="H238" s="470">
        <f>TRUNC(E238*G238,0)</f>
        <v>48</v>
      </c>
      <c r="I238" s="470"/>
      <c r="J238" s="470">
        <f>TRUNC(I238*E238,0)</f>
        <v>0</v>
      </c>
      <c r="K238" s="470"/>
      <c r="L238" s="470">
        <f>TRUNC(K238*E238,0)</f>
        <v>0</v>
      </c>
      <c r="M238" s="470">
        <f t="shared" si="81"/>
        <v>2425</v>
      </c>
      <c r="N238" s="470">
        <f t="shared" si="81"/>
        <v>48</v>
      </c>
      <c r="O238" s="457"/>
      <c r="P238" s="767"/>
    </row>
    <row r="239" spans="2:17" ht="15.2" customHeight="1">
      <c r="B239" s="766" t="s">
        <v>855</v>
      </c>
      <c r="C239" s="766"/>
      <c r="D239" s="84"/>
      <c r="E239" s="87"/>
      <c r="F239" s="86"/>
      <c r="G239" s="470"/>
      <c r="H239" s="470">
        <f>SUM(H234:H238)</f>
        <v>470</v>
      </c>
      <c r="I239" s="470"/>
      <c r="J239" s="470">
        <f>SUM(J234:J238)</f>
        <v>2425</v>
      </c>
      <c r="K239" s="470"/>
      <c r="L239" s="470">
        <f>SUM(L234:L238)</f>
        <v>0</v>
      </c>
      <c r="M239" s="470"/>
      <c r="N239" s="470">
        <f>SUM(N234:N238)</f>
        <v>2895</v>
      </c>
      <c r="O239" s="457"/>
      <c r="P239" s="767"/>
      <c r="Q239" s="80" t="s">
        <v>3244</v>
      </c>
    </row>
    <row r="240" spans="2:17" ht="15.2" customHeight="1">
      <c r="B240" s="83">
        <f>P240</f>
        <v>36</v>
      </c>
      <c r="C240" s="770" t="s">
        <v>895</v>
      </c>
      <c r="D240" s="770"/>
      <c r="E240" s="770"/>
      <c r="F240" s="771"/>
      <c r="G240" s="470"/>
      <c r="H240" s="470"/>
      <c r="I240" s="470"/>
      <c r="J240" s="470"/>
      <c r="K240" s="470"/>
      <c r="L240" s="470"/>
      <c r="M240" s="470"/>
      <c r="N240" s="470"/>
      <c r="O240" s="457"/>
      <c r="P240" s="767">
        <f>MAX($P$5:P239)+1</f>
        <v>36</v>
      </c>
      <c r="Q240" s="80" t="s">
        <v>3243</v>
      </c>
    </row>
    <row r="241" spans="2:17" ht="15.2" customHeight="1">
      <c r="B241" s="766" t="s">
        <v>1727</v>
      </c>
      <c r="C241" s="766"/>
      <c r="D241" s="84" t="s">
        <v>896</v>
      </c>
      <c r="E241" s="88">
        <v>0.16600000000000001</v>
      </c>
      <c r="F241" s="86" t="s">
        <v>456</v>
      </c>
      <c r="G241" s="470">
        <f>사급자재!$M$48</f>
        <v>4185</v>
      </c>
      <c r="H241" s="470">
        <f t="shared" ref="H241:H246" si="82">TRUNC(E241*G241,0)</f>
        <v>694</v>
      </c>
      <c r="I241" s="470"/>
      <c r="J241" s="470">
        <f t="shared" ref="J241:J246" si="83">TRUNC(I241*E241,0)</f>
        <v>0</v>
      </c>
      <c r="K241" s="470"/>
      <c r="L241" s="470">
        <f t="shared" ref="L241:L246" si="84">TRUNC(K241*E241,0)</f>
        <v>0</v>
      </c>
      <c r="M241" s="470">
        <f t="shared" ref="M241:M246" si="85">G241+I241+K241</f>
        <v>4185</v>
      </c>
      <c r="N241" s="470">
        <f t="shared" ref="N241:N246" si="86">H241+J241+L241</f>
        <v>694</v>
      </c>
      <c r="O241" s="457"/>
      <c r="P241" s="767"/>
    </row>
    <row r="242" spans="2:17" ht="15.2" customHeight="1">
      <c r="B242" s="766" t="s">
        <v>1723</v>
      </c>
      <c r="C242" s="766"/>
      <c r="D242" s="84" t="s">
        <v>894</v>
      </c>
      <c r="E242" s="88">
        <v>8.0000000000000002E-3</v>
      </c>
      <c r="F242" s="86" t="s">
        <v>456</v>
      </c>
      <c r="G242" s="470">
        <f>사급자재!$M$49</f>
        <v>1778</v>
      </c>
      <c r="H242" s="470">
        <f t="shared" si="82"/>
        <v>14</v>
      </c>
      <c r="I242" s="470"/>
      <c r="J242" s="470">
        <f t="shared" si="83"/>
        <v>0</v>
      </c>
      <c r="K242" s="470"/>
      <c r="L242" s="470">
        <f t="shared" si="84"/>
        <v>0</v>
      </c>
      <c r="M242" s="470">
        <f t="shared" si="85"/>
        <v>1778</v>
      </c>
      <c r="N242" s="470">
        <f t="shared" si="86"/>
        <v>14</v>
      </c>
      <c r="O242" s="457"/>
      <c r="P242" s="767"/>
    </row>
    <row r="243" spans="2:17" ht="15.2" customHeight="1">
      <c r="B243" s="766" t="s">
        <v>3998</v>
      </c>
      <c r="C243" s="766"/>
      <c r="D243" s="84"/>
      <c r="E243" s="87">
        <v>0.08</v>
      </c>
      <c r="F243" s="86" t="s">
        <v>1728</v>
      </c>
      <c r="G243" s="470">
        <f>사급자재!$M$52</f>
        <v>1993</v>
      </c>
      <c r="H243" s="470">
        <f>TRUNC(E243*G243,0)</f>
        <v>159</v>
      </c>
      <c r="I243" s="470"/>
      <c r="J243" s="470">
        <f>TRUNC(I243*E243,0)</f>
        <v>0</v>
      </c>
      <c r="K243" s="470"/>
      <c r="L243" s="470">
        <f>TRUNC(K243*E243,0)</f>
        <v>0</v>
      </c>
      <c r="M243" s="470">
        <f>G243+I243+K243</f>
        <v>1993</v>
      </c>
      <c r="N243" s="470">
        <f>H243+J243+L243</f>
        <v>159</v>
      </c>
      <c r="O243" s="457"/>
      <c r="P243" s="767"/>
    </row>
    <row r="244" spans="2:17" ht="15.2" customHeight="1">
      <c r="B244" s="766" t="s">
        <v>1724</v>
      </c>
      <c r="C244" s="766"/>
      <c r="D244" s="84"/>
      <c r="E244" s="87">
        <v>0.1</v>
      </c>
      <c r="F244" s="86" t="s">
        <v>1725</v>
      </c>
      <c r="G244" s="470">
        <f>사급자재!$M$50</f>
        <v>220</v>
      </c>
      <c r="H244" s="470">
        <f t="shared" si="82"/>
        <v>22</v>
      </c>
      <c r="I244" s="470"/>
      <c r="J244" s="470">
        <f t="shared" si="83"/>
        <v>0</v>
      </c>
      <c r="K244" s="470"/>
      <c r="L244" s="470">
        <f t="shared" si="84"/>
        <v>0</v>
      </c>
      <c r="M244" s="470">
        <f t="shared" si="85"/>
        <v>220</v>
      </c>
      <c r="N244" s="470">
        <f t="shared" si="86"/>
        <v>22</v>
      </c>
      <c r="O244" s="457"/>
      <c r="P244" s="767"/>
    </row>
    <row r="245" spans="2:17" ht="15.2" customHeight="1">
      <c r="B245" s="766" t="s">
        <v>1726</v>
      </c>
      <c r="C245" s="766"/>
      <c r="D245" s="84"/>
      <c r="E245" s="88">
        <v>4.5999999999999999E-2</v>
      </c>
      <c r="F245" s="86" t="s">
        <v>1163</v>
      </c>
      <c r="G245" s="470"/>
      <c r="H245" s="470">
        <f t="shared" si="82"/>
        <v>0</v>
      </c>
      <c r="I245" s="470">
        <f>SUMIF('노임(2015)'!$B$4:$B$87,B245,'노임(2015)'!$C$4:$C$87)+SUMIF('노임(2015)'!$E$4:$E$87,B245,'노임(2015)'!$F$4:$F$87)</f>
        <v>127681</v>
      </c>
      <c r="J245" s="470">
        <f t="shared" si="83"/>
        <v>5873</v>
      </c>
      <c r="K245" s="470"/>
      <c r="L245" s="470">
        <f t="shared" si="84"/>
        <v>0</v>
      </c>
      <c r="M245" s="470">
        <f t="shared" si="85"/>
        <v>127681</v>
      </c>
      <c r="N245" s="470">
        <f t="shared" si="86"/>
        <v>5873</v>
      </c>
      <c r="O245" s="457"/>
      <c r="P245" s="767"/>
    </row>
    <row r="246" spans="2:17" ht="15.2" customHeight="1">
      <c r="B246" s="766" t="s">
        <v>842</v>
      </c>
      <c r="C246" s="766"/>
      <c r="D246" s="84" t="s">
        <v>861</v>
      </c>
      <c r="E246" s="87">
        <v>0.02</v>
      </c>
      <c r="F246" s="86" t="s">
        <v>933</v>
      </c>
      <c r="G246" s="470">
        <f>J245</f>
        <v>5873</v>
      </c>
      <c r="H246" s="470">
        <f t="shared" si="82"/>
        <v>117</v>
      </c>
      <c r="I246" s="470"/>
      <c r="J246" s="470">
        <f t="shared" si="83"/>
        <v>0</v>
      </c>
      <c r="K246" s="470"/>
      <c r="L246" s="470">
        <f t="shared" si="84"/>
        <v>0</v>
      </c>
      <c r="M246" s="470">
        <f t="shared" si="85"/>
        <v>5873</v>
      </c>
      <c r="N246" s="470">
        <f t="shared" si="86"/>
        <v>117</v>
      </c>
      <c r="O246" s="457"/>
      <c r="P246" s="767"/>
    </row>
    <row r="247" spans="2:17" s="647" customFormat="1" ht="15.2" customHeight="1">
      <c r="B247" s="766" t="s">
        <v>3999</v>
      </c>
      <c r="C247" s="766"/>
      <c r="D247" s="648" t="s">
        <v>4000</v>
      </c>
      <c r="E247" s="650">
        <v>0.05</v>
      </c>
      <c r="F247" s="649" t="s">
        <v>933</v>
      </c>
      <c r="G247" s="655"/>
      <c r="H247" s="655">
        <f t="shared" ref="H247" si="87">TRUNC(E247*G247,0)</f>
        <v>0</v>
      </c>
      <c r="I247" s="655"/>
      <c r="J247" s="655">
        <f t="shared" ref="J247" si="88">TRUNC(I247*E247,0)</f>
        <v>0</v>
      </c>
      <c r="K247" s="655">
        <f>SUM(H241:H242)</f>
        <v>708</v>
      </c>
      <c r="L247" s="655">
        <f t="shared" ref="L247" si="89">TRUNC(K247*E247,0)</f>
        <v>35</v>
      </c>
      <c r="M247" s="655">
        <f t="shared" ref="M247" si="90">G247+I247+K247</f>
        <v>708</v>
      </c>
      <c r="N247" s="655">
        <f t="shared" ref="N247" si="91">H247+J247+L247</f>
        <v>35</v>
      </c>
      <c r="O247" s="653"/>
      <c r="P247" s="767"/>
    </row>
    <row r="248" spans="2:17" ht="15.2" customHeight="1">
      <c r="B248" s="766" t="s">
        <v>855</v>
      </c>
      <c r="C248" s="766"/>
      <c r="D248" s="84"/>
      <c r="E248" s="87"/>
      <c r="F248" s="86"/>
      <c r="G248" s="470"/>
      <c r="H248" s="470">
        <f>SUM(H241:H247)</f>
        <v>1006</v>
      </c>
      <c r="I248" s="470"/>
      <c r="J248" s="470">
        <f>SUM(J241:J247)</f>
        <v>5873</v>
      </c>
      <c r="K248" s="470"/>
      <c r="L248" s="470">
        <f>SUM(L241:L247)</f>
        <v>35</v>
      </c>
      <c r="M248" s="470"/>
      <c r="N248" s="470">
        <f>SUM(N241:N247)</f>
        <v>6914</v>
      </c>
      <c r="O248" s="457"/>
      <c r="P248" s="767"/>
      <c r="Q248" s="80" t="s">
        <v>3244</v>
      </c>
    </row>
    <row r="249" spans="2:17" ht="15.2" customHeight="1">
      <c r="B249" s="83">
        <f>P249</f>
        <v>37</v>
      </c>
      <c r="C249" s="770" t="s">
        <v>897</v>
      </c>
      <c r="D249" s="770"/>
      <c r="E249" s="770"/>
      <c r="F249" s="771"/>
      <c r="G249" s="470"/>
      <c r="H249" s="470"/>
      <c r="I249" s="470"/>
      <c r="J249" s="470"/>
      <c r="K249" s="470"/>
      <c r="L249" s="470"/>
      <c r="M249" s="470"/>
      <c r="N249" s="470"/>
      <c r="O249" s="457"/>
      <c r="P249" s="767">
        <f>MAX($P$5:P248)+1</f>
        <v>37</v>
      </c>
      <c r="Q249" s="80" t="s">
        <v>3243</v>
      </c>
    </row>
    <row r="250" spans="2:17" ht="15.2" customHeight="1">
      <c r="B250" s="766" t="s">
        <v>1727</v>
      </c>
      <c r="C250" s="766"/>
      <c r="D250" s="84" t="s">
        <v>896</v>
      </c>
      <c r="E250" s="88">
        <v>0.17599999999999999</v>
      </c>
      <c r="F250" s="86" t="s">
        <v>456</v>
      </c>
      <c r="G250" s="470">
        <f>사급자재!$M$48</f>
        <v>4185</v>
      </c>
      <c r="H250" s="470">
        <f t="shared" ref="H250:H255" si="92">TRUNC(E250*G250,0)</f>
        <v>736</v>
      </c>
      <c r="I250" s="470"/>
      <c r="J250" s="470">
        <f t="shared" ref="J250:J255" si="93">TRUNC(I250*E250,0)</f>
        <v>0</v>
      </c>
      <c r="K250" s="470"/>
      <c r="L250" s="470">
        <f t="shared" ref="L250:L255" si="94">TRUNC(K250*E250,0)</f>
        <v>0</v>
      </c>
      <c r="M250" s="470">
        <f t="shared" ref="M250:M255" si="95">G250+I250+K250</f>
        <v>4185</v>
      </c>
      <c r="N250" s="470">
        <f t="shared" ref="N250:N255" si="96">H250+J250+L250</f>
        <v>736</v>
      </c>
      <c r="O250" s="457"/>
      <c r="P250" s="767"/>
    </row>
    <row r="251" spans="2:17" ht="15.2" customHeight="1">
      <c r="B251" s="766" t="s">
        <v>1723</v>
      </c>
      <c r="C251" s="766"/>
      <c r="D251" s="84" t="s">
        <v>894</v>
      </c>
      <c r="E251" s="88">
        <v>8.0000000000000002E-3</v>
      </c>
      <c r="F251" s="86" t="s">
        <v>456</v>
      </c>
      <c r="G251" s="470">
        <f>사급자재!$M$49</f>
        <v>1778</v>
      </c>
      <c r="H251" s="470">
        <f t="shared" si="92"/>
        <v>14</v>
      </c>
      <c r="I251" s="470"/>
      <c r="J251" s="470">
        <f t="shared" si="93"/>
        <v>0</v>
      </c>
      <c r="K251" s="470"/>
      <c r="L251" s="470">
        <f t="shared" si="94"/>
        <v>0</v>
      </c>
      <c r="M251" s="470">
        <f t="shared" si="95"/>
        <v>1778</v>
      </c>
      <c r="N251" s="470">
        <f t="shared" si="96"/>
        <v>14</v>
      </c>
      <c r="O251" s="457"/>
      <c r="P251" s="767"/>
    </row>
    <row r="252" spans="2:17" ht="15.2" customHeight="1">
      <c r="B252" s="766" t="s">
        <v>3998</v>
      </c>
      <c r="C252" s="766"/>
      <c r="D252" s="84"/>
      <c r="E252" s="87">
        <v>0.03</v>
      </c>
      <c r="F252" s="86" t="s">
        <v>1728</v>
      </c>
      <c r="G252" s="470">
        <f>사급자재!$M$52</f>
        <v>1993</v>
      </c>
      <c r="H252" s="470">
        <f t="shared" si="92"/>
        <v>59</v>
      </c>
      <c r="I252" s="470"/>
      <c r="J252" s="470">
        <f t="shared" si="93"/>
        <v>0</v>
      </c>
      <c r="K252" s="470"/>
      <c r="L252" s="470">
        <f t="shared" si="94"/>
        <v>0</v>
      </c>
      <c r="M252" s="470">
        <f t="shared" si="95"/>
        <v>1993</v>
      </c>
      <c r="N252" s="470">
        <f t="shared" si="96"/>
        <v>59</v>
      </c>
      <c r="O252" s="457"/>
      <c r="P252" s="767"/>
    </row>
    <row r="253" spans="2:17" ht="15.2" customHeight="1">
      <c r="B253" s="766" t="s">
        <v>1724</v>
      </c>
      <c r="C253" s="766"/>
      <c r="D253" s="84"/>
      <c r="E253" s="87">
        <v>7.0000000000000007E-2</v>
      </c>
      <c r="F253" s="86" t="s">
        <v>1725</v>
      </c>
      <c r="G253" s="470">
        <f>사급자재!$M$50</f>
        <v>220</v>
      </c>
      <c r="H253" s="470">
        <f t="shared" si="92"/>
        <v>15</v>
      </c>
      <c r="I253" s="470"/>
      <c r="J253" s="470">
        <f t="shared" si="93"/>
        <v>0</v>
      </c>
      <c r="K253" s="470"/>
      <c r="L253" s="470">
        <f t="shared" si="94"/>
        <v>0</v>
      </c>
      <c r="M253" s="470">
        <f t="shared" si="95"/>
        <v>220</v>
      </c>
      <c r="N253" s="470">
        <f t="shared" si="96"/>
        <v>15</v>
      </c>
      <c r="O253" s="457"/>
      <c r="P253" s="767"/>
    </row>
    <row r="254" spans="2:17" ht="15.2" customHeight="1">
      <c r="B254" s="766" t="s">
        <v>1726</v>
      </c>
      <c r="C254" s="766"/>
      <c r="D254" s="84"/>
      <c r="E254" s="88">
        <v>4.1000000000000002E-2</v>
      </c>
      <c r="F254" s="86" t="s">
        <v>1163</v>
      </c>
      <c r="G254" s="470"/>
      <c r="H254" s="470">
        <f t="shared" si="92"/>
        <v>0</v>
      </c>
      <c r="I254" s="470">
        <f>SUMIF('노임(2015)'!$B$4:$B$87,B254,'노임(2015)'!$C$4:$C$87)+SUMIF('노임(2015)'!$E$4:$E$87,B254,'노임(2015)'!$F$4:$F$87)</f>
        <v>127681</v>
      </c>
      <c r="J254" s="470">
        <f t="shared" si="93"/>
        <v>5234</v>
      </c>
      <c r="K254" s="470"/>
      <c r="L254" s="470">
        <f t="shared" si="94"/>
        <v>0</v>
      </c>
      <c r="M254" s="470">
        <f t="shared" si="95"/>
        <v>127681</v>
      </c>
      <c r="N254" s="470">
        <f t="shared" si="96"/>
        <v>5234</v>
      </c>
      <c r="O254" s="457"/>
      <c r="P254" s="767"/>
    </row>
    <row r="255" spans="2:17" ht="15.2" customHeight="1">
      <c r="B255" s="766" t="s">
        <v>842</v>
      </c>
      <c r="C255" s="766"/>
      <c r="D255" s="84" t="s">
        <v>861</v>
      </c>
      <c r="E255" s="87">
        <v>0.02</v>
      </c>
      <c r="F255" s="86" t="s">
        <v>933</v>
      </c>
      <c r="G255" s="470">
        <f>J254</f>
        <v>5234</v>
      </c>
      <c r="H255" s="470">
        <f t="shared" si="92"/>
        <v>104</v>
      </c>
      <c r="I255" s="470"/>
      <c r="J255" s="470">
        <f t="shared" si="93"/>
        <v>0</v>
      </c>
      <c r="K255" s="470"/>
      <c r="L255" s="470">
        <f t="shared" si="94"/>
        <v>0</v>
      </c>
      <c r="M255" s="470">
        <f t="shared" si="95"/>
        <v>5234</v>
      </c>
      <c r="N255" s="470">
        <f t="shared" si="96"/>
        <v>104</v>
      </c>
      <c r="O255" s="457"/>
      <c r="P255" s="767"/>
    </row>
    <row r="256" spans="2:17" s="647" customFormat="1" ht="15.2" customHeight="1">
      <c r="B256" s="766" t="s">
        <v>3999</v>
      </c>
      <c r="C256" s="766"/>
      <c r="D256" s="648" t="s">
        <v>4000</v>
      </c>
      <c r="E256" s="650">
        <v>0.05</v>
      </c>
      <c r="F256" s="649" t="s">
        <v>933</v>
      </c>
      <c r="G256" s="655"/>
      <c r="H256" s="655">
        <f t="shared" ref="H256" si="97">TRUNC(E256*G256,0)</f>
        <v>0</v>
      </c>
      <c r="I256" s="655"/>
      <c r="J256" s="655">
        <f t="shared" ref="J256" si="98">TRUNC(I256*E256,0)</f>
        <v>0</v>
      </c>
      <c r="K256" s="655">
        <f>SUM(H250:H251)</f>
        <v>750</v>
      </c>
      <c r="L256" s="655">
        <f t="shared" ref="L256" si="99">TRUNC(K256*E256,0)</f>
        <v>37</v>
      </c>
      <c r="M256" s="655">
        <f t="shared" ref="M256" si="100">G256+I256+K256</f>
        <v>750</v>
      </c>
      <c r="N256" s="655">
        <f t="shared" ref="N256" si="101">H256+J256+L256</f>
        <v>37</v>
      </c>
      <c r="O256" s="653"/>
      <c r="P256" s="767"/>
    </row>
    <row r="257" spans="2:17" ht="15.2" customHeight="1">
      <c r="B257" s="766" t="s">
        <v>855</v>
      </c>
      <c r="C257" s="766"/>
      <c r="D257" s="84"/>
      <c r="E257" s="87"/>
      <c r="F257" s="86"/>
      <c r="G257" s="470"/>
      <c r="H257" s="655">
        <f>SUM(H250:H256)</f>
        <v>928</v>
      </c>
      <c r="I257" s="470"/>
      <c r="J257" s="470">
        <f>SUM(J250:J256)</f>
        <v>5234</v>
      </c>
      <c r="K257" s="470"/>
      <c r="L257" s="470">
        <f>SUM(L250:L256)</f>
        <v>37</v>
      </c>
      <c r="M257" s="470"/>
      <c r="N257" s="470">
        <f>SUM(N250:N256)</f>
        <v>6199</v>
      </c>
      <c r="O257" s="457"/>
      <c r="P257" s="767"/>
      <c r="Q257" s="80" t="s">
        <v>3244</v>
      </c>
    </row>
    <row r="258" spans="2:17" ht="15.2" customHeight="1">
      <c r="B258" s="83">
        <f>P258</f>
        <v>38</v>
      </c>
      <c r="C258" s="770" t="s">
        <v>898</v>
      </c>
      <c r="D258" s="770"/>
      <c r="E258" s="770"/>
      <c r="F258" s="771"/>
      <c r="G258" s="470"/>
      <c r="H258" s="470"/>
      <c r="I258" s="470"/>
      <c r="J258" s="470"/>
      <c r="K258" s="470"/>
      <c r="L258" s="470"/>
      <c r="M258" s="470"/>
      <c r="N258" s="470"/>
      <c r="O258" s="457"/>
      <c r="P258" s="767">
        <f>MAX($P$5:P257)+1</f>
        <v>38</v>
      </c>
      <c r="Q258" s="80" t="s">
        <v>3243</v>
      </c>
    </row>
    <row r="259" spans="2:17" ht="15.2" customHeight="1">
      <c r="B259" s="766" t="s">
        <v>1729</v>
      </c>
      <c r="C259" s="766"/>
      <c r="D259" s="84"/>
      <c r="E259" s="87">
        <v>1.02</v>
      </c>
      <c r="F259" s="86" t="s">
        <v>1168</v>
      </c>
      <c r="G259" s="470"/>
      <c r="H259" s="470">
        <f>TRUNC(E259*G259,0)</f>
        <v>0</v>
      </c>
      <c r="I259" s="470"/>
      <c r="J259" s="470">
        <f>TRUNC(I259*E259,0)</f>
        <v>0</v>
      </c>
      <c r="K259" s="470"/>
      <c r="L259" s="470">
        <f>TRUNC(K259*E259,0)</f>
        <v>0</v>
      </c>
      <c r="M259" s="470">
        <f t="shared" ref="M259:N261" si="102">G259+I259+K259</f>
        <v>0</v>
      </c>
      <c r="N259" s="470">
        <f t="shared" si="102"/>
        <v>0</v>
      </c>
      <c r="O259" s="457"/>
      <c r="P259" s="767"/>
    </row>
    <row r="260" spans="2:17" ht="15.2" customHeight="1">
      <c r="B260" s="766" t="s">
        <v>1715</v>
      </c>
      <c r="C260" s="766"/>
      <c r="D260" s="84"/>
      <c r="E260" s="88">
        <v>0.12</v>
      </c>
      <c r="F260" s="86" t="s">
        <v>1163</v>
      </c>
      <c r="G260" s="470"/>
      <c r="H260" s="470">
        <f>TRUNC(E260*G260,0)</f>
        <v>0</v>
      </c>
      <c r="I260" s="470">
        <f>SUMIF('노임(2015)'!$B$4:$B$87,B260,'노임(2015)'!$C$4:$C$87)+SUMIF('노임(2015)'!$E$4:$E$87,B260,'노임(2015)'!$F$4:$F$87)</f>
        <v>142556</v>
      </c>
      <c r="J260" s="470">
        <f>TRUNC(I260*E260,0)</f>
        <v>17106</v>
      </c>
      <c r="K260" s="470"/>
      <c r="L260" s="470">
        <f>TRUNC(K260*E260,0)</f>
        <v>0</v>
      </c>
      <c r="M260" s="470">
        <f t="shared" si="102"/>
        <v>142556</v>
      </c>
      <c r="N260" s="470">
        <f t="shared" si="102"/>
        <v>17106</v>
      </c>
      <c r="O260" s="457"/>
      <c r="P260" s="767"/>
    </row>
    <row r="261" spans="2:17" ht="15.2" customHeight="1">
      <c r="B261" s="766" t="s">
        <v>1162</v>
      </c>
      <c r="C261" s="766"/>
      <c r="D261" s="84"/>
      <c r="E261" s="87">
        <v>0.15</v>
      </c>
      <c r="F261" s="86" t="s">
        <v>1163</v>
      </c>
      <c r="G261" s="470"/>
      <c r="H261" s="470">
        <f>TRUNC(E261*G261,0)</f>
        <v>0</v>
      </c>
      <c r="I261" s="470">
        <f>SUMIF('노임(2015)'!$B$4:$B$87,B261,'노임(2015)'!$C$4:$C$87)+SUMIF('노임(2015)'!$E$4:$E$87,B261,'노임(2015)'!$F$4:$F$87)</f>
        <v>89566</v>
      </c>
      <c r="J261" s="470">
        <f>TRUNC(I261*E261,0)</f>
        <v>13434</v>
      </c>
      <c r="K261" s="470"/>
      <c r="L261" s="470">
        <f>TRUNC(K261*E261,0)</f>
        <v>0</v>
      </c>
      <c r="M261" s="470">
        <f t="shared" si="102"/>
        <v>89566</v>
      </c>
      <c r="N261" s="470">
        <f t="shared" si="102"/>
        <v>13434</v>
      </c>
      <c r="O261" s="457"/>
      <c r="P261" s="767"/>
    </row>
    <row r="262" spans="2:17" ht="15.2" customHeight="1">
      <c r="B262" s="766" t="s">
        <v>855</v>
      </c>
      <c r="C262" s="766"/>
      <c r="D262" s="84"/>
      <c r="E262" s="87"/>
      <c r="F262" s="86"/>
      <c r="G262" s="470"/>
      <c r="H262" s="470">
        <f>SUM(H259:H261)</f>
        <v>0</v>
      </c>
      <c r="I262" s="470"/>
      <c r="J262" s="470">
        <f>SUM(J259:J261)</f>
        <v>30540</v>
      </c>
      <c r="K262" s="470"/>
      <c r="L262" s="470">
        <f>SUM(L259:L261)</f>
        <v>0</v>
      </c>
      <c r="M262" s="470"/>
      <c r="N262" s="470">
        <f>SUM(N259:N261)</f>
        <v>30540</v>
      </c>
      <c r="O262" s="457"/>
      <c r="P262" s="767"/>
      <c r="Q262" s="80" t="s">
        <v>3244</v>
      </c>
    </row>
    <row r="263" spans="2:17" ht="15.2" customHeight="1">
      <c r="B263" s="83">
        <f>P263</f>
        <v>39</v>
      </c>
      <c r="C263" s="770" t="s">
        <v>899</v>
      </c>
      <c r="D263" s="770"/>
      <c r="E263" s="770"/>
      <c r="F263" s="771"/>
      <c r="G263" s="470"/>
      <c r="H263" s="470"/>
      <c r="I263" s="470"/>
      <c r="J263" s="470"/>
      <c r="K263" s="470"/>
      <c r="L263" s="470"/>
      <c r="M263" s="470"/>
      <c r="N263" s="470"/>
      <c r="O263" s="457"/>
      <c r="P263" s="767">
        <f>MAX($P$5:P262)+1</f>
        <v>39</v>
      </c>
      <c r="Q263" s="80" t="s">
        <v>3243</v>
      </c>
    </row>
    <row r="264" spans="2:17" ht="15.2" customHeight="1">
      <c r="B264" s="766" t="s">
        <v>1729</v>
      </c>
      <c r="C264" s="766"/>
      <c r="D264" s="84"/>
      <c r="E264" s="87">
        <v>1.02</v>
      </c>
      <c r="F264" s="86" t="s">
        <v>1168</v>
      </c>
      <c r="G264" s="470"/>
      <c r="H264" s="470">
        <f>TRUNC(E264*G264,0)</f>
        <v>0</v>
      </c>
      <c r="I264" s="470"/>
      <c r="J264" s="470">
        <f>TRUNC(I264*E264,0)</f>
        <v>0</v>
      </c>
      <c r="K264" s="470"/>
      <c r="L264" s="470">
        <f>TRUNC(K264*E264,0)</f>
        <v>0</v>
      </c>
      <c r="M264" s="470">
        <f t="shared" ref="M264:N266" si="103">G264+I264+K264</f>
        <v>0</v>
      </c>
      <c r="N264" s="470">
        <f t="shared" si="103"/>
        <v>0</v>
      </c>
      <c r="O264" s="457"/>
      <c r="P264" s="767"/>
    </row>
    <row r="265" spans="2:17" ht="15.2" customHeight="1">
      <c r="B265" s="766" t="s">
        <v>1715</v>
      </c>
      <c r="C265" s="766"/>
      <c r="D265" s="84"/>
      <c r="E265" s="88">
        <v>0.24</v>
      </c>
      <c r="F265" s="86" t="s">
        <v>1163</v>
      </c>
      <c r="G265" s="470"/>
      <c r="H265" s="470">
        <f>TRUNC(E265*G265,0)</f>
        <v>0</v>
      </c>
      <c r="I265" s="470">
        <f>SUMIF('노임(2015)'!$B$4:$B$87,B265,'노임(2015)'!$C$4:$C$87)+SUMIF('노임(2015)'!$E$4:$E$87,B265,'노임(2015)'!$F$4:$F$87)</f>
        <v>142556</v>
      </c>
      <c r="J265" s="470">
        <f>TRUNC(I265*E265,0)</f>
        <v>34213</v>
      </c>
      <c r="K265" s="470"/>
      <c r="L265" s="470">
        <f>TRUNC(K265*E265,0)</f>
        <v>0</v>
      </c>
      <c r="M265" s="470">
        <f t="shared" si="103"/>
        <v>142556</v>
      </c>
      <c r="N265" s="470">
        <f t="shared" si="103"/>
        <v>34213</v>
      </c>
      <c r="O265" s="457"/>
      <c r="P265" s="767"/>
    </row>
    <row r="266" spans="2:17" ht="15.2" customHeight="1">
      <c r="B266" s="766" t="s">
        <v>1162</v>
      </c>
      <c r="C266" s="766"/>
      <c r="D266" s="84"/>
      <c r="E266" s="87">
        <v>0.3</v>
      </c>
      <c r="F266" s="86" t="s">
        <v>1163</v>
      </c>
      <c r="G266" s="470"/>
      <c r="H266" s="470">
        <f>TRUNC(E266*G266,0)</f>
        <v>0</v>
      </c>
      <c r="I266" s="470">
        <f>SUMIF('노임(2015)'!$B$4:$B$87,B266,'노임(2015)'!$C$4:$C$87)+SUMIF('노임(2015)'!$E$4:$E$87,B266,'노임(2015)'!$F$4:$F$87)</f>
        <v>89566</v>
      </c>
      <c r="J266" s="470">
        <f>TRUNC(I266*E266,0)</f>
        <v>26869</v>
      </c>
      <c r="K266" s="470"/>
      <c r="L266" s="470">
        <f>TRUNC(K266*E266,0)</f>
        <v>0</v>
      </c>
      <c r="M266" s="470">
        <f t="shared" si="103"/>
        <v>89566</v>
      </c>
      <c r="N266" s="470">
        <f t="shared" si="103"/>
        <v>26869</v>
      </c>
      <c r="O266" s="457"/>
      <c r="P266" s="767"/>
    </row>
    <row r="267" spans="2:17" ht="15.2" customHeight="1">
      <c r="B267" s="766" t="s">
        <v>855</v>
      </c>
      <c r="C267" s="766"/>
      <c r="D267" s="84"/>
      <c r="E267" s="87"/>
      <c r="F267" s="86"/>
      <c r="G267" s="470"/>
      <c r="H267" s="470">
        <f>SUM(H264:H266)</f>
        <v>0</v>
      </c>
      <c r="I267" s="470"/>
      <c r="J267" s="470">
        <f>SUM(J264:J266)</f>
        <v>61082</v>
      </c>
      <c r="K267" s="470"/>
      <c r="L267" s="470">
        <f>SUM(L264:L266)</f>
        <v>0</v>
      </c>
      <c r="M267" s="470"/>
      <c r="N267" s="470">
        <f>SUM(N264:N266)</f>
        <v>61082</v>
      </c>
      <c r="O267" s="457"/>
      <c r="P267" s="767"/>
      <c r="Q267" s="80" t="s">
        <v>3244</v>
      </c>
    </row>
    <row r="268" spans="2:17" ht="15.2" customHeight="1">
      <c r="B268" s="83">
        <f>P268</f>
        <v>40</v>
      </c>
      <c r="C268" s="770" t="s">
        <v>900</v>
      </c>
      <c r="D268" s="770"/>
      <c r="E268" s="770"/>
      <c r="F268" s="771"/>
      <c r="G268" s="470"/>
      <c r="H268" s="470"/>
      <c r="I268" s="470"/>
      <c r="J268" s="470"/>
      <c r="K268" s="470"/>
      <c r="L268" s="470"/>
      <c r="M268" s="470"/>
      <c r="N268" s="470"/>
      <c r="O268" s="457"/>
      <c r="P268" s="767">
        <f>MAX($P$5:P267)+1</f>
        <v>40</v>
      </c>
      <c r="Q268" s="80" t="s">
        <v>3243</v>
      </c>
    </row>
    <row r="269" spans="2:17" ht="15.2" customHeight="1">
      <c r="B269" s="766" t="s">
        <v>1729</v>
      </c>
      <c r="C269" s="766"/>
      <c r="D269" s="84"/>
      <c r="E269" s="87">
        <v>1.01</v>
      </c>
      <c r="F269" s="86" t="s">
        <v>1168</v>
      </c>
      <c r="G269" s="470"/>
      <c r="H269" s="470">
        <f>TRUNC(E269*G269,0)</f>
        <v>0</v>
      </c>
      <c r="I269" s="470"/>
      <c r="J269" s="470">
        <f>TRUNC(I269*E269,0)</f>
        <v>0</v>
      </c>
      <c r="K269" s="470"/>
      <c r="L269" s="470">
        <f>TRUNC(K269*E269,0)</f>
        <v>0</v>
      </c>
      <c r="M269" s="470">
        <f t="shared" ref="M269:N271" si="104">G269+I269+K269</f>
        <v>0</v>
      </c>
      <c r="N269" s="470">
        <f t="shared" si="104"/>
        <v>0</v>
      </c>
      <c r="O269" s="457"/>
      <c r="P269" s="767"/>
    </row>
    <row r="270" spans="2:17" ht="15.2" customHeight="1">
      <c r="B270" s="766" t="s">
        <v>1715</v>
      </c>
      <c r="C270" s="766"/>
      <c r="D270" s="84"/>
      <c r="E270" s="88">
        <v>0.14000000000000001</v>
      </c>
      <c r="F270" s="86" t="s">
        <v>1163</v>
      </c>
      <c r="G270" s="470"/>
      <c r="H270" s="470">
        <f>TRUNC(E270*G270,0)</f>
        <v>0</v>
      </c>
      <c r="I270" s="470">
        <f>SUMIF('노임(2015)'!$B$4:$B$87,B270,'노임(2015)'!$C$4:$C$87)+SUMIF('노임(2015)'!$E$4:$E$87,B270,'노임(2015)'!$F$4:$F$87)</f>
        <v>142556</v>
      </c>
      <c r="J270" s="470">
        <f>TRUNC(I270*E270,0)</f>
        <v>19957</v>
      </c>
      <c r="K270" s="470"/>
      <c r="L270" s="470">
        <f>TRUNC(K270*E270,0)</f>
        <v>0</v>
      </c>
      <c r="M270" s="470">
        <f t="shared" si="104"/>
        <v>142556</v>
      </c>
      <c r="N270" s="470">
        <f t="shared" si="104"/>
        <v>19957</v>
      </c>
      <c r="O270" s="457"/>
      <c r="P270" s="767"/>
    </row>
    <row r="271" spans="2:17" ht="15.2" customHeight="1">
      <c r="B271" s="766" t="s">
        <v>1162</v>
      </c>
      <c r="C271" s="766"/>
      <c r="D271" s="84"/>
      <c r="E271" s="87">
        <v>0.16</v>
      </c>
      <c r="F271" s="86" t="s">
        <v>1163</v>
      </c>
      <c r="G271" s="470"/>
      <c r="H271" s="470">
        <f>TRUNC(E271*G271,0)</f>
        <v>0</v>
      </c>
      <c r="I271" s="470">
        <f>SUMIF('노임(2015)'!$B$4:$B$87,B271,'노임(2015)'!$C$4:$C$87)+SUMIF('노임(2015)'!$E$4:$E$87,B271,'노임(2015)'!$F$4:$F$87)</f>
        <v>89566</v>
      </c>
      <c r="J271" s="470">
        <f>TRUNC(I271*E271,0)</f>
        <v>14330</v>
      </c>
      <c r="K271" s="470"/>
      <c r="L271" s="470">
        <f>TRUNC(K271*E271,0)</f>
        <v>0</v>
      </c>
      <c r="M271" s="470">
        <f t="shared" si="104"/>
        <v>89566</v>
      </c>
      <c r="N271" s="470">
        <f t="shared" si="104"/>
        <v>14330</v>
      </c>
      <c r="O271" s="457"/>
      <c r="P271" s="767"/>
    </row>
    <row r="272" spans="2:17" ht="15.2" customHeight="1">
      <c r="B272" s="766" t="s">
        <v>855</v>
      </c>
      <c r="C272" s="766"/>
      <c r="D272" s="84"/>
      <c r="E272" s="87"/>
      <c r="F272" s="86"/>
      <c r="G272" s="470"/>
      <c r="H272" s="470">
        <f>SUM(H269:H271)</f>
        <v>0</v>
      </c>
      <c r="I272" s="470"/>
      <c r="J272" s="470">
        <f>SUM(J269:J271)</f>
        <v>34287</v>
      </c>
      <c r="K272" s="470"/>
      <c r="L272" s="470">
        <f>SUM(L269:L271)</f>
        <v>0</v>
      </c>
      <c r="M272" s="470"/>
      <c r="N272" s="470">
        <f>SUM(N269:N271)</f>
        <v>34287</v>
      </c>
      <c r="O272" s="457"/>
      <c r="P272" s="767"/>
      <c r="Q272" s="80" t="s">
        <v>3244</v>
      </c>
    </row>
    <row r="273" spans="2:17" ht="15.2" customHeight="1">
      <c r="B273" s="83">
        <f>P273</f>
        <v>41</v>
      </c>
      <c r="C273" s="770" t="s">
        <v>901</v>
      </c>
      <c r="D273" s="770"/>
      <c r="E273" s="770"/>
      <c r="F273" s="771"/>
      <c r="G273" s="470"/>
      <c r="H273" s="470"/>
      <c r="I273" s="470"/>
      <c r="J273" s="470"/>
      <c r="K273" s="470"/>
      <c r="L273" s="470"/>
      <c r="M273" s="470"/>
      <c r="N273" s="470"/>
      <c r="O273" s="457"/>
      <c r="P273" s="767">
        <f>MAX($P$5:P272)+1</f>
        <v>41</v>
      </c>
      <c r="Q273" s="80" t="s">
        <v>3243</v>
      </c>
    </row>
    <row r="274" spans="2:17" ht="15.2" customHeight="1">
      <c r="B274" s="766" t="s">
        <v>1729</v>
      </c>
      <c r="C274" s="766"/>
      <c r="D274" s="84" t="s">
        <v>902</v>
      </c>
      <c r="E274" s="87">
        <v>1.02</v>
      </c>
      <c r="F274" s="86" t="s">
        <v>1168</v>
      </c>
      <c r="G274" s="470"/>
      <c r="H274" s="470">
        <f>TRUNC(E274*G274,0)</f>
        <v>0</v>
      </c>
      <c r="I274" s="470"/>
      <c r="J274" s="470">
        <f>TRUNC(I274*E274,0)</f>
        <v>0</v>
      </c>
      <c r="K274" s="470"/>
      <c r="L274" s="470">
        <f>TRUNC(K274*E274,0)</f>
        <v>0</v>
      </c>
      <c r="M274" s="470">
        <f t="shared" ref="M274:N276" si="105">G274+I274+K274</f>
        <v>0</v>
      </c>
      <c r="N274" s="470">
        <f t="shared" si="105"/>
        <v>0</v>
      </c>
      <c r="O274" s="457"/>
      <c r="P274" s="767"/>
    </row>
    <row r="275" spans="2:17" ht="15.2" customHeight="1">
      <c r="B275" s="766" t="s">
        <v>1715</v>
      </c>
      <c r="C275" s="766"/>
      <c r="D275" s="84"/>
      <c r="E275" s="88">
        <v>4.3999999999999997E-2</v>
      </c>
      <c r="F275" s="86" t="s">
        <v>1163</v>
      </c>
      <c r="G275" s="470"/>
      <c r="H275" s="470">
        <f>TRUNC(E275*G275,0)</f>
        <v>0</v>
      </c>
      <c r="I275" s="470">
        <f>SUMIF('노임(2015)'!$B$4:$B$87,B275,'노임(2015)'!$C$4:$C$87)+SUMIF('노임(2015)'!$E$4:$E$87,B275,'노임(2015)'!$F$4:$F$87)</f>
        <v>142556</v>
      </c>
      <c r="J275" s="470">
        <f>TRUNC(I275*E275,0)</f>
        <v>6272</v>
      </c>
      <c r="K275" s="470"/>
      <c r="L275" s="470">
        <f>TRUNC(K275*E275,0)</f>
        <v>0</v>
      </c>
      <c r="M275" s="470">
        <f t="shared" si="105"/>
        <v>142556</v>
      </c>
      <c r="N275" s="470">
        <f t="shared" si="105"/>
        <v>6272</v>
      </c>
      <c r="O275" s="457"/>
      <c r="P275" s="767"/>
    </row>
    <row r="276" spans="2:17" ht="15.2" customHeight="1">
      <c r="B276" s="766" t="s">
        <v>1162</v>
      </c>
      <c r="C276" s="766"/>
      <c r="D276" s="84"/>
      <c r="E276" s="88">
        <v>2.1000000000000001E-2</v>
      </c>
      <c r="F276" s="86" t="s">
        <v>1163</v>
      </c>
      <c r="G276" s="470"/>
      <c r="H276" s="470">
        <f>TRUNC(E276*G276,0)</f>
        <v>0</v>
      </c>
      <c r="I276" s="470">
        <f>SUMIF('노임(2015)'!$B$4:$B$87,B276,'노임(2015)'!$C$4:$C$87)+SUMIF('노임(2015)'!$E$4:$E$87,B276,'노임(2015)'!$F$4:$F$87)</f>
        <v>89566</v>
      </c>
      <c r="J276" s="470">
        <f>TRUNC(I276*E276,0)</f>
        <v>1880</v>
      </c>
      <c r="K276" s="470"/>
      <c r="L276" s="470">
        <f>TRUNC(K276*E276,0)</f>
        <v>0</v>
      </c>
      <c r="M276" s="470">
        <f t="shared" si="105"/>
        <v>89566</v>
      </c>
      <c r="N276" s="470">
        <f t="shared" si="105"/>
        <v>1880</v>
      </c>
      <c r="O276" s="457"/>
      <c r="P276" s="767"/>
    </row>
    <row r="277" spans="2:17" ht="15.2" customHeight="1">
      <c r="B277" s="766" t="s">
        <v>2223</v>
      </c>
      <c r="C277" s="766"/>
      <c r="D277" s="84" t="s">
        <v>1319</v>
      </c>
      <c r="E277" s="88">
        <v>4.7E-2</v>
      </c>
      <c r="F277" s="86" t="s">
        <v>453</v>
      </c>
      <c r="G277" s="470">
        <f>중기사용료!$M$1309</f>
        <v>26038</v>
      </c>
      <c r="H277" s="470">
        <f>TRUNC(E277*G277,0)</f>
        <v>1223</v>
      </c>
      <c r="I277" s="470">
        <f>중기사용료!$M$1303</f>
        <v>27168</v>
      </c>
      <c r="J277" s="470">
        <f>TRUNC(I277*E277,0)</f>
        <v>1276</v>
      </c>
      <c r="K277" s="470">
        <f>중기사용료!$M$1297</f>
        <v>55150</v>
      </c>
      <c r="L277" s="470">
        <f>TRUNC(K277*E277,0)</f>
        <v>2592</v>
      </c>
      <c r="M277" s="470">
        <f>G277+I277+K277</f>
        <v>108356</v>
      </c>
      <c r="N277" s="470">
        <f>H277+J277+L277</f>
        <v>5091</v>
      </c>
      <c r="O277" s="460">
        <f>중기사용료!$A$1294</f>
        <v>69</v>
      </c>
      <c r="P277" s="767"/>
    </row>
    <row r="278" spans="2:17" ht="15.2" customHeight="1">
      <c r="B278" s="766" t="s">
        <v>1027</v>
      </c>
      <c r="C278" s="766"/>
      <c r="D278" s="84" t="s">
        <v>903</v>
      </c>
      <c r="E278" s="88">
        <v>4.7E-2</v>
      </c>
      <c r="F278" s="86" t="s">
        <v>453</v>
      </c>
      <c r="G278" s="470">
        <f>중기사용료!$M$1347</f>
        <v>1456</v>
      </c>
      <c r="H278" s="470">
        <f>TRUNC(E278*G278,0)</f>
        <v>68</v>
      </c>
      <c r="I278" s="470">
        <f>중기사용료!$M$1341</f>
        <v>0</v>
      </c>
      <c r="J278" s="470">
        <f>TRUNC(I278*E278,0)</f>
        <v>0</v>
      </c>
      <c r="K278" s="470">
        <f>중기사용료!$M$1335</f>
        <v>158</v>
      </c>
      <c r="L278" s="470">
        <f>TRUNC(K278*E278,0)</f>
        <v>7</v>
      </c>
      <c r="M278" s="470">
        <f>G278+I278+K278</f>
        <v>1614</v>
      </c>
      <c r="N278" s="470">
        <f>H278+J278+L278</f>
        <v>75</v>
      </c>
      <c r="O278" s="460">
        <f>중기사용료!$A$1332</f>
        <v>71</v>
      </c>
      <c r="P278" s="767"/>
    </row>
    <row r="279" spans="2:17" ht="15.2" customHeight="1">
      <c r="B279" s="766" t="s">
        <v>855</v>
      </c>
      <c r="C279" s="766"/>
      <c r="D279" s="84"/>
      <c r="E279" s="87"/>
      <c r="F279" s="86"/>
      <c r="G279" s="470"/>
      <c r="H279" s="470">
        <f>SUM(H274:H278)</f>
        <v>1291</v>
      </c>
      <c r="I279" s="470"/>
      <c r="J279" s="470">
        <f>SUM(J274:J278)</f>
        <v>9428</v>
      </c>
      <c r="K279" s="470"/>
      <c r="L279" s="470">
        <f>SUM(L274:L278)</f>
        <v>2599</v>
      </c>
      <c r="M279" s="470"/>
      <c r="N279" s="470">
        <f>SUM(N274:N278)</f>
        <v>13318</v>
      </c>
      <c r="O279" s="457"/>
      <c r="P279" s="767"/>
      <c r="Q279" s="80" t="s">
        <v>3244</v>
      </c>
    </row>
    <row r="280" spans="2:17" ht="15.2" customHeight="1">
      <c r="B280" s="83">
        <f>P280</f>
        <v>42</v>
      </c>
      <c r="C280" s="770" t="s">
        <v>904</v>
      </c>
      <c r="D280" s="770"/>
      <c r="E280" s="770"/>
      <c r="F280" s="771"/>
      <c r="G280" s="470"/>
      <c r="H280" s="470"/>
      <c r="I280" s="470"/>
      <c r="J280" s="470"/>
      <c r="K280" s="470"/>
      <c r="L280" s="470"/>
      <c r="M280" s="470"/>
      <c r="N280" s="470"/>
      <c r="O280" s="457"/>
      <c r="P280" s="767">
        <f>MAX($P$5:P279)+1</f>
        <v>42</v>
      </c>
      <c r="Q280" s="80" t="s">
        <v>3243</v>
      </c>
    </row>
    <row r="281" spans="2:17" ht="15.2" customHeight="1">
      <c r="B281" s="766" t="s">
        <v>1729</v>
      </c>
      <c r="C281" s="766"/>
      <c r="D281" s="84" t="s">
        <v>902</v>
      </c>
      <c r="E281" s="87">
        <v>1.02</v>
      </c>
      <c r="F281" s="86" t="s">
        <v>1168</v>
      </c>
      <c r="G281" s="470"/>
      <c r="H281" s="470">
        <f>TRUNC(E281*G281,0)</f>
        <v>0</v>
      </c>
      <c r="I281" s="470"/>
      <c r="J281" s="470">
        <f>TRUNC(I281*E281,0)</f>
        <v>0</v>
      </c>
      <c r="K281" s="470"/>
      <c r="L281" s="470">
        <f>TRUNC(K281*E281,0)</f>
        <v>0</v>
      </c>
      <c r="M281" s="470">
        <f t="shared" ref="M281:N285" si="106">G281+I281+K281</f>
        <v>0</v>
      </c>
      <c r="N281" s="470">
        <f t="shared" si="106"/>
        <v>0</v>
      </c>
      <c r="O281" s="457"/>
      <c r="P281" s="767"/>
    </row>
    <row r="282" spans="2:17" ht="15.2" customHeight="1">
      <c r="B282" s="766" t="s">
        <v>1715</v>
      </c>
      <c r="C282" s="766"/>
      <c r="D282" s="84"/>
      <c r="E282" s="92">
        <v>4.3999999999999997E-2</v>
      </c>
      <c r="F282" s="86" t="s">
        <v>1163</v>
      </c>
      <c r="G282" s="470"/>
      <c r="H282" s="470">
        <f>TRUNC(E282*G282,0)</f>
        <v>0</v>
      </c>
      <c r="I282" s="470">
        <f>SUMIF('노임(2015)'!$B$4:$B$87,B282,'노임(2015)'!$C$4:$C$87)+SUMIF('노임(2015)'!$E$4:$E$87,B282,'노임(2015)'!$F$4:$F$87)</f>
        <v>142556</v>
      </c>
      <c r="J282" s="470">
        <f>TRUNC(I282*E282,0)</f>
        <v>6272</v>
      </c>
      <c r="K282" s="470"/>
      <c r="L282" s="470">
        <f>TRUNC(K282*E282,0)</f>
        <v>0</v>
      </c>
      <c r="M282" s="470">
        <f t="shared" si="106"/>
        <v>142556</v>
      </c>
      <c r="N282" s="470">
        <f t="shared" si="106"/>
        <v>6272</v>
      </c>
      <c r="O282" s="457"/>
      <c r="P282" s="767"/>
    </row>
    <row r="283" spans="2:17" ht="15.2" customHeight="1">
      <c r="B283" s="766" t="s">
        <v>1162</v>
      </c>
      <c r="C283" s="766"/>
      <c r="D283" s="84"/>
      <c r="E283" s="92">
        <v>2.1000000000000001E-2</v>
      </c>
      <c r="F283" s="86" t="s">
        <v>1163</v>
      </c>
      <c r="G283" s="470"/>
      <c r="H283" s="470">
        <f>TRUNC(E283*G283,0)</f>
        <v>0</v>
      </c>
      <c r="I283" s="470">
        <f>SUMIF('노임(2015)'!$B$4:$B$87,B283,'노임(2015)'!$C$4:$C$87)+SUMIF('노임(2015)'!$E$4:$E$87,B283,'노임(2015)'!$F$4:$F$87)</f>
        <v>89566</v>
      </c>
      <c r="J283" s="470">
        <f>TRUNC(I283*E283,0)</f>
        <v>1880</v>
      </c>
      <c r="K283" s="470"/>
      <c r="L283" s="470">
        <f>TRUNC(K283*E283,0)</f>
        <v>0</v>
      </c>
      <c r="M283" s="470">
        <f t="shared" si="106"/>
        <v>89566</v>
      </c>
      <c r="N283" s="470">
        <f t="shared" si="106"/>
        <v>1880</v>
      </c>
      <c r="O283" s="457"/>
      <c r="P283" s="767"/>
    </row>
    <row r="284" spans="2:17" ht="15.2" customHeight="1">
      <c r="B284" s="766" t="s">
        <v>2223</v>
      </c>
      <c r="C284" s="766"/>
      <c r="D284" s="84" t="s">
        <v>1319</v>
      </c>
      <c r="E284" s="92">
        <v>3.3000000000000002E-2</v>
      </c>
      <c r="F284" s="86" t="s">
        <v>453</v>
      </c>
      <c r="G284" s="470">
        <f>중기사용료!$M$1309</f>
        <v>26038</v>
      </c>
      <c r="H284" s="470">
        <f>TRUNC(E284*G284,0)</f>
        <v>859</v>
      </c>
      <c r="I284" s="470">
        <f>중기사용료!$M$1303</f>
        <v>27168</v>
      </c>
      <c r="J284" s="470">
        <f>TRUNC(I284*E284,0)</f>
        <v>896</v>
      </c>
      <c r="K284" s="470">
        <f>중기사용료!$M$1297</f>
        <v>55150</v>
      </c>
      <c r="L284" s="470">
        <f>TRUNC(K284*E284,0)</f>
        <v>1819</v>
      </c>
      <c r="M284" s="470">
        <f t="shared" si="106"/>
        <v>108356</v>
      </c>
      <c r="N284" s="470">
        <f t="shared" si="106"/>
        <v>3574</v>
      </c>
      <c r="O284" s="460">
        <f>중기사용료!$A$1294</f>
        <v>69</v>
      </c>
      <c r="P284" s="767"/>
    </row>
    <row r="285" spans="2:17" ht="15.2" customHeight="1">
      <c r="B285" s="766" t="s">
        <v>1027</v>
      </c>
      <c r="C285" s="766"/>
      <c r="D285" s="84" t="s">
        <v>903</v>
      </c>
      <c r="E285" s="92">
        <v>3.3000000000000002E-2</v>
      </c>
      <c r="F285" s="86" t="s">
        <v>453</v>
      </c>
      <c r="G285" s="470">
        <f>중기사용료!$M$1347</f>
        <v>1456</v>
      </c>
      <c r="H285" s="470">
        <f>TRUNC(E285*G285,0)</f>
        <v>48</v>
      </c>
      <c r="I285" s="470">
        <f>중기사용료!$M$1341</f>
        <v>0</v>
      </c>
      <c r="J285" s="470">
        <f>TRUNC(I285*E285,0)</f>
        <v>0</v>
      </c>
      <c r="K285" s="470">
        <f>중기사용료!$M$1335</f>
        <v>158</v>
      </c>
      <c r="L285" s="470">
        <f>TRUNC(K285*E285,0)</f>
        <v>5</v>
      </c>
      <c r="M285" s="470">
        <f t="shared" si="106"/>
        <v>1614</v>
      </c>
      <c r="N285" s="470">
        <f t="shared" si="106"/>
        <v>53</v>
      </c>
      <c r="O285" s="460">
        <f>중기사용료!$A$1332</f>
        <v>71</v>
      </c>
      <c r="P285" s="767"/>
    </row>
    <row r="286" spans="2:17" ht="15.2" customHeight="1">
      <c r="B286" s="766" t="s">
        <v>855</v>
      </c>
      <c r="C286" s="766"/>
      <c r="D286" s="84"/>
      <c r="E286" s="87"/>
      <c r="F286" s="86"/>
      <c r="G286" s="470"/>
      <c r="H286" s="470">
        <f>SUM(H281:H285)</f>
        <v>907</v>
      </c>
      <c r="I286" s="470"/>
      <c r="J286" s="470">
        <f>SUM(J281:J285)</f>
        <v>9048</v>
      </c>
      <c r="K286" s="470"/>
      <c r="L286" s="470">
        <f>SUM(L281:L285)</f>
        <v>1824</v>
      </c>
      <c r="M286" s="470"/>
      <c r="N286" s="470">
        <f>SUM(N281:N285)</f>
        <v>11779</v>
      </c>
      <c r="O286" s="459"/>
      <c r="P286" s="767"/>
      <c r="Q286" s="80" t="s">
        <v>3244</v>
      </c>
    </row>
    <row r="287" spans="2:17" ht="15.2" customHeight="1">
      <c r="B287" s="83">
        <f>P287</f>
        <v>43</v>
      </c>
      <c r="C287" s="770" t="s">
        <v>905</v>
      </c>
      <c r="D287" s="770"/>
      <c r="E287" s="770"/>
      <c r="F287" s="771"/>
      <c r="G287" s="470"/>
      <c r="H287" s="470"/>
      <c r="I287" s="470"/>
      <c r="J287" s="470"/>
      <c r="K287" s="470"/>
      <c r="L287" s="470"/>
      <c r="M287" s="470"/>
      <c r="N287" s="470"/>
      <c r="O287" s="459"/>
      <c r="P287" s="767">
        <f>MAX($P$5:P286)+1</f>
        <v>43</v>
      </c>
      <c r="Q287" s="80" t="s">
        <v>3243</v>
      </c>
    </row>
    <row r="288" spans="2:17" ht="15.2" customHeight="1">
      <c r="B288" s="766" t="s">
        <v>1729</v>
      </c>
      <c r="C288" s="766"/>
      <c r="D288" s="84" t="s">
        <v>902</v>
      </c>
      <c r="E288" s="87">
        <v>1.02</v>
      </c>
      <c r="F288" s="86" t="s">
        <v>1168</v>
      </c>
      <c r="G288" s="470"/>
      <c r="H288" s="470">
        <f>TRUNC(E288*G288,0)</f>
        <v>0</v>
      </c>
      <c r="I288" s="470"/>
      <c r="J288" s="470">
        <f>TRUNC(I288*E288,0)</f>
        <v>0</v>
      </c>
      <c r="K288" s="470"/>
      <c r="L288" s="470">
        <f>TRUNC(K288*E288,0)</f>
        <v>0</v>
      </c>
      <c r="M288" s="470">
        <f t="shared" ref="M288:N292" si="107">G288+I288+K288</f>
        <v>0</v>
      </c>
      <c r="N288" s="470">
        <f t="shared" si="107"/>
        <v>0</v>
      </c>
      <c r="O288" s="459"/>
      <c r="P288" s="767"/>
    </row>
    <row r="289" spans="2:17" ht="15.2" customHeight="1">
      <c r="B289" s="766" t="s">
        <v>1715</v>
      </c>
      <c r="C289" s="766"/>
      <c r="D289" s="84"/>
      <c r="E289" s="92">
        <v>4.3999999999999997E-2</v>
      </c>
      <c r="F289" s="86" t="s">
        <v>1163</v>
      </c>
      <c r="G289" s="470"/>
      <c r="H289" s="470">
        <f>TRUNC(E289*G289,0)</f>
        <v>0</v>
      </c>
      <c r="I289" s="470">
        <f>SUMIF('노임(2015)'!$B$4:$B$87,B289,'노임(2015)'!$C$4:$C$87)+SUMIF('노임(2015)'!$E$4:$E$87,B289,'노임(2015)'!$F$4:$F$87)</f>
        <v>142556</v>
      </c>
      <c r="J289" s="470">
        <f>TRUNC(I289*E289,0)</f>
        <v>6272</v>
      </c>
      <c r="K289" s="470"/>
      <c r="L289" s="470">
        <f>TRUNC(K289*E289,0)</f>
        <v>0</v>
      </c>
      <c r="M289" s="470">
        <f t="shared" si="107"/>
        <v>142556</v>
      </c>
      <c r="N289" s="470">
        <f t="shared" si="107"/>
        <v>6272</v>
      </c>
      <c r="O289" s="459"/>
      <c r="P289" s="767"/>
    </row>
    <row r="290" spans="2:17" ht="15.2" customHeight="1">
      <c r="B290" s="766" t="s">
        <v>1162</v>
      </c>
      <c r="C290" s="766"/>
      <c r="D290" s="84"/>
      <c r="E290" s="92">
        <v>2.1000000000000001E-2</v>
      </c>
      <c r="F290" s="86" t="s">
        <v>1163</v>
      </c>
      <c r="G290" s="470"/>
      <c r="H290" s="470">
        <f>TRUNC(E290*G290,0)</f>
        <v>0</v>
      </c>
      <c r="I290" s="470">
        <f>SUMIF('노임(2015)'!$B$4:$B$87,B290,'노임(2015)'!$C$4:$C$87)+SUMIF('노임(2015)'!$E$4:$E$87,B290,'노임(2015)'!$F$4:$F$87)</f>
        <v>89566</v>
      </c>
      <c r="J290" s="470">
        <f>TRUNC(I290*E290,0)</f>
        <v>1880</v>
      </c>
      <c r="K290" s="470"/>
      <c r="L290" s="470">
        <f>TRUNC(K290*E290,0)</f>
        <v>0</v>
      </c>
      <c r="M290" s="470">
        <f t="shared" si="107"/>
        <v>89566</v>
      </c>
      <c r="N290" s="470">
        <f t="shared" si="107"/>
        <v>1880</v>
      </c>
      <c r="O290" s="459"/>
      <c r="P290" s="767"/>
    </row>
    <row r="291" spans="2:17" ht="15.2" customHeight="1">
      <c r="B291" s="766" t="s">
        <v>2223</v>
      </c>
      <c r="C291" s="766"/>
      <c r="D291" s="84" t="s">
        <v>1319</v>
      </c>
      <c r="E291" s="92">
        <v>2.8000000000000001E-2</v>
      </c>
      <c r="F291" s="86" t="s">
        <v>453</v>
      </c>
      <c r="G291" s="470">
        <f>중기사용료!$M$1309</f>
        <v>26038</v>
      </c>
      <c r="H291" s="470">
        <f>TRUNC(E291*G291,0)</f>
        <v>729</v>
      </c>
      <c r="I291" s="470">
        <f>중기사용료!$M$1303</f>
        <v>27168</v>
      </c>
      <c r="J291" s="470">
        <f>TRUNC(I291*E291,0)</f>
        <v>760</v>
      </c>
      <c r="K291" s="470">
        <f>중기사용료!$M$1297</f>
        <v>55150</v>
      </c>
      <c r="L291" s="470">
        <f>TRUNC(K291*E291,0)</f>
        <v>1544</v>
      </c>
      <c r="M291" s="470">
        <f t="shared" si="107"/>
        <v>108356</v>
      </c>
      <c r="N291" s="470">
        <f t="shared" si="107"/>
        <v>3033</v>
      </c>
      <c r="O291" s="460">
        <f>중기사용료!$A$1294</f>
        <v>69</v>
      </c>
      <c r="P291" s="767"/>
    </row>
    <row r="292" spans="2:17" ht="15.2" customHeight="1">
      <c r="B292" s="766" t="s">
        <v>1027</v>
      </c>
      <c r="C292" s="766"/>
      <c r="D292" s="84" t="s">
        <v>903</v>
      </c>
      <c r="E292" s="92">
        <v>2.8000000000000001E-2</v>
      </c>
      <c r="F292" s="86" t="s">
        <v>453</v>
      </c>
      <c r="G292" s="470">
        <f>중기사용료!$M$1347</f>
        <v>1456</v>
      </c>
      <c r="H292" s="470">
        <f>TRUNC(E292*G292,0)</f>
        <v>40</v>
      </c>
      <c r="I292" s="470">
        <f>중기사용료!$M$1341</f>
        <v>0</v>
      </c>
      <c r="J292" s="470">
        <f>TRUNC(I292*E292,0)</f>
        <v>0</v>
      </c>
      <c r="K292" s="470">
        <f>중기사용료!$M$1335</f>
        <v>158</v>
      </c>
      <c r="L292" s="470">
        <f>TRUNC(K292*E292,0)</f>
        <v>4</v>
      </c>
      <c r="M292" s="470">
        <f t="shared" si="107"/>
        <v>1614</v>
      </c>
      <c r="N292" s="470">
        <f t="shared" si="107"/>
        <v>44</v>
      </c>
      <c r="O292" s="460">
        <f>중기사용료!$A$1332</f>
        <v>71</v>
      </c>
      <c r="P292" s="767"/>
    </row>
    <row r="293" spans="2:17" ht="15.2" customHeight="1">
      <c r="B293" s="766" t="s">
        <v>855</v>
      </c>
      <c r="C293" s="766"/>
      <c r="D293" s="84"/>
      <c r="E293" s="87"/>
      <c r="F293" s="86"/>
      <c r="G293" s="470"/>
      <c r="H293" s="470">
        <f>SUM(H288:H292)</f>
        <v>769</v>
      </c>
      <c r="I293" s="470"/>
      <c r="J293" s="470">
        <f>SUM(J288:J292)</f>
        <v>8912</v>
      </c>
      <c r="K293" s="470"/>
      <c r="L293" s="470">
        <f>SUM(L288:L292)</f>
        <v>1548</v>
      </c>
      <c r="M293" s="470"/>
      <c r="N293" s="470">
        <f>SUM(N288:N292)</f>
        <v>11229</v>
      </c>
      <c r="O293" s="459"/>
      <c r="P293" s="767"/>
      <c r="Q293" s="80" t="s">
        <v>3244</v>
      </c>
    </row>
    <row r="294" spans="2:17" ht="15.2" customHeight="1">
      <c r="B294" s="83">
        <f>P294</f>
        <v>44</v>
      </c>
      <c r="C294" s="770" t="s">
        <v>906</v>
      </c>
      <c r="D294" s="770"/>
      <c r="E294" s="770"/>
      <c r="F294" s="771"/>
      <c r="G294" s="470"/>
      <c r="H294" s="470"/>
      <c r="I294" s="470"/>
      <c r="J294" s="470"/>
      <c r="K294" s="470"/>
      <c r="L294" s="470"/>
      <c r="M294" s="470"/>
      <c r="N294" s="470"/>
      <c r="O294" s="459"/>
      <c r="P294" s="767">
        <f>MAX($P$5:P293)+1</f>
        <v>44</v>
      </c>
      <c r="Q294" s="80" t="s">
        <v>3243</v>
      </c>
    </row>
    <row r="295" spans="2:17" ht="15.2" customHeight="1">
      <c r="B295" s="766" t="s">
        <v>1729</v>
      </c>
      <c r="C295" s="766"/>
      <c r="D295" s="84" t="s">
        <v>902</v>
      </c>
      <c r="E295" s="92">
        <v>1.02</v>
      </c>
      <c r="F295" s="86" t="s">
        <v>1168</v>
      </c>
      <c r="G295" s="470"/>
      <c r="H295" s="470">
        <f>TRUNC(E295*G295,0)</f>
        <v>0</v>
      </c>
      <c r="I295" s="470"/>
      <c r="J295" s="470">
        <f>TRUNC(I295*E295,0)</f>
        <v>0</v>
      </c>
      <c r="K295" s="470"/>
      <c r="L295" s="470">
        <f>TRUNC(K295*E295,0)</f>
        <v>0</v>
      </c>
      <c r="M295" s="470">
        <f t="shared" ref="M295:N299" si="108">G295+I295+K295</f>
        <v>0</v>
      </c>
      <c r="N295" s="470">
        <f t="shared" si="108"/>
        <v>0</v>
      </c>
      <c r="O295" s="459"/>
      <c r="P295" s="767"/>
    </row>
    <row r="296" spans="2:17" ht="15.2" customHeight="1">
      <c r="B296" s="766" t="s">
        <v>1715</v>
      </c>
      <c r="C296" s="766"/>
      <c r="D296" s="84"/>
      <c r="E296" s="92">
        <v>4.9000000000000002E-2</v>
      </c>
      <c r="F296" s="86" t="s">
        <v>1163</v>
      </c>
      <c r="G296" s="470"/>
      <c r="H296" s="470">
        <f>TRUNC(E296*G296,0)</f>
        <v>0</v>
      </c>
      <c r="I296" s="470">
        <f>SUMIF('노임(2015)'!$B$4:$B$87,B296,'노임(2015)'!$C$4:$C$87)+SUMIF('노임(2015)'!$E$4:$E$87,B296,'노임(2015)'!$F$4:$F$87)</f>
        <v>142556</v>
      </c>
      <c r="J296" s="470">
        <f>TRUNC(I296*E296,0)</f>
        <v>6985</v>
      </c>
      <c r="K296" s="470"/>
      <c r="L296" s="470">
        <f>TRUNC(K296*E296,0)</f>
        <v>0</v>
      </c>
      <c r="M296" s="470">
        <f t="shared" si="108"/>
        <v>142556</v>
      </c>
      <c r="N296" s="470">
        <f t="shared" si="108"/>
        <v>6985</v>
      </c>
      <c r="O296" s="459"/>
      <c r="P296" s="767"/>
    </row>
    <row r="297" spans="2:17" ht="15.2" customHeight="1">
      <c r="B297" s="766" t="s">
        <v>1162</v>
      </c>
      <c r="C297" s="766"/>
      <c r="D297" s="84"/>
      <c r="E297" s="92">
        <v>2.4E-2</v>
      </c>
      <c r="F297" s="86" t="s">
        <v>1163</v>
      </c>
      <c r="G297" s="470"/>
      <c r="H297" s="470">
        <f>TRUNC(E297*G297,0)</f>
        <v>0</v>
      </c>
      <c r="I297" s="470">
        <f>SUMIF('노임(2015)'!$B$4:$B$87,B297,'노임(2015)'!$C$4:$C$87)+SUMIF('노임(2015)'!$E$4:$E$87,B297,'노임(2015)'!$F$4:$F$87)</f>
        <v>89566</v>
      </c>
      <c r="J297" s="470">
        <f>TRUNC(I297*E297,0)</f>
        <v>2149</v>
      </c>
      <c r="K297" s="470"/>
      <c r="L297" s="470">
        <f>TRUNC(K297*E297,0)</f>
        <v>0</v>
      </c>
      <c r="M297" s="470">
        <f t="shared" si="108"/>
        <v>89566</v>
      </c>
      <c r="N297" s="470">
        <f t="shared" si="108"/>
        <v>2149</v>
      </c>
      <c r="O297" s="459"/>
      <c r="P297" s="767"/>
    </row>
    <row r="298" spans="2:17" ht="15.2" customHeight="1">
      <c r="B298" s="766" t="s">
        <v>2223</v>
      </c>
      <c r="C298" s="766"/>
      <c r="D298" s="84" t="s">
        <v>1319</v>
      </c>
      <c r="E298" s="92">
        <v>5.6000000000000001E-2</v>
      </c>
      <c r="F298" s="86" t="s">
        <v>453</v>
      </c>
      <c r="G298" s="470">
        <f>중기사용료!$M$1309</f>
        <v>26038</v>
      </c>
      <c r="H298" s="470">
        <f>TRUNC(E298*G298,0)</f>
        <v>1458</v>
      </c>
      <c r="I298" s="470">
        <f>중기사용료!$M$1303</f>
        <v>27168</v>
      </c>
      <c r="J298" s="470">
        <f>TRUNC(I298*E298,0)</f>
        <v>1521</v>
      </c>
      <c r="K298" s="470">
        <f>중기사용료!$M$1297</f>
        <v>55150</v>
      </c>
      <c r="L298" s="470">
        <f>TRUNC(K298*E298,0)</f>
        <v>3088</v>
      </c>
      <c r="M298" s="470">
        <f t="shared" si="108"/>
        <v>108356</v>
      </c>
      <c r="N298" s="470">
        <f t="shared" si="108"/>
        <v>6067</v>
      </c>
      <c r="O298" s="460">
        <f>중기사용료!$A$1294</f>
        <v>69</v>
      </c>
      <c r="P298" s="767"/>
    </row>
    <row r="299" spans="2:17" ht="15.2" customHeight="1">
      <c r="B299" s="766" t="s">
        <v>1027</v>
      </c>
      <c r="C299" s="766"/>
      <c r="D299" s="84" t="s">
        <v>903</v>
      </c>
      <c r="E299" s="92">
        <v>5.6000000000000001E-2</v>
      </c>
      <c r="F299" s="86" t="s">
        <v>453</v>
      </c>
      <c r="G299" s="470">
        <f>중기사용료!$M$1347</f>
        <v>1456</v>
      </c>
      <c r="H299" s="470">
        <f>TRUNC(E299*G299,0)</f>
        <v>81</v>
      </c>
      <c r="I299" s="470">
        <f>중기사용료!$M$1341</f>
        <v>0</v>
      </c>
      <c r="J299" s="470">
        <f>TRUNC(I299*E299,0)</f>
        <v>0</v>
      </c>
      <c r="K299" s="470">
        <f>중기사용료!$M$1335</f>
        <v>158</v>
      </c>
      <c r="L299" s="470">
        <f>TRUNC(K299*E299,0)</f>
        <v>8</v>
      </c>
      <c r="M299" s="470">
        <f t="shared" si="108"/>
        <v>1614</v>
      </c>
      <c r="N299" s="470">
        <f t="shared" si="108"/>
        <v>89</v>
      </c>
      <c r="O299" s="460">
        <f>중기사용료!$A$1332</f>
        <v>71</v>
      </c>
      <c r="P299" s="767"/>
    </row>
    <row r="300" spans="2:17" ht="15.2" customHeight="1">
      <c r="B300" s="766" t="s">
        <v>855</v>
      </c>
      <c r="C300" s="766"/>
      <c r="D300" s="84"/>
      <c r="E300" s="87"/>
      <c r="F300" s="86"/>
      <c r="G300" s="470"/>
      <c r="H300" s="470">
        <f>SUM(H295:H299)</f>
        <v>1539</v>
      </c>
      <c r="I300" s="470"/>
      <c r="J300" s="470">
        <f>SUM(J295:J299)</f>
        <v>10655</v>
      </c>
      <c r="K300" s="470"/>
      <c r="L300" s="470">
        <f>SUM(L295:L299)</f>
        <v>3096</v>
      </c>
      <c r="M300" s="470"/>
      <c r="N300" s="470">
        <f>SUM(N295:N299)</f>
        <v>15290</v>
      </c>
      <c r="O300" s="459"/>
      <c r="P300" s="767"/>
      <c r="Q300" s="80" t="s">
        <v>3244</v>
      </c>
    </row>
    <row r="301" spans="2:17" ht="15.2" customHeight="1">
      <c r="B301" s="83">
        <f>P301</f>
        <v>45</v>
      </c>
      <c r="C301" s="770" t="s">
        <v>907</v>
      </c>
      <c r="D301" s="770"/>
      <c r="E301" s="770"/>
      <c r="F301" s="771"/>
      <c r="G301" s="470"/>
      <c r="H301" s="470"/>
      <c r="I301" s="470"/>
      <c r="J301" s="470"/>
      <c r="K301" s="470"/>
      <c r="L301" s="470"/>
      <c r="M301" s="470"/>
      <c r="N301" s="470"/>
      <c r="O301" s="459"/>
      <c r="P301" s="767">
        <f>MAX($P$5:P300)+1</f>
        <v>45</v>
      </c>
      <c r="Q301" s="80" t="s">
        <v>3243</v>
      </c>
    </row>
    <row r="302" spans="2:17" ht="15.2" customHeight="1">
      <c r="B302" s="766" t="s">
        <v>1729</v>
      </c>
      <c r="C302" s="766"/>
      <c r="D302" s="84" t="s">
        <v>902</v>
      </c>
      <c r="E302" s="87">
        <v>1.02</v>
      </c>
      <c r="F302" s="86" t="s">
        <v>1168</v>
      </c>
      <c r="G302" s="470"/>
      <c r="H302" s="470">
        <f>TRUNC(E302*G302,0)</f>
        <v>0</v>
      </c>
      <c r="I302" s="470"/>
      <c r="J302" s="470">
        <f>TRUNC(I302*E302,0)</f>
        <v>0</v>
      </c>
      <c r="K302" s="470"/>
      <c r="L302" s="470">
        <f>TRUNC(K302*E302,0)</f>
        <v>0</v>
      </c>
      <c r="M302" s="470">
        <f t="shared" ref="M302:N306" si="109">G302+I302+K302</f>
        <v>0</v>
      </c>
      <c r="N302" s="470">
        <f t="shared" si="109"/>
        <v>0</v>
      </c>
      <c r="O302" s="459"/>
      <c r="P302" s="767"/>
    </row>
    <row r="303" spans="2:17" ht="15.2" customHeight="1">
      <c r="B303" s="766" t="s">
        <v>1715</v>
      </c>
      <c r="C303" s="766"/>
      <c r="D303" s="84"/>
      <c r="E303" s="92">
        <v>4.9000000000000002E-2</v>
      </c>
      <c r="F303" s="86" t="s">
        <v>1163</v>
      </c>
      <c r="G303" s="470"/>
      <c r="H303" s="470">
        <f>TRUNC(E303*G303,0)</f>
        <v>0</v>
      </c>
      <c r="I303" s="470">
        <f>SUMIF('노임(2015)'!$B$4:$B$87,B303,'노임(2015)'!$C$4:$C$87)+SUMIF('노임(2015)'!$E$4:$E$87,B303,'노임(2015)'!$F$4:$F$87)</f>
        <v>142556</v>
      </c>
      <c r="J303" s="470">
        <f>TRUNC(I303*E303,0)</f>
        <v>6985</v>
      </c>
      <c r="K303" s="470"/>
      <c r="L303" s="470">
        <f>TRUNC(K303*E303,0)</f>
        <v>0</v>
      </c>
      <c r="M303" s="470">
        <f t="shared" si="109"/>
        <v>142556</v>
      </c>
      <c r="N303" s="470">
        <f t="shared" si="109"/>
        <v>6985</v>
      </c>
      <c r="O303" s="459"/>
      <c r="P303" s="767"/>
    </row>
    <row r="304" spans="2:17" ht="15.2" customHeight="1">
      <c r="B304" s="766" t="s">
        <v>1162</v>
      </c>
      <c r="C304" s="766"/>
      <c r="D304" s="84"/>
      <c r="E304" s="92">
        <v>2.4E-2</v>
      </c>
      <c r="F304" s="86" t="s">
        <v>1163</v>
      </c>
      <c r="G304" s="470"/>
      <c r="H304" s="470">
        <f>TRUNC(E304*G304,0)</f>
        <v>0</v>
      </c>
      <c r="I304" s="470">
        <f>SUMIF('노임(2015)'!$B$4:$B$87,B304,'노임(2015)'!$C$4:$C$87)+SUMIF('노임(2015)'!$E$4:$E$87,B304,'노임(2015)'!$F$4:$F$87)</f>
        <v>89566</v>
      </c>
      <c r="J304" s="470">
        <f>TRUNC(I304*E304,0)</f>
        <v>2149</v>
      </c>
      <c r="K304" s="470"/>
      <c r="L304" s="470">
        <f>TRUNC(K304*E304,0)</f>
        <v>0</v>
      </c>
      <c r="M304" s="470">
        <f t="shared" si="109"/>
        <v>89566</v>
      </c>
      <c r="N304" s="470">
        <f t="shared" si="109"/>
        <v>2149</v>
      </c>
      <c r="O304" s="459"/>
      <c r="P304" s="767"/>
    </row>
    <row r="305" spans="2:17" ht="15.2" customHeight="1">
      <c r="B305" s="766" t="s">
        <v>2223</v>
      </c>
      <c r="C305" s="766"/>
      <c r="D305" s="84" t="s">
        <v>1319</v>
      </c>
      <c r="E305" s="92">
        <v>3.6999999999999998E-2</v>
      </c>
      <c r="F305" s="86" t="s">
        <v>453</v>
      </c>
      <c r="G305" s="470">
        <f>중기사용료!$M$1309</f>
        <v>26038</v>
      </c>
      <c r="H305" s="470">
        <f>TRUNC(E305*G305,0)</f>
        <v>963</v>
      </c>
      <c r="I305" s="470">
        <f>중기사용료!$M$1303</f>
        <v>27168</v>
      </c>
      <c r="J305" s="470">
        <f>TRUNC(I305*E305,0)</f>
        <v>1005</v>
      </c>
      <c r="K305" s="470">
        <f>중기사용료!$M$1297</f>
        <v>55150</v>
      </c>
      <c r="L305" s="470">
        <f>TRUNC(K305*E305,0)</f>
        <v>2040</v>
      </c>
      <c r="M305" s="470">
        <f t="shared" si="109"/>
        <v>108356</v>
      </c>
      <c r="N305" s="470">
        <f t="shared" si="109"/>
        <v>4008</v>
      </c>
      <c r="O305" s="460">
        <f>중기사용료!$A$1294</f>
        <v>69</v>
      </c>
      <c r="P305" s="767"/>
    </row>
    <row r="306" spans="2:17" ht="15.2" customHeight="1">
      <c r="B306" s="766" t="s">
        <v>1027</v>
      </c>
      <c r="C306" s="766"/>
      <c r="D306" s="84" t="s">
        <v>903</v>
      </c>
      <c r="E306" s="92">
        <v>3.6999999999999998E-2</v>
      </c>
      <c r="F306" s="86" t="s">
        <v>453</v>
      </c>
      <c r="G306" s="470">
        <f>중기사용료!$M$1347</f>
        <v>1456</v>
      </c>
      <c r="H306" s="470">
        <f>TRUNC(E306*G306,0)</f>
        <v>53</v>
      </c>
      <c r="I306" s="470">
        <f>중기사용료!$M$1341</f>
        <v>0</v>
      </c>
      <c r="J306" s="470">
        <f>TRUNC(I306*E306,0)</f>
        <v>0</v>
      </c>
      <c r="K306" s="470">
        <f>중기사용료!$M$1335</f>
        <v>158</v>
      </c>
      <c r="L306" s="470">
        <f>TRUNC(K306*E306,0)</f>
        <v>5</v>
      </c>
      <c r="M306" s="470">
        <f t="shared" si="109"/>
        <v>1614</v>
      </c>
      <c r="N306" s="470">
        <f t="shared" si="109"/>
        <v>58</v>
      </c>
      <c r="O306" s="460">
        <f>중기사용료!$A$1332</f>
        <v>71</v>
      </c>
      <c r="P306" s="767"/>
    </row>
    <row r="307" spans="2:17" ht="15.2" customHeight="1">
      <c r="B307" s="766" t="s">
        <v>855</v>
      </c>
      <c r="C307" s="766"/>
      <c r="D307" s="84"/>
      <c r="E307" s="87"/>
      <c r="F307" s="86"/>
      <c r="G307" s="470"/>
      <c r="H307" s="470">
        <f>SUM(H302:H306)</f>
        <v>1016</v>
      </c>
      <c r="I307" s="470"/>
      <c r="J307" s="470">
        <f>SUM(J302:J306)</f>
        <v>10139</v>
      </c>
      <c r="K307" s="470"/>
      <c r="L307" s="470">
        <f>SUM(L302:L306)</f>
        <v>2045</v>
      </c>
      <c r="M307" s="470"/>
      <c r="N307" s="470">
        <f>SUM(N302:N306)</f>
        <v>13200</v>
      </c>
      <c r="O307" s="459"/>
      <c r="P307" s="767"/>
      <c r="Q307" s="80" t="s">
        <v>3244</v>
      </c>
    </row>
    <row r="308" spans="2:17" ht="15.2" customHeight="1">
      <c r="B308" s="83">
        <f>P308</f>
        <v>46</v>
      </c>
      <c r="C308" s="770" t="s">
        <v>1557</v>
      </c>
      <c r="D308" s="770"/>
      <c r="E308" s="770"/>
      <c r="F308" s="771"/>
      <c r="G308" s="470"/>
      <c r="H308" s="470"/>
      <c r="I308" s="470"/>
      <c r="J308" s="470"/>
      <c r="K308" s="470"/>
      <c r="L308" s="470"/>
      <c r="M308" s="470"/>
      <c r="N308" s="470"/>
      <c r="O308" s="459"/>
      <c r="P308" s="767">
        <f>MAX($P$5:P307)+1</f>
        <v>46</v>
      </c>
      <c r="Q308" s="80" t="s">
        <v>3243</v>
      </c>
    </row>
    <row r="309" spans="2:17" ht="15.2" customHeight="1">
      <c r="B309" s="766" t="s">
        <v>1729</v>
      </c>
      <c r="C309" s="766"/>
      <c r="D309" s="84" t="s">
        <v>902</v>
      </c>
      <c r="E309" s="87">
        <v>1.02</v>
      </c>
      <c r="F309" s="86" t="s">
        <v>1168</v>
      </c>
      <c r="G309" s="470"/>
      <c r="H309" s="470">
        <f>TRUNC(E309*G309,0)</f>
        <v>0</v>
      </c>
      <c r="I309" s="470"/>
      <c r="J309" s="470">
        <f>TRUNC(I309*E309,0)</f>
        <v>0</v>
      </c>
      <c r="K309" s="470"/>
      <c r="L309" s="470">
        <f>TRUNC(K309*E309,0)</f>
        <v>0</v>
      </c>
      <c r="M309" s="470">
        <f t="shared" ref="M309:N313" si="110">G309+I309+K309</f>
        <v>0</v>
      </c>
      <c r="N309" s="470">
        <f t="shared" si="110"/>
        <v>0</v>
      </c>
      <c r="O309" s="459"/>
      <c r="P309" s="767"/>
    </row>
    <row r="310" spans="2:17" ht="15.2" customHeight="1">
      <c r="B310" s="766" t="s">
        <v>1715</v>
      </c>
      <c r="C310" s="766"/>
      <c r="D310" s="84"/>
      <c r="E310" s="92">
        <v>4.9000000000000002E-2</v>
      </c>
      <c r="F310" s="86" t="s">
        <v>1163</v>
      </c>
      <c r="G310" s="470"/>
      <c r="H310" s="470">
        <f>TRUNC(E310*G310,0)</f>
        <v>0</v>
      </c>
      <c r="I310" s="470">
        <f>SUMIF('노임(2015)'!$B$4:$B$87,B310,'노임(2015)'!$C$4:$C$87)+SUMIF('노임(2015)'!$E$4:$E$87,B310,'노임(2015)'!$F$4:$F$87)</f>
        <v>142556</v>
      </c>
      <c r="J310" s="470">
        <f>TRUNC(I310*E310,0)</f>
        <v>6985</v>
      </c>
      <c r="K310" s="470"/>
      <c r="L310" s="470">
        <f>TRUNC(K310*E310,0)</f>
        <v>0</v>
      </c>
      <c r="M310" s="470">
        <f t="shared" si="110"/>
        <v>142556</v>
      </c>
      <c r="N310" s="470">
        <f t="shared" si="110"/>
        <v>6985</v>
      </c>
      <c r="O310" s="459"/>
      <c r="P310" s="767"/>
    </row>
    <row r="311" spans="2:17" ht="15.2" customHeight="1">
      <c r="B311" s="766" t="s">
        <v>1162</v>
      </c>
      <c r="C311" s="766"/>
      <c r="D311" s="84"/>
      <c r="E311" s="92">
        <v>2.4E-2</v>
      </c>
      <c r="F311" s="86" t="s">
        <v>1163</v>
      </c>
      <c r="G311" s="470"/>
      <c r="H311" s="470">
        <f>TRUNC(E311*G311,0)</f>
        <v>0</v>
      </c>
      <c r="I311" s="470">
        <f>SUMIF('노임(2015)'!$B$4:$B$87,B311,'노임(2015)'!$C$4:$C$87)+SUMIF('노임(2015)'!$E$4:$E$87,B311,'노임(2015)'!$F$4:$F$87)</f>
        <v>89566</v>
      </c>
      <c r="J311" s="470">
        <f>TRUNC(I311*E311,0)</f>
        <v>2149</v>
      </c>
      <c r="K311" s="470"/>
      <c r="L311" s="470">
        <f>TRUNC(K311*E311,0)</f>
        <v>0</v>
      </c>
      <c r="M311" s="470">
        <f t="shared" si="110"/>
        <v>89566</v>
      </c>
      <c r="N311" s="470">
        <f t="shared" si="110"/>
        <v>2149</v>
      </c>
      <c r="O311" s="459"/>
      <c r="P311" s="767"/>
    </row>
    <row r="312" spans="2:17" ht="15.2" customHeight="1">
      <c r="B312" s="766" t="s">
        <v>2223</v>
      </c>
      <c r="C312" s="766"/>
      <c r="D312" s="84" t="s">
        <v>1319</v>
      </c>
      <c r="E312" s="92">
        <v>3.1E-2</v>
      </c>
      <c r="F312" s="86" t="s">
        <v>453</v>
      </c>
      <c r="G312" s="470">
        <f>중기사용료!$M$1309</f>
        <v>26038</v>
      </c>
      <c r="H312" s="470">
        <f>TRUNC(E312*G312,0)</f>
        <v>807</v>
      </c>
      <c r="I312" s="470">
        <f>중기사용료!$M$1303</f>
        <v>27168</v>
      </c>
      <c r="J312" s="470">
        <f>TRUNC(I312*E312,0)</f>
        <v>842</v>
      </c>
      <c r="K312" s="470">
        <f>중기사용료!$M$1297</f>
        <v>55150</v>
      </c>
      <c r="L312" s="470">
        <f>TRUNC(K312*E312,0)</f>
        <v>1709</v>
      </c>
      <c r="M312" s="470">
        <f t="shared" si="110"/>
        <v>108356</v>
      </c>
      <c r="N312" s="470">
        <f t="shared" si="110"/>
        <v>3358</v>
      </c>
      <c r="O312" s="460">
        <f>중기사용료!$A$1294</f>
        <v>69</v>
      </c>
      <c r="P312" s="767"/>
    </row>
    <row r="313" spans="2:17" ht="15.2" customHeight="1">
      <c r="B313" s="766" t="s">
        <v>1027</v>
      </c>
      <c r="C313" s="766"/>
      <c r="D313" s="84" t="s">
        <v>903</v>
      </c>
      <c r="E313" s="92">
        <v>3.1E-2</v>
      </c>
      <c r="F313" s="86" t="s">
        <v>453</v>
      </c>
      <c r="G313" s="470">
        <f>중기사용료!$M$1347</f>
        <v>1456</v>
      </c>
      <c r="H313" s="470">
        <f>TRUNC(E313*G313,0)</f>
        <v>45</v>
      </c>
      <c r="I313" s="470">
        <f>중기사용료!$M$1341</f>
        <v>0</v>
      </c>
      <c r="J313" s="470">
        <f>TRUNC(I313*E313,0)</f>
        <v>0</v>
      </c>
      <c r="K313" s="470">
        <f>중기사용료!$M$1335</f>
        <v>158</v>
      </c>
      <c r="L313" s="470">
        <f>TRUNC(K313*E313,0)</f>
        <v>4</v>
      </c>
      <c r="M313" s="470">
        <f t="shared" si="110"/>
        <v>1614</v>
      </c>
      <c r="N313" s="470">
        <f t="shared" si="110"/>
        <v>49</v>
      </c>
      <c r="O313" s="460">
        <f>중기사용료!$A$1332</f>
        <v>71</v>
      </c>
      <c r="P313" s="767"/>
    </row>
    <row r="314" spans="2:17" ht="15.2" customHeight="1">
      <c r="B314" s="766" t="s">
        <v>855</v>
      </c>
      <c r="C314" s="766"/>
      <c r="D314" s="84"/>
      <c r="E314" s="87"/>
      <c r="F314" s="86"/>
      <c r="G314" s="470"/>
      <c r="H314" s="470">
        <f>SUM(H309:H313)</f>
        <v>852</v>
      </c>
      <c r="I314" s="470"/>
      <c r="J314" s="470">
        <f>SUM(J309:J313)</f>
        <v>9976</v>
      </c>
      <c r="K314" s="470"/>
      <c r="L314" s="470">
        <f>SUM(L309:L313)</f>
        <v>1713</v>
      </c>
      <c r="M314" s="470"/>
      <c r="N314" s="470">
        <f>SUM(N309:N313)</f>
        <v>12541</v>
      </c>
      <c r="O314" s="459"/>
      <c r="P314" s="767"/>
      <c r="Q314" s="80" t="s">
        <v>3244</v>
      </c>
    </row>
    <row r="315" spans="2:17" ht="15.2" customHeight="1">
      <c r="B315" s="83">
        <f>P315</f>
        <v>47</v>
      </c>
      <c r="C315" s="770" t="s">
        <v>1558</v>
      </c>
      <c r="D315" s="770"/>
      <c r="E315" s="770"/>
      <c r="F315" s="771"/>
      <c r="G315" s="470"/>
      <c r="H315" s="470"/>
      <c r="I315" s="470"/>
      <c r="J315" s="470"/>
      <c r="K315" s="470"/>
      <c r="L315" s="470"/>
      <c r="M315" s="470"/>
      <c r="N315" s="470"/>
      <c r="O315" s="459"/>
      <c r="P315" s="767">
        <f>MAX($P$5:P314)+1</f>
        <v>47</v>
      </c>
      <c r="Q315" s="80" t="s">
        <v>3243</v>
      </c>
    </row>
    <row r="316" spans="2:17" ht="15.2" customHeight="1">
      <c r="B316" s="766" t="s">
        <v>1559</v>
      </c>
      <c r="C316" s="766"/>
      <c r="D316" s="84" t="s">
        <v>1028</v>
      </c>
      <c r="E316" s="92">
        <v>2.2800000000000001E-2</v>
      </c>
      <c r="F316" s="86" t="s">
        <v>453</v>
      </c>
      <c r="G316" s="470">
        <f>중기사용료!$M$1290</f>
        <v>8899</v>
      </c>
      <c r="H316" s="470">
        <f>TRUNC(E316*G316,0)</f>
        <v>202</v>
      </c>
      <c r="I316" s="470">
        <f>중기사용료!$M$1284</f>
        <v>18939</v>
      </c>
      <c r="J316" s="470">
        <f>TRUNC(I316*E316,0)</f>
        <v>431</v>
      </c>
      <c r="K316" s="470">
        <f>중기사용료!$M$1278</f>
        <v>1460</v>
      </c>
      <c r="L316" s="470">
        <f>TRUNC(K316*E316,0)</f>
        <v>33</v>
      </c>
      <c r="M316" s="470">
        <f t="shared" ref="M316:N320" si="111">G316+I316+K316</f>
        <v>29298</v>
      </c>
      <c r="N316" s="470">
        <f t="shared" si="111"/>
        <v>666</v>
      </c>
      <c r="O316" s="460">
        <f>중기사용료!$A$1275</f>
        <v>68</v>
      </c>
      <c r="P316" s="767"/>
    </row>
    <row r="317" spans="2:17" ht="15.2" customHeight="1">
      <c r="B317" s="766" t="s">
        <v>454</v>
      </c>
      <c r="C317" s="766"/>
      <c r="D317" s="84" t="s">
        <v>1329</v>
      </c>
      <c r="E317" s="92">
        <v>3.0999999999999999E-3</v>
      </c>
      <c r="F317" s="86" t="s">
        <v>1161</v>
      </c>
      <c r="G317" s="470">
        <f>사급자재!$M$93</f>
        <v>175000</v>
      </c>
      <c r="H317" s="470">
        <f>TRUNC(E317*G317,0)</f>
        <v>542</v>
      </c>
      <c r="I317" s="470"/>
      <c r="J317" s="470">
        <f>TRUNC(I317*E317,0)</f>
        <v>0</v>
      </c>
      <c r="K317" s="470"/>
      <c r="L317" s="470">
        <f>TRUNC(K317*E317,0)</f>
        <v>0</v>
      </c>
      <c r="M317" s="470">
        <f t="shared" si="111"/>
        <v>175000</v>
      </c>
      <c r="N317" s="470">
        <f t="shared" si="111"/>
        <v>542</v>
      </c>
      <c r="O317" s="459"/>
      <c r="P317" s="767"/>
    </row>
    <row r="318" spans="2:17" ht="15.2" customHeight="1">
      <c r="B318" s="766" t="s">
        <v>1162</v>
      </c>
      <c r="C318" s="766"/>
      <c r="D318" s="84"/>
      <c r="E318" s="92">
        <v>5.7000000000000002E-3</v>
      </c>
      <c r="F318" s="86" t="s">
        <v>1163</v>
      </c>
      <c r="G318" s="470"/>
      <c r="H318" s="470">
        <f>TRUNC(E318*G318,0)</f>
        <v>0</v>
      </c>
      <c r="I318" s="470">
        <f>SUMIF('노임(2015)'!$B$4:$B$87,B318,'노임(2015)'!$C$4:$C$87)+SUMIF('노임(2015)'!$E$4:$E$87,B318,'노임(2015)'!$F$4:$F$87)</f>
        <v>89566</v>
      </c>
      <c r="J318" s="470">
        <f>TRUNC(I318*E318,0)</f>
        <v>510</v>
      </c>
      <c r="K318" s="470"/>
      <c r="L318" s="470">
        <f>TRUNC(K318*E318,0)</f>
        <v>0</v>
      </c>
      <c r="M318" s="470">
        <f t="shared" si="111"/>
        <v>89566</v>
      </c>
      <c r="N318" s="470">
        <f t="shared" si="111"/>
        <v>510</v>
      </c>
      <c r="O318" s="459"/>
      <c r="P318" s="767"/>
    </row>
    <row r="319" spans="2:17" ht="15.2" customHeight="1">
      <c r="B319" s="766" t="s">
        <v>455</v>
      </c>
      <c r="C319" s="766"/>
      <c r="D319" s="84"/>
      <c r="E319" s="87">
        <v>30</v>
      </c>
      <c r="F319" s="86" t="s">
        <v>456</v>
      </c>
      <c r="G319" s="471">
        <f>사급자재!$M$86/1000</f>
        <v>0.36</v>
      </c>
      <c r="H319" s="470">
        <f>TRUNC(E319*G319,0)</f>
        <v>10</v>
      </c>
      <c r="I319" s="470"/>
      <c r="J319" s="470">
        <f>TRUNC(I319*E319,0)</f>
        <v>0</v>
      </c>
      <c r="K319" s="470"/>
      <c r="L319" s="470">
        <f>TRUNC(K319*E319,0)</f>
        <v>0</v>
      </c>
      <c r="M319" s="471">
        <f t="shared" si="111"/>
        <v>0.36</v>
      </c>
      <c r="N319" s="470">
        <f t="shared" si="111"/>
        <v>10</v>
      </c>
      <c r="O319" s="459"/>
      <c r="P319" s="767"/>
    </row>
    <row r="320" spans="2:17" ht="15.2" customHeight="1">
      <c r="B320" s="766" t="s">
        <v>1165</v>
      </c>
      <c r="C320" s="766"/>
      <c r="D320" s="84"/>
      <c r="E320" s="92">
        <v>2.8E-3</v>
      </c>
      <c r="F320" s="86" t="s">
        <v>1163</v>
      </c>
      <c r="G320" s="470"/>
      <c r="H320" s="470">
        <f>TRUNC(E320*G320,0)</f>
        <v>0</v>
      </c>
      <c r="I320" s="470">
        <f>SUMIF('노임(2015)'!$B$4:$B$87,B320,'노임(2015)'!$C$4:$C$87)+SUMIF('노임(2015)'!$E$4:$E$87,B320,'노임(2015)'!$F$4:$F$87)</f>
        <v>111771</v>
      </c>
      <c r="J320" s="470">
        <f>TRUNC(I320*E320,0)</f>
        <v>312</v>
      </c>
      <c r="K320" s="470"/>
      <c r="L320" s="470">
        <f>TRUNC(K320*E320,0)</f>
        <v>0</v>
      </c>
      <c r="M320" s="470">
        <f t="shared" si="111"/>
        <v>111771</v>
      </c>
      <c r="N320" s="470">
        <f t="shared" si="111"/>
        <v>312</v>
      </c>
      <c r="O320" s="459"/>
      <c r="P320" s="767"/>
    </row>
    <row r="321" spans="2:17" ht="15.2" customHeight="1">
      <c r="B321" s="766" t="s">
        <v>855</v>
      </c>
      <c r="C321" s="766"/>
      <c r="D321" s="84"/>
      <c r="E321" s="87"/>
      <c r="F321" s="86"/>
      <c r="G321" s="470"/>
      <c r="H321" s="470">
        <f>SUM(H316:H320)</f>
        <v>754</v>
      </c>
      <c r="I321" s="470"/>
      <c r="J321" s="470">
        <f>SUM(J316:J320)</f>
        <v>1253</v>
      </c>
      <c r="K321" s="470"/>
      <c r="L321" s="470">
        <f>SUM(L316:L320)</f>
        <v>33</v>
      </c>
      <c r="M321" s="470"/>
      <c r="N321" s="470">
        <f>SUM(N316:N320)</f>
        <v>2040</v>
      </c>
      <c r="O321" s="459"/>
      <c r="P321" s="767"/>
      <c r="Q321" s="80" t="s">
        <v>3244</v>
      </c>
    </row>
    <row r="322" spans="2:17" ht="15.2" customHeight="1">
      <c r="B322" s="83">
        <f>P322</f>
        <v>48</v>
      </c>
      <c r="C322" s="770" t="s">
        <v>1560</v>
      </c>
      <c r="D322" s="770"/>
      <c r="E322" s="770"/>
      <c r="F322" s="771"/>
      <c r="G322" s="470"/>
      <c r="H322" s="470"/>
      <c r="I322" s="470"/>
      <c r="J322" s="470"/>
      <c r="K322" s="470"/>
      <c r="L322" s="470"/>
      <c r="M322" s="470"/>
      <c r="N322" s="470"/>
      <c r="O322" s="459"/>
      <c r="P322" s="767">
        <f>MAX($P$5:P321)+1</f>
        <v>48</v>
      </c>
      <c r="Q322" s="80" t="s">
        <v>3243</v>
      </c>
    </row>
    <row r="323" spans="2:17" ht="15.2" customHeight="1">
      <c r="B323" s="766" t="s">
        <v>1559</v>
      </c>
      <c r="C323" s="766"/>
      <c r="D323" s="84" t="s">
        <v>1028</v>
      </c>
      <c r="E323" s="92">
        <v>1.3299999999999999E-2</v>
      </c>
      <c r="F323" s="86" t="s">
        <v>453</v>
      </c>
      <c r="G323" s="470">
        <f>중기사용료!$M$1290</f>
        <v>8899</v>
      </c>
      <c r="H323" s="470">
        <f>TRUNC(E323*G323,0)</f>
        <v>118</v>
      </c>
      <c r="I323" s="470">
        <f>중기사용료!$M$1284</f>
        <v>18939</v>
      </c>
      <c r="J323" s="470">
        <f>TRUNC(I323*E323,0)</f>
        <v>251</v>
      </c>
      <c r="K323" s="470">
        <f>중기사용료!$M$1278</f>
        <v>1460</v>
      </c>
      <c r="L323" s="470">
        <f>TRUNC(K323*E323,0)</f>
        <v>19</v>
      </c>
      <c r="M323" s="470">
        <f t="shared" ref="M323:N327" si="112">G323+I323+K323</f>
        <v>29298</v>
      </c>
      <c r="N323" s="470">
        <f t="shared" si="112"/>
        <v>388</v>
      </c>
      <c r="O323" s="460">
        <f>중기사용료!$A$1275</f>
        <v>68</v>
      </c>
      <c r="P323" s="767"/>
    </row>
    <row r="324" spans="2:17" ht="15.2" customHeight="1">
      <c r="B324" s="766" t="s">
        <v>454</v>
      </c>
      <c r="C324" s="766"/>
      <c r="D324" s="84" t="s">
        <v>3330</v>
      </c>
      <c r="E324" s="92">
        <v>3.0999999999999999E-3</v>
      </c>
      <c r="F324" s="86" t="s">
        <v>1161</v>
      </c>
      <c r="G324" s="470">
        <f>사급자재!$M$93</f>
        <v>175000</v>
      </c>
      <c r="H324" s="470">
        <f>TRUNC(E324*G324,0)</f>
        <v>542</v>
      </c>
      <c r="I324" s="470"/>
      <c r="J324" s="470">
        <f>TRUNC(I324*E324,0)</f>
        <v>0</v>
      </c>
      <c r="K324" s="470"/>
      <c r="L324" s="470">
        <f>TRUNC(K324*E324,0)</f>
        <v>0</v>
      </c>
      <c r="M324" s="470">
        <f t="shared" si="112"/>
        <v>175000</v>
      </c>
      <c r="N324" s="470">
        <f t="shared" si="112"/>
        <v>542</v>
      </c>
      <c r="O324" s="459"/>
      <c r="P324" s="767"/>
    </row>
    <row r="325" spans="2:17" ht="15.2" customHeight="1">
      <c r="B325" s="766" t="s">
        <v>1162</v>
      </c>
      <c r="C325" s="766"/>
      <c r="D325" s="84"/>
      <c r="E325" s="92">
        <v>3.3E-3</v>
      </c>
      <c r="F325" s="86" t="s">
        <v>1163</v>
      </c>
      <c r="G325" s="470"/>
      <c r="H325" s="470">
        <f>TRUNC(E325*G325,0)</f>
        <v>0</v>
      </c>
      <c r="I325" s="470">
        <f>SUMIF('노임(2015)'!$B$4:$B$87,B325,'노임(2015)'!$C$4:$C$87)+SUMIF('노임(2015)'!$E$4:$E$87,B325,'노임(2015)'!$F$4:$F$87)</f>
        <v>89566</v>
      </c>
      <c r="J325" s="470">
        <f>TRUNC(I325*E325,0)</f>
        <v>295</v>
      </c>
      <c r="K325" s="470"/>
      <c r="L325" s="470">
        <f>TRUNC(K325*E325,0)</f>
        <v>0</v>
      </c>
      <c r="M325" s="470">
        <f t="shared" si="112"/>
        <v>89566</v>
      </c>
      <c r="N325" s="470">
        <f t="shared" si="112"/>
        <v>295</v>
      </c>
      <c r="O325" s="459"/>
      <c r="P325" s="767"/>
    </row>
    <row r="326" spans="2:17" ht="15.2" customHeight="1">
      <c r="B326" s="766" t="s">
        <v>455</v>
      </c>
      <c r="C326" s="766"/>
      <c r="D326" s="84"/>
      <c r="E326" s="87">
        <v>30</v>
      </c>
      <c r="F326" s="86" t="s">
        <v>456</v>
      </c>
      <c r="G326" s="471">
        <f>사급자재!$M$86/1000</f>
        <v>0.36</v>
      </c>
      <c r="H326" s="470">
        <f>TRUNC(E326*G326,0)</f>
        <v>10</v>
      </c>
      <c r="I326" s="470"/>
      <c r="J326" s="470">
        <f>TRUNC(I326*E326,0)</f>
        <v>0</v>
      </c>
      <c r="K326" s="470"/>
      <c r="L326" s="470">
        <f>TRUNC(K326*E326,0)</f>
        <v>0</v>
      </c>
      <c r="M326" s="471">
        <f t="shared" si="112"/>
        <v>0.36</v>
      </c>
      <c r="N326" s="470">
        <f t="shared" si="112"/>
        <v>10</v>
      </c>
      <c r="O326" s="459"/>
      <c r="P326" s="767"/>
    </row>
    <row r="327" spans="2:17" ht="15.2" customHeight="1">
      <c r="B327" s="766" t="s">
        <v>1165</v>
      </c>
      <c r="C327" s="766"/>
      <c r="D327" s="84"/>
      <c r="E327" s="92">
        <v>1.6000000000000001E-3</v>
      </c>
      <c r="F327" s="86" t="s">
        <v>1163</v>
      </c>
      <c r="G327" s="470"/>
      <c r="H327" s="470">
        <f>TRUNC(E327*G327,0)</f>
        <v>0</v>
      </c>
      <c r="I327" s="470">
        <f>SUMIF('노임(2015)'!$B$4:$B$87,B327,'노임(2015)'!$C$4:$C$87)+SUMIF('노임(2015)'!$E$4:$E$87,B327,'노임(2015)'!$F$4:$F$87)</f>
        <v>111771</v>
      </c>
      <c r="J327" s="470">
        <f>TRUNC(I327*E327,0)</f>
        <v>178</v>
      </c>
      <c r="K327" s="470"/>
      <c r="L327" s="470">
        <f>TRUNC(K327*E327,0)</f>
        <v>0</v>
      </c>
      <c r="M327" s="470">
        <f t="shared" si="112"/>
        <v>111771</v>
      </c>
      <c r="N327" s="470">
        <f t="shared" si="112"/>
        <v>178</v>
      </c>
      <c r="O327" s="459"/>
      <c r="P327" s="767"/>
    </row>
    <row r="328" spans="2:17" ht="15.2" customHeight="1">
      <c r="B328" s="766" t="s">
        <v>855</v>
      </c>
      <c r="C328" s="766"/>
      <c r="D328" s="84"/>
      <c r="E328" s="87"/>
      <c r="F328" s="86"/>
      <c r="G328" s="470"/>
      <c r="H328" s="470">
        <f>SUM(H323:H327)</f>
        <v>670</v>
      </c>
      <c r="I328" s="470"/>
      <c r="J328" s="470">
        <f>SUM(J323:J327)</f>
        <v>724</v>
      </c>
      <c r="K328" s="470"/>
      <c r="L328" s="470">
        <f>SUM(L323:L327)</f>
        <v>19</v>
      </c>
      <c r="M328" s="470"/>
      <c r="N328" s="470">
        <f>SUM(N323:N327)</f>
        <v>1413</v>
      </c>
      <c r="O328" s="459"/>
      <c r="P328" s="767"/>
      <c r="Q328" s="80" t="s">
        <v>3244</v>
      </c>
    </row>
    <row r="329" spans="2:17" ht="15.2" customHeight="1">
      <c r="B329" s="83">
        <f>P329</f>
        <v>49</v>
      </c>
      <c r="C329" s="770" t="s">
        <v>3242</v>
      </c>
      <c r="D329" s="770"/>
      <c r="E329" s="770"/>
      <c r="F329" s="771"/>
      <c r="G329" s="470"/>
      <c r="H329" s="470"/>
      <c r="I329" s="470"/>
      <c r="J329" s="470"/>
      <c r="K329" s="470"/>
      <c r="L329" s="470"/>
      <c r="M329" s="470"/>
      <c r="N329" s="470"/>
      <c r="O329" s="459"/>
      <c r="P329" s="767">
        <f>MAX($P$5:P328)+1</f>
        <v>49</v>
      </c>
      <c r="Q329" s="80" t="s">
        <v>3243</v>
      </c>
    </row>
    <row r="330" spans="2:17" ht="15.2" customHeight="1">
      <c r="B330" s="766" t="s">
        <v>3187</v>
      </c>
      <c r="C330" s="766"/>
      <c r="D330" s="84"/>
      <c r="E330" s="87">
        <v>0.01</v>
      </c>
      <c r="F330" s="86" t="s">
        <v>1163</v>
      </c>
      <c r="G330" s="471"/>
      <c r="H330" s="470">
        <f>TRUNC(E330*G330,0)</f>
        <v>0</v>
      </c>
      <c r="I330" s="470">
        <f>SUMIF('노임(2015)'!$B$4:$B$87,B330,'노임(2015)'!$C$4:$C$87)+SUMIF('노임(2015)'!$E$4:$E$87,B330,'노임(2015)'!$F$4:$F$87)</f>
        <v>90909</v>
      </c>
      <c r="J330" s="470">
        <f>TRUNC(I330*E330,0)</f>
        <v>909</v>
      </c>
      <c r="K330" s="470"/>
      <c r="L330" s="470">
        <f>TRUNC(K330*E330,0)</f>
        <v>0</v>
      </c>
      <c r="M330" s="470">
        <f t="shared" ref="M330:N333" si="113">G330+I330+K330</f>
        <v>90909</v>
      </c>
      <c r="N330" s="470">
        <f t="shared" si="113"/>
        <v>909</v>
      </c>
      <c r="O330" s="459"/>
      <c r="P330" s="767"/>
    </row>
    <row r="331" spans="2:17" ht="15.2" customHeight="1">
      <c r="B331" s="766" t="s">
        <v>1162</v>
      </c>
      <c r="C331" s="766"/>
      <c r="D331" s="84"/>
      <c r="E331" s="87">
        <v>0.01</v>
      </c>
      <c r="F331" s="86" t="s">
        <v>1163</v>
      </c>
      <c r="G331" s="471"/>
      <c r="H331" s="470">
        <f>TRUNC(E331*G331,0)</f>
        <v>0</v>
      </c>
      <c r="I331" s="470">
        <f>SUMIF('노임(2015)'!$B$4:$B$87,B331,'노임(2015)'!$C$4:$C$87)+SUMIF('노임(2015)'!$E$4:$E$87,B331,'노임(2015)'!$F$4:$F$87)</f>
        <v>89566</v>
      </c>
      <c r="J331" s="470">
        <f>TRUNC(I331*E331,0)</f>
        <v>895</v>
      </c>
      <c r="K331" s="470"/>
      <c r="L331" s="470">
        <f>TRUNC(K331*E331,0)</f>
        <v>0</v>
      </c>
      <c r="M331" s="470">
        <f t="shared" si="113"/>
        <v>89566</v>
      </c>
      <c r="N331" s="470">
        <f t="shared" si="113"/>
        <v>895</v>
      </c>
      <c r="O331" s="459"/>
      <c r="P331" s="767"/>
    </row>
    <row r="332" spans="2:17" ht="15.2" customHeight="1">
      <c r="B332" s="766" t="s">
        <v>3240</v>
      </c>
      <c r="C332" s="766"/>
      <c r="D332" s="84"/>
      <c r="E332" s="87">
        <v>0.08</v>
      </c>
      <c r="F332" s="86" t="s">
        <v>453</v>
      </c>
      <c r="G332" s="471">
        <f>중기사용료!M1759</f>
        <v>0</v>
      </c>
      <c r="H332" s="470">
        <f>TRUNC(E332*G332,0)</f>
        <v>0</v>
      </c>
      <c r="I332" s="470"/>
      <c r="J332" s="470"/>
      <c r="K332" s="470">
        <f>중기사용료!$M$1753</f>
        <v>815</v>
      </c>
      <c r="L332" s="470">
        <f>TRUNC(K332*E332,0)</f>
        <v>65</v>
      </c>
      <c r="M332" s="470">
        <f t="shared" si="113"/>
        <v>815</v>
      </c>
      <c r="N332" s="470">
        <f t="shared" si="113"/>
        <v>65</v>
      </c>
      <c r="O332" s="460">
        <f>중기사용료!$A$1750</f>
        <v>93</v>
      </c>
      <c r="P332" s="767"/>
    </row>
    <row r="333" spans="2:17" ht="15.2" customHeight="1">
      <c r="B333" s="766" t="s">
        <v>1166</v>
      </c>
      <c r="C333" s="766"/>
      <c r="D333" s="84" t="s">
        <v>3218</v>
      </c>
      <c r="E333" s="87">
        <v>0.05</v>
      </c>
      <c r="F333" s="86" t="s">
        <v>933</v>
      </c>
      <c r="G333" s="471">
        <f>SUM(J330:J331)</f>
        <v>1804</v>
      </c>
      <c r="H333" s="470">
        <f>TRUNC(E333*G333,0)</f>
        <v>90</v>
      </c>
      <c r="I333" s="470"/>
      <c r="J333" s="470">
        <f>TRUNC(I333*E333,0)</f>
        <v>0</v>
      </c>
      <c r="K333" s="470"/>
      <c r="L333" s="470">
        <f>TRUNC(K333*E333,0)</f>
        <v>0</v>
      </c>
      <c r="M333" s="470">
        <f t="shared" si="113"/>
        <v>1804</v>
      </c>
      <c r="N333" s="470">
        <f t="shared" si="113"/>
        <v>90</v>
      </c>
      <c r="O333" s="459"/>
      <c r="P333" s="767"/>
    </row>
    <row r="334" spans="2:17" ht="15.2" customHeight="1">
      <c r="B334" s="766" t="s">
        <v>855</v>
      </c>
      <c r="C334" s="766"/>
      <c r="D334" s="84"/>
      <c r="E334" s="87"/>
      <c r="F334" s="86"/>
      <c r="G334" s="471"/>
      <c r="H334" s="470">
        <f>SUM(H330:H333)</f>
        <v>90</v>
      </c>
      <c r="I334" s="470"/>
      <c r="J334" s="470">
        <f>SUM(J330:J333)</f>
        <v>1804</v>
      </c>
      <c r="K334" s="470"/>
      <c r="L334" s="470">
        <f>SUM(L330:L333)</f>
        <v>65</v>
      </c>
      <c r="M334" s="471"/>
      <c r="N334" s="470">
        <f>SUM(N330:N333)</f>
        <v>1959</v>
      </c>
      <c r="O334" s="459"/>
      <c r="P334" s="767"/>
      <c r="Q334" s="80" t="s">
        <v>3244</v>
      </c>
    </row>
    <row r="335" spans="2:17" ht="15.2" customHeight="1">
      <c r="B335" s="83">
        <f>P335</f>
        <v>50</v>
      </c>
      <c r="C335" s="770" t="s">
        <v>3239</v>
      </c>
      <c r="D335" s="770"/>
      <c r="E335" s="770"/>
      <c r="F335" s="771"/>
      <c r="G335" s="470"/>
      <c r="H335" s="470"/>
      <c r="I335" s="470"/>
      <c r="J335" s="470"/>
      <c r="K335" s="470"/>
      <c r="L335" s="470"/>
      <c r="M335" s="470"/>
      <c r="N335" s="470"/>
      <c r="O335" s="459"/>
      <c r="P335" s="767">
        <f>MAX($P$5:P334)+1</f>
        <v>50</v>
      </c>
      <c r="Q335" s="80" t="s">
        <v>3243</v>
      </c>
    </row>
    <row r="336" spans="2:17" ht="15.2" customHeight="1">
      <c r="B336" s="766" t="s">
        <v>3187</v>
      </c>
      <c r="C336" s="766"/>
      <c r="D336" s="84"/>
      <c r="E336" s="87">
        <v>0.02</v>
      </c>
      <c r="F336" s="86" t="s">
        <v>1163</v>
      </c>
      <c r="G336" s="471"/>
      <c r="H336" s="470">
        <f>TRUNC(E336*G336,0)</f>
        <v>0</v>
      </c>
      <c r="I336" s="470">
        <f>SUMIF('노임(2015)'!$B$4:$B$87,B336,'노임(2015)'!$C$4:$C$87)+SUMIF('노임(2015)'!$E$4:$E$87,B336,'노임(2015)'!$F$4:$F$87)</f>
        <v>90909</v>
      </c>
      <c r="J336" s="470">
        <f>TRUNC(I336*E336,0)</f>
        <v>1818</v>
      </c>
      <c r="K336" s="470"/>
      <c r="L336" s="470">
        <f>TRUNC(K336*E336,0)</f>
        <v>0</v>
      </c>
      <c r="M336" s="470">
        <f t="shared" ref="M336:N339" si="114">G336+I336+K336</f>
        <v>90909</v>
      </c>
      <c r="N336" s="470">
        <f t="shared" si="114"/>
        <v>1818</v>
      </c>
      <c r="O336" s="459"/>
      <c r="P336" s="767"/>
    </row>
    <row r="337" spans="2:17" ht="15.2" customHeight="1">
      <c r="B337" s="766" t="s">
        <v>1162</v>
      </c>
      <c r="C337" s="766"/>
      <c r="D337" s="84"/>
      <c r="E337" s="87">
        <v>0.01</v>
      </c>
      <c r="F337" s="86" t="s">
        <v>1163</v>
      </c>
      <c r="G337" s="471"/>
      <c r="H337" s="470">
        <f>TRUNC(E337*G337,0)</f>
        <v>0</v>
      </c>
      <c r="I337" s="470">
        <f>SUMIF('노임(2015)'!$B$4:$B$87,B337,'노임(2015)'!$C$4:$C$87)+SUMIF('노임(2015)'!$E$4:$E$87,B337,'노임(2015)'!$F$4:$F$87)</f>
        <v>89566</v>
      </c>
      <c r="J337" s="470">
        <f>TRUNC(I337*E337,0)</f>
        <v>895</v>
      </c>
      <c r="K337" s="470"/>
      <c r="L337" s="470">
        <f>TRUNC(K337*E337,0)</f>
        <v>0</v>
      </c>
      <c r="M337" s="470">
        <f t="shared" si="114"/>
        <v>89566</v>
      </c>
      <c r="N337" s="470">
        <f t="shared" si="114"/>
        <v>895</v>
      </c>
      <c r="O337" s="459"/>
      <c r="P337" s="767"/>
    </row>
    <row r="338" spans="2:17" ht="15.2" customHeight="1">
      <c r="B338" s="766" t="s">
        <v>3240</v>
      </c>
      <c r="C338" s="766"/>
      <c r="D338" s="84"/>
      <c r="E338" s="87">
        <v>0.15</v>
      </c>
      <c r="F338" s="86" t="s">
        <v>453</v>
      </c>
      <c r="G338" s="471">
        <f>중기사용료!M1765</f>
        <v>0</v>
      </c>
      <c r="H338" s="470">
        <f>TRUNC(E338*G338,0)</f>
        <v>0</v>
      </c>
      <c r="I338" s="470">
        <f>중기사용료!M1759</f>
        <v>0</v>
      </c>
      <c r="J338" s="470">
        <f>TRUNC(I338*E338,0)</f>
        <v>0</v>
      </c>
      <c r="K338" s="470">
        <f>중기사용료!$M$1753</f>
        <v>815</v>
      </c>
      <c r="L338" s="470">
        <f>TRUNC(K338*E338,0)</f>
        <v>122</v>
      </c>
      <c r="M338" s="470">
        <f t="shared" si="114"/>
        <v>815</v>
      </c>
      <c r="N338" s="470">
        <f t="shared" si="114"/>
        <v>122</v>
      </c>
      <c r="O338" s="460">
        <f>중기사용료!$A$1750</f>
        <v>93</v>
      </c>
      <c r="P338" s="767"/>
    </row>
    <row r="339" spans="2:17" ht="15.2" customHeight="1">
      <c r="B339" s="766" t="s">
        <v>1166</v>
      </c>
      <c r="C339" s="766"/>
      <c r="D339" s="84" t="s">
        <v>3218</v>
      </c>
      <c r="E339" s="87">
        <v>0.05</v>
      </c>
      <c r="F339" s="86" t="s">
        <v>933</v>
      </c>
      <c r="G339" s="471">
        <f>SUM(J336:J337)</f>
        <v>2713</v>
      </c>
      <c r="H339" s="470">
        <f>TRUNC(E339*G339,0)</f>
        <v>135</v>
      </c>
      <c r="I339" s="470"/>
      <c r="J339" s="470">
        <f>TRUNC(I339*E339,0)</f>
        <v>0</v>
      </c>
      <c r="K339" s="470"/>
      <c r="L339" s="470">
        <f>TRUNC(K339*E339,0)</f>
        <v>0</v>
      </c>
      <c r="M339" s="470">
        <f t="shared" si="114"/>
        <v>2713</v>
      </c>
      <c r="N339" s="470">
        <f t="shared" si="114"/>
        <v>135</v>
      </c>
      <c r="O339" s="457"/>
      <c r="P339" s="767"/>
    </row>
    <row r="340" spans="2:17" ht="15.2" customHeight="1">
      <c r="B340" s="766" t="s">
        <v>855</v>
      </c>
      <c r="C340" s="766"/>
      <c r="D340" s="84"/>
      <c r="E340" s="87"/>
      <c r="F340" s="86"/>
      <c r="G340" s="471"/>
      <c r="H340" s="470">
        <f>SUM(H336:H339)</f>
        <v>135</v>
      </c>
      <c r="I340" s="470"/>
      <c r="J340" s="470">
        <f>SUM(J336:J339)</f>
        <v>2713</v>
      </c>
      <c r="K340" s="470"/>
      <c r="L340" s="470">
        <f>SUM(L336:L339)</f>
        <v>122</v>
      </c>
      <c r="M340" s="471"/>
      <c r="N340" s="470">
        <f>SUM(N336:N339)</f>
        <v>2970</v>
      </c>
      <c r="O340" s="457"/>
      <c r="P340" s="767"/>
      <c r="Q340" s="80" t="s">
        <v>3244</v>
      </c>
    </row>
    <row r="341" spans="2:17" ht="15.2" customHeight="1">
      <c r="B341" s="83">
        <f>P341</f>
        <v>51</v>
      </c>
      <c r="C341" s="770" t="s">
        <v>3732</v>
      </c>
      <c r="D341" s="770"/>
      <c r="E341" s="770"/>
      <c r="F341" s="771"/>
      <c r="G341" s="470"/>
      <c r="H341" s="470"/>
      <c r="I341" s="470"/>
      <c r="J341" s="470"/>
      <c r="K341" s="470"/>
      <c r="L341" s="470"/>
      <c r="M341" s="470"/>
      <c r="N341" s="470"/>
      <c r="O341" s="459"/>
      <c r="P341" s="767">
        <f>MAX($P$5:P340)+1</f>
        <v>51</v>
      </c>
      <c r="Q341" s="80" t="s">
        <v>3243</v>
      </c>
    </row>
    <row r="342" spans="2:17" ht="15.2" customHeight="1">
      <c r="B342" s="766" t="s">
        <v>3187</v>
      </c>
      <c r="C342" s="766"/>
      <c r="D342" s="84"/>
      <c r="E342" s="87">
        <v>0.05</v>
      </c>
      <c r="F342" s="86" t="s">
        <v>1163</v>
      </c>
      <c r="G342" s="471"/>
      <c r="H342" s="470">
        <f>TRUNC(E342*G342,0)</f>
        <v>0</v>
      </c>
      <c r="I342" s="470">
        <f>SUMIF('노임(2015)'!$B$4:$B$87,B342,'노임(2015)'!$C$4:$C$87)+SUMIF('노임(2015)'!$E$4:$E$87,B342,'노임(2015)'!$F$4:$F$87)</f>
        <v>90909</v>
      </c>
      <c r="J342" s="470">
        <f>TRUNC(I342*E342,0)</f>
        <v>4545</v>
      </c>
      <c r="K342" s="470"/>
      <c r="L342" s="470">
        <f>TRUNC(K342*E342,0)</f>
        <v>0</v>
      </c>
      <c r="M342" s="470">
        <f t="shared" ref="M342:N345" si="115">G342+I342+K342</f>
        <v>90909</v>
      </c>
      <c r="N342" s="470">
        <f t="shared" si="115"/>
        <v>4545</v>
      </c>
      <c r="O342" s="459"/>
      <c r="P342" s="767"/>
    </row>
    <row r="343" spans="2:17" ht="15.2" customHeight="1">
      <c r="B343" s="766" t="s">
        <v>1162</v>
      </c>
      <c r="C343" s="766"/>
      <c r="D343" s="84"/>
      <c r="E343" s="87">
        <v>0.05</v>
      </c>
      <c r="F343" s="86" t="s">
        <v>1163</v>
      </c>
      <c r="G343" s="471"/>
      <c r="H343" s="470">
        <f>TRUNC(E343*G343,0)</f>
        <v>0</v>
      </c>
      <c r="I343" s="470">
        <f>SUMIF('노임(2015)'!$B$4:$B$87,B343,'노임(2015)'!$C$4:$C$87)+SUMIF('노임(2015)'!$E$4:$E$87,B343,'노임(2015)'!$F$4:$F$87)</f>
        <v>89566</v>
      </c>
      <c r="J343" s="470">
        <f>TRUNC(I343*E343,0)</f>
        <v>4478</v>
      </c>
      <c r="K343" s="470"/>
      <c r="L343" s="470">
        <f>TRUNC(K343*E343,0)</f>
        <v>0</v>
      </c>
      <c r="M343" s="470">
        <f t="shared" si="115"/>
        <v>89566</v>
      </c>
      <c r="N343" s="470">
        <f t="shared" si="115"/>
        <v>4478</v>
      </c>
      <c r="O343" s="459"/>
      <c r="P343" s="767"/>
    </row>
    <row r="344" spans="2:17" ht="15.2" customHeight="1">
      <c r="B344" s="766" t="s">
        <v>3240</v>
      </c>
      <c r="C344" s="766"/>
      <c r="D344" s="84"/>
      <c r="E344" s="87">
        <v>0.4</v>
      </c>
      <c r="F344" s="86" t="s">
        <v>453</v>
      </c>
      <c r="G344" s="471">
        <f>중기사용료!M1771</f>
        <v>0</v>
      </c>
      <c r="H344" s="470">
        <f>TRUNC(E344*G344,0)</f>
        <v>0</v>
      </c>
      <c r="I344" s="470">
        <f>중기사용료!M1765</f>
        <v>0</v>
      </c>
      <c r="J344" s="470">
        <f>TRUNC(I344*E344,0)</f>
        <v>0</v>
      </c>
      <c r="K344" s="470">
        <f>중기사용료!$M$1753</f>
        <v>815</v>
      </c>
      <c r="L344" s="470">
        <f>TRUNC(K344*E344,0)</f>
        <v>326</v>
      </c>
      <c r="M344" s="470">
        <f t="shared" si="115"/>
        <v>815</v>
      </c>
      <c r="N344" s="470">
        <f t="shared" si="115"/>
        <v>326</v>
      </c>
      <c r="O344" s="460">
        <f>중기사용료!$A$1750</f>
        <v>93</v>
      </c>
      <c r="P344" s="767"/>
    </row>
    <row r="345" spans="2:17" ht="15.2" customHeight="1">
      <c r="B345" s="766" t="s">
        <v>1166</v>
      </c>
      <c r="C345" s="766"/>
      <c r="D345" s="84" t="s">
        <v>3218</v>
      </c>
      <c r="E345" s="87">
        <v>0.05</v>
      </c>
      <c r="F345" s="86" t="s">
        <v>933</v>
      </c>
      <c r="G345" s="471">
        <f>SUM(J342:J343)</f>
        <v>9023</v>
      </c>
      <c r="H345" s="470">
        <f>TRUNC(E345*G345,0)</f>
        <v>451</v>
      </c>
      <c r="I345" s="470"/>
      <c r="J345" s="470">
        <f>TRUNC(I345*E345,0)</f>
        <v>0</v>
      </c>
      <c r="K345" s="470"/>
      <c r="L345" s="470">
        <f>TRUNC(K345*E345,0)</f>
        <v>0</v>
      </c>
      <c r="M345" s="470">
        <f t="shared" si="115"/>
        <v>9023</v>
      </c>
      <c r="N345" s="470">
        <f t="shared" si="115"/>
        <v>451</v>
      </c>
      <c r="O345" s="457"/>
      <c r="P345" s="767"/>
    </row>
    <row r="346" spans="2:17" ht="15.2" customHeight="1">
      <c r="B346" s="766" t="s">
        <v>855</v>
      </c>
      <c r="C346" s="766"/>
      <c r="D346" s="84"/>
      <c r="E346" s="87"/>
      <c r="F346" s="86"/>
      <c r="G346" s="471"/>
      <c r="H346" s="470">
        <f>SUM(H342:H345)</f>
        <v>451</v>
      </c>
      <c r="I346" s="470"/>
      <c r="J346" s="470">
        <f>SUM(J342:J345)</f>
        <v>9023</v>
      </c>
      <c r="K346" s="470"/>
      <c r="L346" s="470">
        <f>SUM(L342:L345)</f>
        <v>326</v>
      </c>
      <c r="M346" s="471"/>
      <c r="N346" s="470">
        <f>SUM(N342:N345)</f>
        <v>9800</v>
      </c>
      <c r="O346" s="457"/>
      <c r="P346" s="767"/>
      <c r="Q346" s="80" t="s">
        <v>1164</v>
      </c>
    </row>
    <row r="347" spans="2:17" ht="15.2" customHeight="1">
      <c r="B347" s="83">
        <f>P347</f>
        <v>52</v>
      </c>
      <c r="C347" s="770" t="s">
        <v>3733</v>
      </c>
      <c r="D347" s="770"/>
      <c r="E347" s="770"/>
      <c r="F347" s="771"/>
      <c r="G347" s="470"/>
      <c r="H347" s="470"/>
      <c r="I347" s="470"/>
      <c r="J347" s="470"/>
      <c r="K347" s="470"/>
      <c r="L347" s="470"/>
      <c r="M347" s="470"/>
      <c r="N347" s="470"/>
      <c r="O347" s="459"/>
      <c r="P347" s="767">
        <f>MAX($P$5:P346)+1</f>
        <v>52</v>
      </c>
      <c r="Q347" s="80" t="s">
        <v>3243</v>
      </c>
    </row>
    <row r="348" spans="2:17" ht="15.2" customHeight="1">
      <c r="B348" s="766" t="s">
        <v>3187</v>
      </c>
      <c r="C348" s="766"/>
      <c r="D348" s="84"/>
      <c r="E348" s="87">
        <v>0.06</v>
      </c>
      <c r="F348" s="86" t="s">
        <v>1163</v>
      </c>
      <c r="G348" s="471"/>
      <c r="H348" s="470">
        <f>TRUNC(E348*G348,0)</f>
        <v>0</v>
      </c>
      <c r="I348" s="470">
        <f>SUMIF('노임(2015)'!$B$4:$B$87,B348,'노임(2015)'!$C$4:$C$87)+SUMIF('노임(2015)'!$E$4:$E$87,B348,'노임(2015)'!$F$4:$F$87)</f>
        <v>90909</v>
      </c>
      <c r="J348" s="470">
        <f>TRUNC(I348*E348,0)</f>
        <v>5454</v>
      </c>
      <c r="K348" s="470"/>
      <c r="L348" s="470">
        <f>TRUNC(K348*E348,0)</f>
        <v>0</v>
      </c>
      <c r="M348" s="470">
        <f t="shared" ref="M348:N351" si="116">G348+I348+K348</f>
        <v>90909</v>
      </c>
      <c r="N348" s="470">
        <f t="shared" si="116"/>
        <v>5454</v>
      </c>
      <c r="O348" s="459"/>
      <c r="P348" s="767"/>
    </row>
    <row r="349" spans="2:17" ht="15.2" customHeight="1">
      <c r="B349" s="766" t="s">
        <v>1162</v>
      </c>
      <c r="C349" s="766"/>
      <c r="D349" s="84"/>
      <c r="E349" s="87">
        <v>0.09</v>
      </c>
      <c r="F349" s="86" t="s">
        <v>1163</v>
      </c>
      <c r="G349" s="471"/>
      <c r="H349" s="470">
        <f>TRUNC(E349*G349,0)</f>
        <v>0</v>
      </c>
      <c r="I349" s="470">
        <f>SUMIF('노임(2015)'!$B$4:$B$87,B349,'노임(2015)'!$C$4:$C$87)+SUMIF('노임(2015)'!$E$4:$E$87,B349,'노임(2015)'!$F$4:$F$87)</f>
        <v>89566</v>
      </c>
      <c r="J349" s="470">
        <f>TRUNC(I349*E349,0)</f>
        <v>8060</v>
      </c>
      <c r="K349" s="470"/>
      <c r="L349" s="470">
        <f>TRUNC(K349*E349,0)</f>
        <v>0</v>
      </c>
      <c r="M349" s="470">
        <f t="shared" si="116"/>
        <v>89566</v>
      </c>
      <c r="N349" s="470">
        <f t="shared" si="116"/>
        <v>8060</v>
      </c>
      <c r="O349" s="459"/>
      <c r="P349" s="767"/>
    </row>
    <row r="350" spans="2:17" ht="15.2" customHeight="1">
      <c r="B350" s="766" t="s">
        <v>3240</v>
      </c>
      <c r="C350" s="766"/>
      <c r="D350" s="84"/>
      <c r="E350" s="87">
        <v>0.45</v>
      </c>
      <c r="F350" s="86" t="s">
        <v>453</v>
      </c>
      <c r="G350" s="471">
        <f>중기사용료!M1777</f>
        <v>0</v>
      </c>
      <c r="H350" s="470">
        <f>TRUNC(E350*G350,0)</f>
        <v>0</v>
      </c>
      <c r="I350" s="470">
        <f>중기사용료!M1771</f>
        <v>0</v>
      </c>
      <c r="J350" s="470">
        <f>TRUNC(I350*E350,0)</f>
        <v>0</v>
      </c>
      <c r="K350" s="470">
        <f>중기사용료!$M$1753</f>
        <v>815</v>
      </c>
      <c r="L350" s="470">
        <f>TRUNC(K350*E350,0)</f>
        <v>366</v>
      </c>
      <c r="M350" s="470">
        <f t="shared" si="116"/>
        <v>815</v>
      </c>
      <c r="N350" s="470">
        <f t="shared" si="116"/>
        <v>366</v>
      </c>
      <c r="O350" s="460">
        <f>중기사용료!$A$1750</f>
        <v>93</v>
      </c>
      <c r="P350" s="767"/>
    </row>
    <row r="351" spans="2:17" ht="15.2" customHeight="1">
      <c r="B351" s="766" t="s">
        <v>1166</v>
      </c>
      <c r="C351" s="766"/>
      <c r="D351" s="84" t="s">
        <v>3218</v>
      </c>
      <c r="E351" s="87">
        <v>0.05</v>
      </c>
      <c r="F351" s="86" t="s">
        <v>933</v>
      </c>
      <c r="G351" s="471">
        <f>SUM(J348:J349)</f>
        <v>13514</v>
      </c>
      <c r="H351" s="470">
        <f>TRUNC(E351*G351,0)</f>
        <v>675</v>
      </c>
      <c r="I351" s="470"/>
      <c r="J351" s="470">
        <f>TRUNC(I351*E351,0)</f>
        <v>0</v>
      </c>
      <c r="K351" s="470"/>
      <c r="L351" s="470">
        <f>TRUNC(K351*E351,0)</f>
        <v>0</v>
      </c>
      <c r="M351" s="470">
        <f t="shared" si="116"/>
        <v>13514</v>
      </c>
      <c r="N351" s="470">
        <f t="shared" si="116"/>
        <v>675</v>
      </c>
      <c r="O351" s="457"/>
      <c r="P351" s="767"/>
    </row>
    <row r="352" spans="2:17" ht="15.2" customHeight="1">
      <c r="B352" s="766" t="s">
        <v>855</v>
      </c>
      <c r="C352" s="766"/>
      <c r="D352" s="84"/>
      <c r="E352" s="87"/>
      <c r="F352" s="86"/>
      <c r="G352" s="471"/>
      <c r="H352" s="470">
        <f>SUM(H348:H351)</f>
        <v>675</v>
      </c>
      <c r="I352" s="470"/>
      <c r="J352" s="470">
        <f>SUM(J348:J351)</f>
        <v>13514</v>
      </c>
      <c r="K352" s="470"/>
      <c r="L352" s="470">
        <f>SUM(L348:L351)</f>
        <v>366</v>
      </c>
      <c r="M352" s="471"/>
      <c r="N352" s="470">
        <f>SUM(N348:N351)</f>
        <v>14555</v>
      </c>
      <c r="O352" s="457"/>
      <c r="P352" s="767"/>
      <c r="Q352" s="80" t="s">
        <v>1164</v>
      </c>
    </row>
    <row r="353" spans="2:17" ht="15.2" customHeight="1">
      <c r="B353" s="83">
        <f>P353</f>
        <v>53</v>
      </c>
      <c r="C353" s="770" t="s">
        <v>3734</v>
      </c>
      <c r="D353" s="770"/>
      <c r="E353" s="770"/>
      <c r="F353" s="771"/>
      <c r="G353" s="470"/>
      <c r="H353" s="470"/>
      <c r="I353" s="470"/>
      <c r="J353" s="470"/>
      <c r="K353" s="470"/>
      <c r="L353" s="470"/>
      <c r="M353" s="470"/>
      <c r="N353" s="470"/>
      <c r="O353" s="459"/>
      <c r="P353" s="767">
        <f>MAX($P$5:P352)+1</f>
        <v>53</v>
      </c>
      <c r="Q353" s="80" t="s">
        <v>3243</v>
      </c>
    </row>
    <row r="354" spans="2:17" ht="15.2" customHeight="1">
      <c r="B354" s="766" t="s">
        <v>3187</v>
      </c>
      <c r="C354" s="766"/>
      <c r="D354" s="84"/>
      <c r="E354" s="87">
        <v>0.08</v>
      </c>
      <c r="F354" s="86" t="s">
        <v>1163</v>
      </c>
      <c r="G354" s="471"/>
      <c r="H354" s="470">
        <f>TRUNC(E354*G354,0)</f>
        <v>0</v>
      </c>
      <c r="I354" s="470">
        <f>SUMIF('노임(2015)'!$B$4:$B$87,B354,'노임(2015)'!$C$4:$C$87)+SUMIF('노임(2015)'!$E$4:$E$87,B354,'노임(2015)'!$F$4:$F$87)</f>
        <v>90909</v>
      </c>
      <c r="J354" s="470">
        <f>TRUNC(I354*E354,0)</f>
        <v>7272</v>
      </c>
      <c r="K354" s="470"/>
      <c r="L354" s="470">
        <f>TRUNC(K354*E354,0)</f>
        <v>0</v>
      </c>
      <c r="M354" s="470">
        <f t="shared" ref="M354:N357" si="117">G354+I354+K354</f>
        <v>90909</v>
      </c>
      <c r="N354" s="470">
        <f t="shared" si="117"/>
        <v>7272</v>
      </c>
      <c r="O354" s="459"/>
      <c r="P354" s="767"/>
    </row>
    <row r="355" spans="2:17" ht="15.2" customHeight="1">
      <c r="B355" s="766" t="s">
        <v>1162</v>
      </c>
      <c r="C355" s="766"/>
      <c r="D355" s="84"/>
      <c r="E355" s="87">
        <v>0.13</v>
      </c>
      <c r="F355" s="86" t="s">
        <v>1163</v>
      </c>
      <c r="G355" s="471"/>
      <c r="H355" s="470">
        <f>TRUNC(E355*G355,0)</f>
        <v>0</v>
      </c>
      <c r="I355" s="470">
        <f>SUMIF('노임(2015)'!$B$4:$B$87,B355,'노임(2015)'!$C$4:$C$87)+SUMIF('노임(2015)'!$E$4:$E$87,B355,'노임(2015)'!$F$4:$F$87)</f>
        <v>89566</v>
      </c>
      <c r="J355" s="470">
        <f>TRUNC(I355*E355,0)</f>
        <v>11643</v>
      </c>
      <c r="K355" s="470"/>
      <c r="L355" s="470">
        <f>TRUNC(K355*E355,0)</f>
        <v>0</v>
      </c>
      <c r="M355" s="470">
        <f t="shared" si="117"/>
        <v>89566</v>
      </c>
      <c r="N355" s="470">
        <f t="shared" si="117"/>
        <v>11643</v>
      </c>
      <c r="O355" s="459"/>
      <c r="P355" s="767"/>
    </row>
    <row r="356" spans="2:17" ht="15.2" customHeight="1">
      <c r="B356" s="766" t="s">
        <v>3240</v>
      </c>
      <c r="C356" s="766"/>
      <c r="D356" s="84"/>
      <c r="E356" s="87">
        <v>0.6</v>
      </c>
      <c r="F356" s="86" t="s">
        <v>453</v>
      </c>
      <c r="G356" s="471">
        <f>중기사용료!M1783</f>
        <v>0</v>
      </c>
      <c r="H356" s="470">
        <f>TRUNC(E356*G356,0)</f>
        <v>0</v>
      </c>
      <c r="I356" s="470">
        <f>중기사용료!M1777</f>
        <v>0</v>
      </c>
      <c r="J356" s="470">
        <f>TRUNC(I356*E356,0)</f>
        <v>0</v>
      </c>
      <c r="K356" s="470">
        <f>중기사용료!$M$1753</f>
        <v>815</v>
      </c>
      <c r="L356" s="470">
        <f>TRUNC(K356*E356,0)</f>
        <v>489</v>
      </c>
      <c r="M356" s="470">
        <f t="shared" si="117"/>
        <v>815</v>
      </c>
      <c r="N356" s="470">
        <f t="shared" si="117"/>
        <v>489</v>
      </c>
      <c r="O356" s="460">
        <f>중기사용료!$A$1750</f>
        <v>93</v>
      </c>
      <c r="P356" s="767"/>
    </row>
    <row r="357" spans="2:17" ht="15.2" customHeight="1">
      <c r="B357" s="766" t="s">
        <v>1166</v>
      </c>
      <c r="C357" s="766"/>
      <c r="D357" s="84" t="s">
        <v>3218</v>
      </c>
      <c r="E357" s="87">
        <v>0.05</v>
      </c>
      <c r="F357" s="86" t="s">
        <v>933</v>
      </c>
      <c r="G357" s="471">
        <f>SUM(J354:J355)</f>
        <v>18915</v>
      </c>
      <c r="H357" s="470">
        <f>TRUNC(E357*G357,0)</f>
        <v>945</v>
      </c>
      <c r="I357" s="470"/>
      <c r="J357" s="470">
        <f>TRUNC(I357*E357,0)</f>
        <v>0</v>
      </c>
      <c r="K357" s="470"/>
      <c r="L357" s="470">
        <f>TRUNC(K357*E357,0)</f>
        <v>0</v>
      </c>
      <c r="M357" s="470">
        <f t="shared" si="117"/>
        <v>18915</v>
      </c>
      <c r="N357" s="470">
        <f t="shared" si="117"/>
        <v>945</v>
      </c>
      <c r="O357" s="457"/>
      <c r="P357" s="767"/>
    </row>
    <row r="358" spans="2:17" ht="15.2" customHeight="1">
      <c r="B358" s="766" t="s">
        <v>855</v>
      </c>
      <c r="C358" s="766"/>
      <c r="D358" s="84"/>
      <c r="E358" s="87"/>
      <c r="F358" s="86"/>
      <c r="G358" s="471"/>
      <c r="H358" s="470">
        <f>SUM(H354:H357)</f>
        <v>945</v>
      </c>
      <c r="I358" s="470"/>
      <c r="J358" s="470">
        <f>SUM(J354:J357)</f>
        <v>18915</v>
      </c>
      <c r="K358" s="470"/>
      <c r="L358" s="470">
        <f>SUM(L354:L357)</f>
        <v>489</v>
      </c>
      <c r="M358" s="471"/>
      <c r="N358" s="470">
        <f>SUM(N354:N357)</f>
        <v>20349</v>
      </c>
      <c r="O358" s="457"/>
      <c r="P358" s="767"/>
      <c r="Q358" s="80" t="s">
        <v>1164</v>
      </c>
    </row>
    <row r="359" spans="2:17" ht="15.2" customHeight="1">
      <c r="B359" s="83">
        <f>P359</f>
        <v>54</v>
      </c>
      <c r="C359" s="770" t="s">
        <v>3735</v>
      </c>
      <c r="D359" s="770"/>
      <c r="E359" s="770"/>
      <c r="F359" s="771"/>
      <c r="G359" s="470"/>
      <c r="H359" s="470"/>
      <c r="I359" s="470"/>
      <c r="J359" s="470"/>
      <c r="K359" s="470"/>
      <c r="L359" s="470"/>
      <c r="M359" s="470"/>
      <c r="N359" s="470"/>
      <c r="O359" s="459"/>
      <c r="P359" s="767">
        <f>MAX($P$5:P358)+1</f>
        <v>54</v>
      </c>
      <c r="Q359" s="80" t="s">
        <v>3243</v>
      </c>
    </row>
    <row r="360" spans="2:17" ht="15.2" customHeight="1">
      <c r="B360" s="766" t="s">
        <v>3187</v>
      </c>
      <c r="C360" s="766"/>
      <c r="D360" s="84"/>
      <c r="E360" s="87">
        <v>0.09</v>
      </c>
      <c r="F360" s="86" t="s">
        <v>1163</v>
      </c>
      <c r="G360" s="471"/>
      <c r="H360" s="470">
        <f>TRUNC(E360*G360,0)</f>
        <v>0</v>
      </c>
      <c r="I360" s="470">
        <f>SUMIF('노임(2015)'!$B$4:$B$87,B360,'노임(2015)'!$C$4:$C$87)+SUMIF('노임(2015)'!$E$4:$E$87,B360,'노임(2015)'!$F$4:$F$87)</f>
        <v>90909</v>
      </c>
      <c r="J360" s="470">
        <f>TRUNC(I360*E360,0)</f>
        <v>8181</v>
      </c>
      <c r="K360" s="470"/>
      <c r="L360" s="470">
        <f>TRUNC(K360*E360,0)</f>
        <v>0</v>
      </c>
      <c r="M360" s="470">
        <f t="shared" ref="M360:N363" si="118">G360+I360+K360</f>
        <v>90909</v>
      </c>
      <c r="N360" s="470">
        <f t="shared" si="118"/>
        <v>8181</v>
      </c>
      <c r="O360" s="459"/>
      <c r="P360" s="767"/>
    </row>
    <row r="361" spans="2:17" ht="15.2" customHeight="1">
      <c r="B361" s="766" t="s">
        <v>1162</v>
      </c>
      <c r="C361" s="766"/>
      <c r="D361" s="84"/>
      <c r="E361" s="87">
        <v>0.18</v>
      </c>
      <c r="F361" s="86" t="s">
        <v>1163</v>
      </c>
      <c r="G361" s="471"/>
      <c r="H361" s="470">
        <f>TRUNC(E361*G361,0)</f>
        <v>0</v>
      </c>
      <c r="I361" s="470">
        <f>SUMIF('노임(2015)'!$B$4:$B$87,B361,'노임(2015)'!$C$4:$C$87)+SUMIF('노임(2015)'!$E$4:$E$87,B361,'노임(2015)'!$F$4:$F$87)</f>
        <v>89566</v>
      </c>
      <c r="J361" s="470">
        <f>TRUNC(I361*E361,0)</f>
        <v>16121</v>
      </c>
      <c r="K361" s="470"/>
      <c r="L361" s="470">
        <f>TRUNC(K361*E361,0)</f>
        <v>0</v>
      </c>
      <c r="M361" s="470">
        <f t="shared" si="118"/>
        <v>89566</v>
      </c>
      <c r="N361" s="470">
        <f t="shared" si="118"/>
        <v>16121</v>
      </c>
      <c r="O361" s="459"/>
      <c r="P361" s="767"/>
    </row>
    <row r="362" spans="2:17" ht="15.2" customHeight="1">
      <c r="B362" s="766" t="s">
        <v>3240</v>
      </c>
      <c r="C362" s="766"/>
      <c r="D362" s="84"/>
      <c r="E362" s="87">
        <v>0.75</v>
      </c>
      <c r="F362" s="86" t="s">
        <v>453</v>
      </c>
      <c r="G362" s="471">
        <f>중기사용료!M1789</f>
        <v>0</v>
      </c>
      <c r="H362" s="470">
        <f>TRUNC(E362*G362,0)</f>
        <v>0</v>
      </c>
      <c r="I362" s="470">
        <f>중기사용료!M1783</f>
        <v>0</v>
      </c>
      <c r="J362" s="470">
        <f>TRUNC(I362*E362,0)</f>
        <v>0</v>
      </c>
      <c r="K362" s="470">
        <f>중기사용료!$M$1753</f>
        <v>815</v>
      </c>
      <c r="L362" s="470">
        <f>TRUNC(K362*E362,0)</f>
        <v>611</v>
      </c>
      <c r="M362" s="470">
        <f t="shared" si="118"/>
        <v>815</v>
      </c>
      <c r="N362" s="470">
        <f t="shared" si="118"/>
        <v>611</v>
      </c>
      <c r="O362" s="460">
        <f>중기사용료!$A$1750</f>
        <v>93</v>
      </c>
      <c r="P362" s="767"/>
    </row>
    <row r="363" spans="2:17" ht="15.2" customHeight="1">
      <c r="B363" s="766" t="s">
        <v>1166</v>
      </c>
      <c r="C363" s="766"/>
      <c r="D363" s="84" t="s">
        <v>3218</v>
      </c>
      <c r="E363" s="87">
        <v>0.05</v>
      </c>
      <c r="F363" s="86" t="s">
        <v>933</v>
      </c>
      <c r="G363" s="471">
        <f>SUM(J360:J361)</f>
        <v>24302</v>
      </c>
      <c r="H363" s="470">
        <f>TRUNC(E363*G363,0)</f>
        <v>1215</v>
      </c>
      <c r="I363" s="470"/>
      <c r="J363" s="470">
        <f>TRUNC(I363*E363,0)</f>
        <v>0</v>
      </c>
      <c r="K363" s="470"/>
      <c r="L363" s="470">
        <f>TRUNC(K363*E363,0)</f>
        <v>0</v>
      </c>
      <c r="M363" s="470">
        <f t="shared" si="118"/>
        <v>24302</v>
      </c>
      <c r="N363" s="470">
        <f t="shared" si="118"/>
        <v>1215</v>
      </c>
      <c r="O363" s="457"/>
      <c r="P363" s="767"/>
    </row>
    <row r="364" spans="2:17" ht="15.2" customHeight="1">
      <c r="B364" s="766" t="s">
        <v>855</v>
      </c>
      <c r="C364" s="766"/>
      <c r="D364" s="84"/>
      <c r="E364" s="87"/>
      <c r="F364" s="86"/>
      <c r="G364" s="471"/>
      <c r="H364" s="470">
        <f>SUM(H360:H363)</f>
        <v>1215</v>
      </c>
      <c r="I364" s="470"/>
      <c r="J364" s="470">
        <f>SUM(J360:J363)</f>
        <v>24302</v>
      </c>
      <c r="K364" s="470"/>
      <c r="L364" s="470">
        <f>SUM(L360:L363)</f>
        <v>611</v>
      </c>
      <c r="M364" s="471"/>
      <c r="N364" s="470">
        <f>SUM(N360:N363)</f>
        <v>26128</v>
      </c>
      <c r="O364" s="457"/>
      <c r="P364" s="767"/>
      <c r="Q364" s="80" t="s">
        <v>1164</v>
      </c>
    </row>
    <row r="365" spans="2:17" ht="15.2" customHeight="1">
      <c r="B365" s="83">
        <f>P365</f>
        <v>55</v>
      </c>
      <c r="C365" s="770" t="s">
        <v>3736</v>
      </c>
      <c r="D365" s="770"/>
      <c r="E365" s="770"/>
      <c r="F365" s="771"/>
      <c r="G365" s="470"/>
      <c r="H365" s="470"/>
      <c r="I365" s="470"/>
      <c r="J365" s="470"/>
      <c r="K365" s="470"/>
      <c r="L365" s="470"/>
      <c r="M365" s="470"/>
      <c r="N365" s="470"/>
      <c r="O365" s="459"/>
      <c r="P365" s="767">
        <f>MAX($P$5:P364)+1</f>
        <v>55</v>
      </c>
      <c r="Q365" s="80" t="s">
        <v>3243</v>
      </c>
    </row>
    <row r="366" spans="2:17" ht="15.2" customHeight="1">
      <c r="B366" s="766" t="s">
        <v>3187</v>
      </c>
      <c r="C366" s="766"/>
      <c r="D366" s="84"/>
      <c r="E366" s="87">
        <v>0.12</v>
      </c>
      <c r="F366" s="86" t="s">
        <v>1163</v>
      </c>
      <c r="G366" s="471"/>
      <c r="H366" s="470">
        <f>TRUNC(E366*G366,0)</f>
        <v>0</v>
      </c>
      <c r="I366" s="470">
        <f>SUMIF('노임(2015)'!$B$4:$B$87,B366,'노임(2015)'!$C$4:$C$87)+SUMIF('노임(2015)'!$E$4:$E$87,B366,'노임(2015)'!$F$4:$F$87)</f>
        <v>90909</v>
      </c>
      <c r="J366" s="470">
        <f>TRUNC(I366*E366,0)</f>
        <v>10909</v>
      </c>
      <c r="K366" s="470"/>
      <c r="L366" s="470">
        <f>TRUNC(K366*E366,0)</f>
        <v>0</v>
      </c>
      <c r="M366" s="470">
        <f t="shared" ref="M366:N369" si="119">G366+I366+K366</f>
        <v>90909</v>
      </c>
      <c r="N366" s="470">
        <f t="shared" si="119"/>
        <v>10909</v>
      </c>
      <c r="O366" s="459"/>
      <c r="P366" s="767"/>
    </row>
    <row r="367" spans="2:17" ht="15.2" customHeight="1">
      <c r="B367" s="766" t="s">
        <v>1162</v>
      </c>
      <c r="C367" s="766"/>
      <c r="D367" s="84"/>
      <c r="E367" s="87">
        <v>0.23</v>
      </c>
      <c r="F367" s="86" t="s">
        <v>1163</v>
      </c>
      <c r="G367" s="471"/>
      <c r="H367" s="470">
        <f>TRUNC(E367*G367,0)</f>
        <v>0</v>
      </c>
      <c r="I367" s="470">
        <f>SUMIF('노임(2015)'!$B$4:$B$87,B367,'노임(2015)'!$C$4:$C$87)+SUMIF('노임(2015)'!$E$4:$E$87,B367,'노임(2015)'!$F$4:$F$87)</f>
        <v>89566</v>
      </c>
      <c r="J367" s="470">
        <f>TRUNC(I367*E367,0)</f>
        <v>20600</v>
      </c>
      <c r="K367" s="470"/>
      <c r="L367" s="470">
        <f>TRUNC(K367*E367,0)</f>
        <v>0</v>
      </c>
      <c r="M367" s="470">
        <f t="shared" si="119"/>
        <v>89566</v>
      </c>
      <c r="N367" s="470">
        <f t="shared" si="119"/>
        <v>20600</v>
      </c>
      <c r="O367" s="459"/>
      <c r="P367" s="767"/>
    </row>
    <row r="368" spans="2:17" ht="15.2" customHeight="1">
      <c r="B368" s="766" t="s">
        <v>3240</v>
      </c>
      <c r="C368" s="766"/>
      <c r="D368" s="84"/>
      <c r="E368" s="87">
        <v>0.93</v>
      </c>
      <c r="F368" s="86" t="s">
        <v>453</v>
      </c>
      <c r="G368" s="471">
        <f>중기사용료!M1795</f>
        <v>0</v>
      </c>
      <c r="H368" s="470">
        <f>TRUNC(E368*G368,0)</f>
        <v>0</v>
      </c>
      <c r="I368" s="470">
        <f>중기사용료!M1789</f>
        <v>0</v>
      </c>
      <c r="J368" s="470">
        <f>TRUNC(I368*E368,0)</f>
        <v>0</v>
      </c>
      <c r="K368" s="470">
        <f>중기사용료!$M$1753</f>
        <v>815</v>
      </c>
      <c r="L368" s="470">
        <f>TRUNC(K368*E368,0)</f>
        <v>757</v>
      </c>
      <c r="M368" s="470">
        <f t="shared" si="119"/>
        <v>815</v>
      </c>
      <c r="N368" s="470">
        <f t="shared" si="119"/>
        <v>757</v>
      </c>
      <c r="O368" s="460">
        <f>중기사용료!$A$1750</f>
        <v>93</v>
      </c>
      <c r="P368" s="767"/>
    </row>
    <row r="369" spans="2:17" ht="15.2" customHeight="1">
      <c r="B369" s="766" t="s">
        <v>1166</v>
      </c>
      <c r="C369" s="766"/>
      <c r="D369" s="84" t="s">
        <v>3218</v>
      </c>
      <c r="E369" s="87">
        <v>0.05</v>
      </c>
      <c r="F369" s="86" t="s">
        <v>933</v>
      </c>
      <c r="G369" s="471">
        <f>SUM(J366:J367)</f>
        <v>31509</v>
      </c>
      <c r="H369" s="470">
        <f>TRUNC(E369*G369,0)</f>
        <v>1575</v>
      </c>
      <c r="I369" s="470"/>
      <c r="J369" s="470">
        <f>TRUNC(I369*E369,0)</f>
        <v>0</v>
      </c>
      <c r="K369" s="470"/>
      <c r="L369" s="470">
        <f>TRUNC(K369*E369,0)</f>
        <v>0</v>
      </c>
      <c r="M369" s="470">
        <f t="shared" si="119"/>
        <v>31509</v>
      </c>
      <c r="N369" s="470">
        <f t="shared" si="119"/>
        <v>1575</v>
      </c>
      <c r="O369" s="457"/>
      <c r="P369" s="767"/>
    </row>
    <row r="370" spans="2:17" ht="15.2" customHeight="1">
      <c r="B370" s="766" t="s">
        <v>855</v>
      </c>
      <c r="C370" s="766"/>
      <c r="D370" s="84"/>
      <c r="E370" s="87"/>
      <c r="F370" s="86"/>
      <c r="G370" s="471"/>
      <c r="H370" s="470">
        <f>SUM(H366:H369)</f>
        <v>1575</v>
      </c>
      <c r="I370" s="470"/>
      <c r="J370" s="470">
        <f>SUM(J366:J369)</f>
        <v>31509</v>
      </c>
      <c r="K370" s="470"/>
      <c r="L370" s="470">
        <f>SUM(L366:L369)</f>
        <v>757</v>
      </c>
      <c r="M370" s="471"/>
      <c r="N370" s="470">
        <f>SUM(N366:N369)</f>
        <v>33841</v>
      </c>
      <c r="O370" s="457"/>
      <c r="P370" s="767"/>
      <c r="Q370" s="80" t="s">
        <v>1164</v>
      </c>
    </row>
    <row r="371" spans="2:17" ht="15.2" customHeight="1">
      <c r="B371" s="83">
        <f>P371</f>
        <v>56</v>
      </c>
      <c r="C371" s="770" t="s">
        <v>1561</v>
      </c>
      <c r="D371" s="770"/>
      <c r="E371" s="770"/>
      <c r="F371" s="771"/>
      <c r="G371" s="470"/>
      <c r="H371" s="470"/>
      <c r="I371" s="470"/>
      <c r="J371" s="470"/>
      <c r="K371" s="470"/>
      <c r="L371" s="470"/>
      <c r="M371" s="470"/>
      <c r="N371" s="470"/>
      <c r="O371" s="457"/>
      <c r="P371" s="767">
        <f>MAX($P$5:P370)+1</f>
        <v>56</v>
      </c>
      <c r="Q371" s="80" t="s">
        <v>3243</v>
      </c>
    </row>
    <row r="372" spans="2:17" ht="15.2" customHeight="1">
      <c r="B372" s="766" t="s">
        <v>1162</v>
      </c>
      <c r="C372" s="766"/>
      <c r="D372" s="84"/>
      <c r="E372" s="87">
        <v>0.16</v>
      </c>
      <c r="F372" s="86" t="s">
        <v>1163</v>
      </c>
      <c r="G372" s="470"/>
      <c r="H372" s="470">
        <f>TRUNC(E372*G372,0)</f>
        <v>0</v>
      </c>
      <c r="I372" s="470">
        <f>SUMIF('노임(2015)'!$B$4:$B$87,B372,'노임(2015)'!$C$4:$C$87)+SUMIF('노임(2015)'!$E$4:$E$87,B372,'노임(2015)'!$F$4:$F$87)</f>
        <v>89566</v>
      </c>
      <c r="J372" s="470">
        <f>TRUNC(I372*E372,0)</f>
        <v>14330</v>
      </c>
      <c r="K372" s="470"/>
      <c r="L372" s="470">
        <f>TRUNC(K372*E372,0)</f>
        <v>0</v>
      </c>
      <c r="M372" s="470">
        <f>G372+I372+K372</f>
        <v>89566</v>
      </c>
      <c r="N372" s="470">
        <f>H372+J372+L372</f>
        <v>14330</v>
      </c>
      <c r="O372" s="457"/>
      <c r="P372" s="767"/>
    </row>
    <row r="373" spans="2:17" ht="15.2" customHeight="1">
      <c r="B373" s="766" t="s">
        <v>855</v>
      </c>
      <c r="C373" s="766"/>
      <c r="D373" s="84"/>
      <c r="E373" s="87"/>
      <c r="F373" s="86"/>
      <c r="G373" s="470"/>
      <c r="H373" s="470">
        <f>SUM(H372:H372)</f>
        <v>0</v>
      </c>
      <c r="I373" s="470"/>
      <c r="J373" s="470">
        <f>SUM(J372:J372)</f>
        <v>14330</v>
      </c>
      <c r="K373" s="470"/>
      <c r="L373" s="470">
        <f>SUM(L372:L372)</f>
        <v>0</v>
      </c>
      <c r="M373" s="470"/>
      <c r="N373" s="470">
        <f>SUM(N372:N372)</f>
        <v>14330</v>
      </c>
      <c r="O373" s="457"/>
      <c r="P373" s="767"/>
      <c r="Q373" s="80" t="s">
        <v>3244</v>
      </c>
    </row>
    <row r="374" spans="2:17" ht="15.2" customHeight="1">
      <c r="B374" s="83">
        <f>P374</f>
        <v>57</v>
      </c>
      <c r="C374" s="770" t="s">
        <v>1562</v>
      </c>
      <c r="D374" s="770"/>
      <c r="E374" s="770"/>
      <c r="F374" s="771"/>
      <c r="G374" s="470"/>
      <c r="H374" s="470"/>
      <c r="I374" s="470"/>
      <c r="J374" s="470"/>
      <c r="K374" s="470"/>
      <c r="L374" s="470"/>
      <c r="M374" s="470"/>
      <c r="N374" s="470"/>
      <c r="O374" s="457"/>
      <c r="P374" s="767">
        <f>MAX($P$5:P373)+1</f>
        <v>57</v>
      </c>
      <c r="Q374" s="80" t="s">
        <v>3243</v>
      </c>
    </row>
    <row r="375" spans="2:17" ht="15.2" customHeight="1">
      <c r="B375" s="766" t="s">
        <v>1162</v>
      </c>
      <c r="C375" s="766"/>
      <c r="D375" s="84"/>
      <c r="E375" s="87">
        <v>0.22</v>
      </c>
      <c r="F375" s="86" t="s">
        <v>1163</v>
      </c>
      <c r="G375" s="470"/>
      <c r="H375" s="470">
        <f>TRUNC(E375*G375,0)</f>
        <v>0</v>
      </c>
      <c r="I375" s="470">
        <f>SUMIF('노임(2015)'!$B$4:$B$87,B375,'노임(2015)'!$C$4:$C$87)+SUMIF('노임(2015)'!$E$4:$E$87,B375,'노임(2015)'!$F$4:$F$87)</f>
        <v>89566</v>
      </c>
      <c r="J375" s="470">
        <f>TRUNC(I375*E375,0)</f>
        <v>19704</v>
      </c>
      <c r="K375" s="470"/>
      <c r="L375" s="470">
        <f>TRUNC(K375*E375,0)</f>
        <v>0</v>
      </c>
      <c r="M375" s="470">
        <f>G375+I375+K375</f>
        <v>89566</v>
      </c>
      <c r="N375" s="470">
        <f>H375+J375+L375</f>
        <v>19704</v>
      </c>
      <c r="O375" s="457"/>
      <c r="P375" s="767"/>
    </row>
    <row r="376" spans="2:17" ht="15.2" customHeight="1">
      <c r="B376" s="766" t="s">
        <v>855</v>
      </c>
      <c r="C376" s="766"/>
      <c r="D376" s="84"/>
      <c r="E376" s="87"/>
      <c r="F376" s="86"/>
      <c r="G376" s="470"/>
      <c r="H376" s="470">
        <f>SUM(H375:H375)</f>
        <v>0</v>
      </c>
      <c r="I376" s="470"/>
      <c r="J376" s="470">
        <f>SUM(J375:J375)</f>
        <v>19704</v>
      </c>
      <c r="K376" s="470"/>
      <c r="L376" s="470">
        <f>SUM(L375:L375)</f>
        <v>0</v>
      </c>
      <c r="M376" s="470"/>
      <c r="N376" s="470">
        <f>SUM(N375:N375)</f>
        <v>19704</v>
      </c>
      <c r="O376" s="457"/>
      <c r="P376" s="767"/>
      <c r="Q376" s="80" t="s">
        <v>3244</v>
      </c>
    </row>
    <row r="377" spans="2:17" ht="15.2" customHeight="1">
      <c r="B377" s="83">
        <f>P377</f>
        <v>58</v>
      </c>
      <c r="C377" s="770" t="s">
        <v>1563</v>
      </c>
      <c r="D377" s="770"/>
      <c r="E377" s="770"/>
      <c r="F377" s="771"/>
      <c r="G377" s="470"/>
      <c r="H377" s="470"/>
      <c r="I377" s="470"/>
      <c r="J377" s="470"/>
      <c r="K377" s="470"/>
      <c r="L377" s="470"/>
      <c r="M377" s="470"/>
      <c r="N377" s="470"/>
      <c r="O377" s="457"/>
      <c r="P377" s="767">
        <f>MAX($P$5:P376)+1</f>
        <v>58</v>
      </c>
      <c r="Q377" s="80" t="s">
        <v>3243</v>
      </c>
    </row>
    <row r="378" spans="2:17" ht="15.2" customHeight="1">
      <c r="B378" s="766" t="s">
        <v>1162</v>
      </c>
      <c r="C378" s="766"/>
      <c r="D378" s="84"/>
      <c r="E378" s="87">
        <v>0.2</v>
      </c>
      <c r="F378" s="86" t="s">
        <v>1163</v>
      </c>
      <c r="G378" s="470"/>
      <c r="H378" s="470">
        <f>TRUNC(E378*G378,0)</f>
        <v>0</v>
      </c>
      <c r="I378" s="470">
        <f>SUMIF('노임(2015)'!$B$4:$B$87,B378,'노임(2015)'!$C$4:$C$87)+SUMIF('노임(2015)'!$E$4:$E$87,B378,'노임(2015)'!$F$4:$F$87)</f>
        <v>89566</v>
      </c>
      <c r="J378" s="470">
        <f>TRUNC(I378*E378,0)</f>
        <v>17913</v>
      </c>
      <c r="K378" s="470"/>
      <c r="L378" s="470">
        <f>TRUNC(K378*E378,0)</f>
        <v>0</v>
      </c>
      <c r="M378" s="470">
        <f>G378+I378+K378</f>
        <v>89566</v>
      </c>
      <c r="N378" s="470">
        <f>H378+J378+L378</f>
        <v>17913</v>
      </c>
      <c r="O378" s="457"/>
      <c r="P378" s="767"/>
    </row>
    <row r="379" spans="2:17" ht="15.2" customHeight="1">
      <c r="B379" s="766" t="s">
        <v>855</v>
      </c>
      <c r="C379" s="766"/>
      <c r="D379" s="84"/>
      <c r="E379" s="87"/>
      <c r="F379" s="86"/>
      <c r="G379" s="470"/>
      <c r="H379" s="470">
        <f>SUM(H378:H378)</f>
        <v>0</v>
      </c>
      <c r="I379" s="470"/>
      <c r="J379" s="470">
        <f>SUM(J378:J378)</f>
        <v>17913</v>
      </c>
      <c r="K379" s="470"/>
      <c r="L379" s="470">
        <f>SUM(L378:L378)</f>
        <v>0</v>
      </c>
      <c r="M379" s="470"/>
      <c r="N379" s="470">
        <f>SUM(N378:N378)</f>
        <v>17913</v>
      </c>
      <c r="O379" s="457"/>
      <c r="P379" s="767"/>
      <c r="Q379" s="80" t="s">
        <v>3244</v>
      </c>
    </row>
    <row r="380" spans="2:17" ht="15.2" customHeight="1">
      <c r="B380" s="83">
        <f>P380</f>
        <v>59</v>
      </c>
      <c r="C380" s="770" t="s">
        <v>1564</v>
      </c>
      <c r="D380" s="770"/>
      <c r="E380" s="770"/>
      <c r="F380" s="771"/>
      <c r="G380" s="470"/>
      <c r="H380" s="470"/>
      <c r="I380" s="470"/>
      <c r="J380" s="470"/>
      <c r="K380" s="470"/>
      <c r="L380" s="470"/>
      <c r="M380" s="470"/>
      <c r="N380" s="470"/>
      <c r="O380" s="457"/>
      <c r="P380" s="767">
        <f>MAX($P$5:P379)+1</f>
        <v>59</v>
      </c>
      <c r="Q380" s="80" t="s">
        <v>3243</v>
      </c>
    </row>
    <row r="381" spans="2:17" ht="15.2" customHeight="1">
      <c r="B381" s="766" t="s">
        <v>1162</v>
      </c>
      <c r="C381" s="766"/>
      <c r="D381" s="84"/>
      <c r="E381" s="87">
        <v>0.27</v>
      </c>
      <c r="F381" s="86" t="s">
        <v>1163</v>
      </c>
      <c r="G381" s="470"/>
      <c r="H381" s="470">
        <f>TRUNC(E381*G381,0)</f>
        <v>0</v>
      </c>
      <c r="I381" s="470">
        <f>SUMIF('노임(2015)'!$B$4:$B$87,B381,'노임(2015)'!$C$4:$C$87)+SUMIF('노임(2015)'!$E$4:$E$87,B381,'노임(2015)'!$F$4:$F$87)</f>
        <v>89566</v>
      </c>
      <c r="J381" s="470">
        <f>TRUNC(I381*E381,0)</f>
        <v>24182</v>
      </c>
      <c r="K381" s="470"/>
      <c r="L381" s="470">
        <f>TRUNC(K381*E381,0)</f>
        <v>0</v>
      </c>
      <c r="M381" s="470">
        <f>G381+I381+K381</f>
        <v>89566</v>
      </c>
      <c r="N381" s="470">
        <f>H381+J381+L381</f>
        <v>24182</v>
      </c>
      <c r="O381" s="457"/>
      <c r="P381" s="767"/>
    </row>
    <row r="382" spans="2:17" ht="15.2" customHeight="1">
      <c r="B382" s="766" t="s">
        <v>855</v>
      </c>
      <c r="C382" s="766"/>
      <c r="D382" s="84"/>
      <c r="E382" s="87"/>
      <c r="F382" s="86"/>
      <c r="G382" s="470"/>
      <c r="H382" s="470">
        <f>SUM(H381:H381)</f>
        <v>0</v>
      </c>
      <c r="I382" s="470"/>
      <c r="J382" s="470">
        <f>SUM(J381:J381)</f>
        <v>24182</v>
      </c>
      <c r="K382" s="470"/>
      <c r="L382" s="470">
        <f>SUM(L381:L381)</f>
        <v>0</v>
      </c>
      <c r="M382" s="470"/>
      <c r="N382" s="470">
        <f>SUM(N381:N381)</f>
        <v>24182</v>
      </c>
      <c r="O382" s="457"/>
      <c r="P382" s="767"/>
      <c r="Q382" s="80" t="s">
        <v>3244</v>
      </c>
    </row>
    <row r="383" spans="2:17" ht="15.2" customHeight="1">
      <c r="B383" s="83">
        <f>P383</f>
        <v>60</v>
      </c>
      <c r="C383" s="770" t="s">
        <v>1565</v>
      </c>
      <c r="D383" s="770"/>
      <c r="E383" s="770"/>
      <c r="F383" s="771"/>
      <c r="G383" s="470"/>
      <c r="H383" s="470"/>
      <c r="I383" s="470"/>
      <c r="J383" s="470"/>
      <c r="K383" s="470"/>
      <c r="L383" s="470"/>
      <c r="M383" s="470"/>
      <c r="N383" s="470"/>
      <c r="O383" s="457"/>
      <c r="P383" s="767">
        <f>MAX($P$5:P382)+1</f>
        <v>60</v>
      </c>
      <c r="Q383" s="80" t="s">
        <v>3243</v>
      </c>
    </row>
    <row r="384" spans="2:17" ht="15.2" customHeight="1">
      <c r="B384" s="766" t="s">
        <v>1162</v>
      </c>
      <c r="C384" s="766"/>
      <c r="D384" s="84"/>
      <c r="E384" s="87">
        <v>0.26</v>
      </c>
      <c r="F384" s="86" t="s">
        <v>1163</v>
      </c>
      <c r="G384" s="470"/>
      <c r="H384" s="470">
        <f>TRUNC(E384*G384,0)</f>
        <v>0</v>
      </c>
      <c r="I384" s="470">
        <f>SUMIF('노임(2015)'!$B$4:$B$87,B384,'노임(2015)'!$C$4:$C$87)+SUMIF('노임(2015)'!$E$4:$E$87,B384,'노임(2015)'!$F$4:$F$87)</f>
        <v>89566</v>
      </c>
      <c r="J384" s="470">
        <f>TRUNC(I384*E384,0)</f>
        <v>23287</v>
      </c>
      <c r="K384" s="470"/>
      <c r="L384" s="470">
        <f>TRUNC(K384*E384,0)</f>
        <v>0</v>
      </c>
      <c r="M384" s="470">
        <f>G384+I384+K384</f>
        <v>89566</v>
      </c>
      <c r="N384" s="470">
        <f>H384+J384+L384</f>
        <v>23287</v>
      </c>
      <c r="O384" s="457"/>
      <c r="P384" s="767"/>
    </row>
    <row r="385" spans="2:17" ht="15.2" customHeight="1">
      <c r="B385" s="766" t="s">
        <v>855</v>
      </c>
      <c r="C385" s="766"/>
      <c r="D385" s="84"/>
      <c r="E385" s="87"/>
      <c r="F385" s="86"/>
      <c r="G385" s="470"/>
      <c r="H385" s="470">
        <f>SUM(H384:H384)</f>
        <v>0</v>
      </c>
      <c r="I385" s="470"/>
      <c r="J385" s="470">
        <f>SUM(J384:J384)</f>
        <v>23287</v>
      </c>
      <c r="K385" s="470"/>
      <c r="L385" s="470">
        <f>SUM(L384:L384)</f>
        <v>0</v>
      </c>
      <c r="M385" s="470"/>
      <c r="N385" s="470">
        <f>SUM(N384:N384)</f>
        <v>23287</v>
      </c>
      <c r="O385" s="457"/>
      <c r="P385" s="767"/>
      <c r="Q385" s="80" t="s">
        <v>3244</v>
      </c>
    </row>
    <row r="386" spans="2:17" ht="15.2" customHeight="1">
      <c r="B386" s="83">
        <f>P386</f>
        <v>61</v>
      </c>
      <c r="C386" s="770" t="s">
        <v>1566</v>
      </c>
      <c r="D386" s="770"/>
      <c r="E386" s="770"/>
      <c r="F386" s="771"/>
      <c r="G386" s="470"/>
      <c r="H386" s="470"/>
      <c r="I386" s="470"/>
      <c r="J386" s="470"/>
      <c r="K386" s="470"/>
      <c r="L386" s="470"/>
      <c r="M386" s="470"/>
      <c r="N386" s="470"/>
      <c r="O386" s="457"/>
      <c r="P386" s="767">
        <f>MAX($P$5:P385)+1</f>
        <v>61</v>
      </c>
      <c r="Q386" s="80" t="s">
        <v>3243</v>
      </c>
    </row>
    <row r="387" spans="2:17" ht="15.2" customHeight="1">
      <c r="B387" s="766" t="s">
        <v>1162</v>
      </c>
      <c r="C387" s="766"/>
      <c r="D387" s="84"/>
      <c r="E387" s="87">
        <v>0.35</v>
      </c>
      <c r="F387" s="86" t="s">
        <v>1163</v>
      </c>
      <c r="G387" s="470"/>
      <c r="H387" s="470">
        <f>TRUNC(E387*G387,0)</f>
        <v>0</v>
      </c>
      <c r="I387" s="470">
        <f>SUMIF('노임(2015)'!$B$4:$B$87,B387,'노임(2015)'!$C$4:$C$87)+SUMIF('노임(2015)'!$E$4:$E$87,B387,'노임(2015)'!$F$4:$F$87)</f>
        <v>89566</v>
      </c>
      <c r="J387" s="470">
        <f>TRUNC(I387*E387,0)</f>
        <v>31348</v>
      </c>
      <c r="K387" s="470"/>
      <c r="L387" s="470">
        <f>TRUNC(K387*E387,0)</f>
        <v>0</v>
      </c>
      <c r="M387" s="470">
        <f>G387+I387+K387</f>
        <v>89566</v>
      </c>
      <c r="N387" s="470">
        <f>H387+J387+L387</f>
        <v>31348</v>
      </c>
      <c r="O387" s="457"/>
      <c r="P387" s="767"/>
    </row>
    <row r="388" spans="2:17" ht="15.2" customHeight="1">
      <c r="B388" s="766" t="s">
        <v>855</v>
      </c>
      <c r="C388" s="766"/>
      <c r="D388" s="84"/>
      <c r="E388" s="87"/>
      <c r="F388" s="86"/>
      <c r="G388" s="470"/>
      <c r="H388" s="470">
        <f>SUM(H387:H387)</f>
        <v>0</v>
      </c>
      <c r="I388" s="470"/>
      <c r="J388" s="470">
        <f>SUM(J387:J387)</f>
        <v>31348</v>
      </c>
      <c r="K388" s="470"/>
      <c r="L388" s="470">
        <f>SUM(L387:L387)</f>
        <v>0</v>
      </c>
      <c r="M388" s="470"/>
      <c r="N388" s="470">
        <f>SUM(N387:N387)</f>
        <v>31348</v>
      </c>
      <c r="O388" s="457"/>
      <c r="P388" s="767"/>
      <c r="Q388" s="80" t="s">
        <v>3244</v>
      </c>
    </row>
    <row r="389" spans="2:17" ht="15.2" customHeight="1">
      <c r="B389" s="83">
        <f>P389</f>
        <v>62</v>
      </c>
      <c r="C389" s="770" t="s">
        <v>1567</v>
      </c>
      <c r="D389" s="770"/>
      <c r="E389" s="770"/>
      <c r="F389" s="771"/>
      <c r="G389" s="470"/>
      <c r="H389" s="470"/>
      <c r="I389" s="470"/>
      <c r="J389" s="470"/>
      <c r="K389" s="470"/>
      <c r="L389" s="470"/>
      <c r="M389" s="470"/>
      <c r="N389" s="470"/>
      <c r="O389" s="457"/>
      <c r="P389" s="767">
        <f>MAX($P$5:P388)+1</f>
        <v>62</v>
      </c>
      <c r="Q389" s="80" t="s">
        <v>3243</v>
      </c>
    </row>
    <row r="390" spans="2:17" ht="15.2" customHeight="1">
      <c r="B390" s="766" t="s">
        <v>1162</v>
      </c>
      <c r="C390" s="766"/>
      <c r="D390" s="84"/>
      <c r="E390" s="87">
        <v>0.1</v>
      </c>
      <c r="F390" s="86" t="s">
        <v>1163</v>
      </c>
      <c r="G390" s="470"/>
      <c r="H390" s="470">
        <f>TRUNC(E390*G390,0)</f>
        <v>0</v>
      </c>
      <c r="I390" s="470">
        <f>SUMIF('노임(2015)'!$B$4:$B$87,B390,'노임(2015)'!$C$4:$C$87)+SUMIF('노임(2015)'!$E$4:$E$87,B390,'노임(2015)'!$F$4:$F$87)</f>
        <v>89566</v>
      </c>
      <c r="J390" s="470">
        <f>TRUNC(I390*E390,0)</f>
        <v>8956</v>
      </c>
      <c r="K390" s="470"/>
      <c r="L390" s="470">
        <f>TRUNC(K390*E390,0)</f>
        <v>0</v>
      </c>
      <c r="M390" s="470">
        <f>G390+I390+K390</f>
        <v>89566</v>
      </c>
      <c r="N390" s="470">
        <f>H390+J390+L390</f>
        <v>8956</v>
      </c>
      <c r="O390" s="457"/>
      <c r="P390" s="767"/>
    </row>
    <row r="391" spans="2:17" ht="15.2" customHeight="1">
      <c r="B391" s="766" t="s">
        <v>855</v>
      </c>
      <c r="C391" s="766"/>
      <c r="D391" s="84"/>
      <c r="E391" s="87"/>
      <c r="F391" s="86"/>
      <c r="G391" s="470"/>
      <c r="H391" s="470">
        <f>SUM(H390:H390)</f>
        <v>0</v>
      </c>
      <c r="I391" s="470"/>
      <c r="J391" s="470">
        <f>SUM(J390:J390)</f>
        <v>8956</v>
      </c>
      <c r="K391" s="470"/>
      <c r="L391" s="470">
        <f>SUM(L390:L390)</f>
        <v>0</v>
      </c>
      <c r="M391" s="470"/>
      <c r="N391" s="470">
        <f>SUM(N390:N390)</f>
        <v>8956</v>
      </c>
      <c r="O391" s="457"/>
      <c r="P391" s="767"/>
      <c r="Q391" s="80" t="s">
        <v>3244</v>
      </c>
    </row>
    <row r="392" spans="2:17" ht="15.2" customHeight="1">
      <c r="B392" s="83">
        <f>P392</f>
        <v>63</v>
      </c>
      <c r="C392" s="770" t="s">
        <v>1158</v>
      </c>
      <c r="D392" s="770"/>
      <c r="E392" s="770"/>
      <c r="F392" s="771"/>
      <c r="G392" s="470"/>
      <c r="H392" s="470"/>
      <c r="I392" s="470"/>
      <c r="J392" s="470"/>
      <c r="K392" s="470"/>
      <c r="L392" s="470"/>
      <c r="M392" s="470"/>
      <c r="N392" s="470"/>
      <c r="O392" s="457"/>
      <c r="P392" s="767">
        <f>MAX($P$5:P391)+1</f>
        <v>63</v>
      </c>
      <c r="Q392" s="80" t="s">
        <v>3243</v>
      </c>
    </row>
    <row r="393" spans="2:17" ht="15.2" customHeight="1">
      <c r="B393" s="766" t="s">
        <v>1162</v>
      </c>
      <c r="C393" s="766"/>
      <c r="D393" s="84"/>
      <c r="E393" s="87">
        <v>0.1</v>
      </c>
      <c r="F393" s="86" t="s">
        <v>1163</v>
      </c>
      <c r="G393" s="470"/>
      <c r="H393" s="470">
        <f>TRUNC(E393*G393,0)</f>
        <v>0</v>
      </c>
      <c r="I393" s="470">
        <f>SUMIF('노임(2015)'!$B$4:$B$87,B393,'노임(2015)'!$C$4:$C$87)+SUMIF('노임(2015)'!$E$4:$E$87,B393,'노임(2015)'!$F$4:$F$87)</f>
        <v>89566</v>
      </c>
      <c r="J393" s="470">
        <f>TRUNC(I393*E393,0)</f>
        <v>8956</v>
      </c>
      <c r="K393" s="470"/>
      <c r="L393" s="470">
        <f>TRUNC(K393*E393,0)</f>
        <v>0</v>
      </c>
      <c r="M393" s="470">
        <f>G393+I393+K393</f>
        <v>89566</v>
      </c>
      <c r="N393" s="470">
        <f>H393+J393+L393</f>
        <v>8956</v>
      </c>
      <c r="O393" s="457"/>
      <c r="P393" s="767"/>
    </row>
    <row r="394" spans="2:17" ht="15.2" customHeight="1">
      <c r="B394" s="766" t="s">
        <v>4018</v>
      </c>
      <c r="C394" s="766"/>
      <c r="D394" s="84" t="s">
        <v>1150</v>
      </c>
      <c r="E394" s="87">
        <v>1</v>
      </c>
      <c r="F394" s="86" t="s">
        <v>1168</v>
      </c>
      <c r="G394" s="470">
        <f>'작업과정 및 Q산출'!$G$1290</f>
        <v>291</v>
      </c>
      <c r="H394" s="470">
        <f>TRUNC(E394*G394,0)</f>
        <v>291</v>
      </c>
      <c r="I394" s="470">
        <f>'작업과정 및 Q산출'!$G$1287</f>
        <v>5411</v>
      </c>
      <c r="J394" s="470">
        <f>TRUNC(I394*E394,0)</f>
        <v>5411</v>
      </c>
      <c r="K394" s="470">
        <f>'작업과정 및 Q산출'!$G$1284</f>
        <v>117</v>
      </c>
      <c r="L394" s="470">
        <f>TRUNC(K394*E394,0)</f>
        <v>117</v>
      </c>
      <c r="M394" s="470">
        <f>G394+I394+K394</f>
        <v>5819</v>
      </c>
      <c r="N394" s="470">
        <f>H394+J394+L394</f>
        <v>5819</v>
      </c>
      <c r="O394" s="461">
        <f>'작업과정 및 Q산출'!$A$1266</f>
        <v>24</v>
      </c>
      <c r="P394" s="767"/>
    </row>
    <row r="395" spans="2:17" ht="15.2" customHeight="1">
      <c r="B395" s="766" t="s">
        <v>855</v>
      </c>
      <c r="C395" s="766"/>
      <c r="D395" s="84"/>
      <c r="E395" s="87"/>
      <c r="F395" s="86"/>
      <c r="G395" s="470"/>
      <c r="H395" s="470">
        <f>SUM(H393:H394)</f>
        <v>291</v>
      </c>
      <c r="I395" s="470"/>
      <c r="J395" s="470">
        <f>SUM(J393:J394)</f>
        <v>14367</v>
      </c>
      <c r="K395" s="470"/>
      <c r="L395" s="470">
        <f>SUM(L393:L394)</f>
        <v>117</v>
      </c>
      <c r="M395" s="470"/>
      <c r="N395" s="470">
        <f>SUM(N393:N394)</f>
        <v>14775</v>
      </c>
      <c r="O395" s="457"/>
      <c r="P395" s="767"/>
      <c r="Q395" s="80" t="s">
        <v>3244</v>
      </c>
    </row>
    <row r="396" spans="2:17" ht="15.2" customHeight="1">
      <c r="B396" s="83">
        <f>P396</f>
        <v>64</v>
      </c>
      <c r="C396" s="770" t="s">
        <v>1568</v>
      </c>
      <c r="D396" s="770"/>
      <c r="E396" s="770"/>
      <c r="F396" s="771"/>
      <c r="G396" s="470"/>
      <c r="H396" s="470"/>
      <c r="I396" s="470"/>
      <c r="J396" s="470"/>
      <c r="K396" s="470"/>
      <c r="L396" s="470"/>
      <c r="M396" s="470"/>
      <c r="N396" s="470"/>
      <c r="O396" s="457"/>
      <c r="P396" s="767">
        <f>MAX($P$5:P395)+1</f>
        <v>64</v>
      </c>
      <c r="Q396" s="80" t="s">
        <v>3243</v>
      </c>
    </row>
    <row r="397" spans="2:17" ht="15.2" customHeight="1">
      <c r="B397" s="766" t="s">
        <v>1165</v>
      </c>
      <c r="C397" s="766"/>
      <c r="D397" s="84"/>
      <c r="E397" s="87">
        <v>1.52</v>
      </c>
      <c r="F397" s="86" t="s">
        <v>1163</v>
      </c>
      <c r="G397" s="470"/>
      <c r="H397" s="470">
        <f>TRUNC(E397*G397,0)</f>
        <v>0</v>
      </c>
      <c r="I397" s="470">
        <f>SUMIF('노임(2015)'!$B$4:$B$87,B397,'노임(2015)'!$C$4:$C$87)+SUMIF('노임(2015)'!$E$4:$E$87,B397,'노임(2015)'!$F$4:$F$87)</f>
        <v>111771</v>
      </c>
      <c r="J397" s="470">
        <f>TRUNC(I397*E397,0)</f>
        <v>169891</v>
      </c>
      <c r="K397" s="470"/>
      <c r="L397" s="470">
        <f>TRUNC(K397*E397,0)</f>
        <v>0</v>
      </c>
      <c r="M397" s="470">
        <f>G397+I397+K397</f>
        <v>111771</v>
      </c>
      <c r="N397" s="470">
        <f>H397+J397+L397</f>
        <v>169891</v>
      </c>
      <c r="O397" s="457"/>
      <c r="P397" s="767"/>
    </row>
    <row r="398" spans="2:17" ht="15.2" customHeight="1">
      <c r="B398" s="766" t="s">
        <v>1166</v>
      </c>
      <c r="C398" s="766"/>
      <c r="D398" s="84" t="s">
        <v>1569</v>
      </c>
      <c r="E398" s="87">
        <v>0.05</v>
      </c>
      <c r="F398" s="86" t="s">
        <v>933</v>
      </c>
      <c r="G398" s="470">
        <f>SUM(J397)</f>
        <v>169891</v>
      </c>
      <c r="H398" s="470">
        <f>TRUNC(E398*G398,0)</f>
        <v>8494</v>
      </c>
      <c r="I398" s="470"/>
      <c r="J398" s="470">
        <f>TRUNC(I398*E398,0)</f>
        <v>0</v>
      </c>
      <c r="K398" s="470"/>
      <c r="L398" s="470">
        <f>TRUNC(K398*E398,0)</f>
        <v>0</v>
      </c>
      <c r="M398" s="470">
        <f>G398+I398+K398</f>
        <v>169891</v>
      </c>
      <c r="N398" s="470">
        <f>H398+J398+L398</f>
        <v>8494</v>
      </c>
      <c r="O398" s="457"/>
      <c r="P398" s="767"/>
    </row>
    <row r="399" spans="2:17" ht="15.2" customHeight="1">
      <c r="B399" s="766" t="s">
        <v>855</v>
      </c>
      <c r="C399" s="766"/>
      <c r="D399" s="84"/>
      <c r="E399" s="87"/>
      <c r="F399" s="86"/>
      <c r="G399" s="470"/>
      <c r="H399" s="470">
        <f>SUM(H397:H398)</f>
        <v>8494</v>
      </c>
      <c r="I399" s="470"/>
      <c r="J399" s="470">
        <f>SUM(J397:J398)</f>
        <v>169891</v>
      </c>
      <c r="K399" s="470"/>
      <c r="L399" s="470">
        <f>SUM(L397:L398)</f>
        <v>0</v>
      </c>
      <c r="M399" s="470"/>
      <c r="N399" s="470">
        <f>SUM(N397:N398)</f>
        <v>178385</v>
      </c>
      <c r="O399" s="457"/>
      <c r="P399" s="767"/>
      <c r="Q399" s="80" t="s">
        <v>3244</v>
      </c>
    </row>
    <row r="400" spans="2:17" ht="15.2" customHeight="1">
      <c r="B400" s="83">
        <f>P400</f>
        <v>65</v>
      </c>
      <c r="C400" s="770" t="s">
        <v>1570</v>
      </c>
      <c r="D400" s="770"/>
      <c r="E400" s="770"/>
      <c r="F400" s="771"/>
      <c r="G400" s="470"/>
      <c r="H400" s="470"/>
      <c r="I400" s="470"/>
      <c r="J400" s="470"/>
      <c r="K400" s="470"/>
      <c r="L400" s="470"/>
      <c r="M400" s="470"/>
      <c r="N400" s="470"/>
      <c r="O400" s="457"/>
      <c r="P400" s="767">
        <f>MAX($P$5:P399)+1</f>
        <v>65</v>
      </c>
      <c r="Q400" s="80" t="s">
        <v>3243</v>
      </c>
    </row>
    <row r="401" spans="2:17" ht="15.2" customHeight="1">
      <c r="B401" s="766" t="s">
        <v>1029</v>
      </c>
      <c r="C401" s="766"/>
      <c r="D401" s="84"/>
      <c r="E401" s="87">
        <v>0.33</v>
      </c>
      <c r="F401" s="86" t="s">
        <v>1163</v>
      </c>
      <c r="G401" s="470"/>
      <c r="H401" s="470">
        <f>TRUNC(E401*G401,0)</f>
        <v>0</v>
      </c>
      <c r="I401" s="470">
        <f>SUMIF('노임(2015)'!$B$4:$B$87,B401,'노임(2015)'!$C$4:$C$87)+SUMIF('노임(2015)'!$E$4:$E$87,B401,'노임(2015)'!$F$4:$F$87)</f>
        <v>106060</v>
      </c>
      <c r="J401" s="470">
        <f>TRUNC(I401*E401,0)</f>
        <v>34999</v>
      </c>
      <c r="K401" s="470"/>
      <c r="L401" s="470">
        <f>TRUNC(K401*E401,0)</f>
        <v>0</v>
      </c>
      <c r="M401" s="470">
        <f t="shared" ref="M401:N405" si="120">G401+I401+K401</f>
        <v>106060</v>
      </c>
      <c r="N401" s="470">
        <f t="shared" si="120"/>
        <v>34999</v>
      </c>
      <c r="O401" s="457"/>
      <c r="P401" s="767"/>
    </row>
    <row r="402" spans="2:17" ht="15.2" customHeight="1">
      <c r="B402" s="766" t="s">
        <v>1162</v>
      </c>
      <c r="C402" s="766"/>
      <c r="D402" s="84"/>
      <c r="E402" s="87">
        <v>0.16</v>
      </c>
      <c r="F402" s="86" t="s">
        <v>1163</v>
      </c>
      <c r="G402" s="470"/>
      <c r="H402" s="470">
        <f>TRUNC(E402*G402,0)</f>
        <v>0</v>
      </c>
      <c r="I402" s="470">
        <f>SUMIF('노임(2015)'!$B$4:$B$87,B402,'노임(2015)'!$C$4:$C$87)+SUMIF('노임(2015)'!$E$4:$E$87,B402,'노임(2015)'!$F$4:$F$87)</f>
        <v>89566</v>
      </c>
      <c r="J402" s="470">
        <f>TRUNC(I402*E402,0)</f>
        <v>14330</v>
      </c>
      <c r="K402" s="470"/>
      <c r="L402" s="470">
        <f>TRUNC(K402*E402,0)</f>
        <v>0</v>
      </c>
      <c r="M402" s="470">
        <f t="shared" si="120"/>
        <v>89566</v>
      </c>
      <c r="N402" s="470">
        <f t="shared" si="120"/>
        <v>14330</v>
      </c>
      <c r="O402" s="457"/>
      <c r="P402" s="767"/>
    </row>
    <row r="403" spans="2:17" ht="15.2" customHeight="1">
      <c r="B403" s="766" t="s">
        <v>1030</v>
      </c>
      <c r="C403" s="766"/>
      <c r="D403" s="84" t="s">
        <v>2459</v>
      </c>
      <c r="E403" s="87">
        <v>1.26</v>
      </c>
      <c r="F403" s="86" t="s">
        <v>453</v>
      </c>
      <c r="G403" s="470">
        <f>중기사용료!$M$1423</f>
        <v>0</v>
      </c>
      <c r="H403" s="470">
        <f>TRUNC(E403*G403,0)</f>
        <v>0</v>
      </c>
      <c r="I403" s="470">
        <f>중기사용료!$M$1417</f>
        <v>0</v>
      </c>
      <c r="J403" s="470">
        <f>TRUNC(I403*E403,0)</f>
        <v>0</v>
      </c>
      <c r="K403" s="470">
        <f>중기사용료!$M$1411</f>
        <v>412</v>
      </c>
      <c r="L403" s="470">
        <f>TRUNC(K403*E403,0)</f>
        <v>519</v>
      </c>
      <c r="M403" s="470">
        <f t="shared" si="120"/>
        <v>412</v>
      </c>
      <c r="N403" s="470">
        <f t="shared" si="120"/>
        <v>519</v>
      </c>
      <c r="O403" s="460">
        <f>중기사용료!$A$1408</f>
        <v>75</v>
      </c>
      <c r="P403" s="767"/>
    </row>
    <row r="404" spans="2:17" ht="15.2" customHeight="1">
      <c r="B404" s="766" t="s">
        <v>1571</v>
      </c>
      <c r="C404" s="766"/>
      <c r="D404" s="84" t="s">
        <v>2460</v>
      </c>
      <c r="E404" s="87">
        <v>0.3</v>
      </c>
      <c r="F404" s="86" t="s">
        <v>453</v>
      </c>
      <c r="G404" s="470">
        <f>중기사용료!$M$1366</f>
        <v>8018</v>
      </c>
      <c r="H404" s="470">
        <f>TRUNC(E404*G404,0)</f>
        <v>2405</v>
      </c>
      <c r="I404" s="470">
        <f>중기사용료!$M$1360</f>
        <v>27168</v>
      </c>
      <c r="J404" s="470">
        <f>TRUNC(I404*E404,0)</f>
        <v>8150</v>
      </c>
      <c r="K404" s="470">
        <f>중기사용료!$M$1354</f>
        <v>2066</v>
      </c>
      <c r="L404" s="470">
        <f>TRUNC(K404*E404,0)</f>
        <v>619</v>
      </c>
      <c r="M404" s="470">
        <f t="shared" si="120"/>
        <v>37252</v>
      </c>
      <c r="N404" s="470">
        <f t="shared" si="120"/>
        <v>11174</v>
      </c>
      <c r="O404" s="460">
        <f>중기사용료!$A$1351</f>
        <v>72</v>
      </c>
      <c r="P404" s="767"/>
    </row>
    <row r="405" spans="2:17" ht="15.2" customHeight="1">
      <c r="B405" s="766" t="s">
        <v>1166</v>
      </c>
      <c r="C405" s="766"/>
      <c r="D405" s="84" t="s">
        <v>1572</v>
      </c>
      <c r="E405" s="87">
        <v>0.01</v>
      </c>
      <c r="F405" s="86" t="s">
        <v>933</v>
      </c>
      <c r="G405" s="470">
        <f>TRUNC(E401*I401+E402*I402+E403*I403+E404*I404)</f>
        <v>57480</v>
      </c>
      <c r="H405" s="470">
        <f>TRUNC(E405*G405,0)</f>
        <v>574</v>
      </c>
      <c r="I405" s="470"/>
      <c r="J405" s="470">
        <f>TRUNC(I405*E405,0)</f>
        <v>0</v>
      </c>
      <c r="K405" s="470"/>
      <c r="L405" s="470">
        <f>TRUNC(K405*E405,0)</f>
        <v>0</v>
      </c>
      <c r="M405" s="470">
        <f t="shared" si="120"/>
        <v>57480</v>
      </c>
      <c r="N405" s="470">
        <f t="shared" si="120"/>
        <v>574</v>
      </c>
      <c r="O405" s="457"/>
      <c r="P405" s="767"/>
    </row>
    <row r="406" spans="2:17" ht="15.2" customHeight="1">
      <c r="B406" s="766" t="s">
        <v>855</v>
      </c>
      <c r="C406" s="766"/>
      <c r="D406" s="84"/>
      <c r="E406" s="87"/>
      <c r="F406" s="86"/>
      <c r="G406" s="470"/>
      <c r="H406" s="470">
        <f>SUM(H401:H405)</f>
        <v>2979</v>
      </c>
      <c r="I406" s="470"/>
      <c r="J406" s="470">
        <f>SUM(J401:J405)</f>
        <v>57479</v>
      </c>
      <c r="K406" s="470"/>
      <c r="L406" s="470">
        <f>SUM(L401:L405)</f>
        <v>1138</v>
      </c>
      <c r="M406" s="470"/>
      <c r="N406" s="470">
        <f>SUM(N401:N405)</f>
        <v>61596</v>
      </c>
      <c r="O406" s="457"/>
      <c r="P406" s="767"/>
      <c r="Q406" s="80" t="s">
        <v>3244</v>
      </c>
    </row>
    <row r="407" spans="2:17" ht="15.2" customHeight="1">
      <c r="B407" s="83">
        <f>P407</f>
        <v>66</v>
      </c>
      <c r="C407" s="770" t="s">
        <v>1573</v>
      </c>
      <c r="D407" s="770"/>
      <c r="E407" s="770"/>
      <c r="F407" s="771"/>
      <c r="G407" s="470"/>
      <c r="H407" s="470"/>
      <c r="I407" s="470"/>
      <c r="J407" s="470"/>
      <c r="K407" s="470"/>
      <c r="L407" s="470"/>
      <c r="M407" s="470"/>
      <c r="N407" s="470"/>
      <c r="O407" s="457"/>
      <c r="P407" s="767">
        <f>MAX($P$5:P406)+1</f>
        <v>66</v>
      </c>
      <c r="Q407" s="80" t="s">
        <v>3243</v>
      </c>
    </row>
    <row r="408" spans="2:17" ht="15.2" customHeight="1">
      <c r="B408" s="766" t="s">
        <v>1194</v>
      </c>
      <c r="C408" s="766"/>
      <c r="D408" s="84"/>
      <c r="E408" s="87">
        <v>1</v>
      </c>
      <c r="F408" s="86" t="s">
        <v>1168</v>
      </c>
      <c r="G408" s="470">
        <f>'작업과정 및 Q산출'!$G$1079</f>
        <v>3443</v>
      </c>
      <c r="H408" s="470">
        <f>TRUNC(E408*G408,0)</f>
        <v>3443</v>
      </c>
      <c r="I408" s="470">
        <f>'작업과정 및 Q산출'!$G$1076</f>
        <v>6948</v>
      </c>
      <c r="J408" s="470">
        <f>TRUNC(I408*E408,0)</f>
        <v>6948</v>
      </c>
      <c r="K408" s="470">
        <f>'작업과정 및 Q산출'!$G$1073</f>
        <v>3200</v>
      </c>
      <c r="L408" s="470">
        <f>TRUNC(K408*E408,0)</f>
        <v>3200</v>
      </c>
      <c r="M408" s="470">
        <f t="shared" ref="M408:N411" si="121">G408+I408+K408</f>
        <v>13591</v>
      </c>
      <c r="N408" s="470">
        <f t="shared" si="121"/>
        <v>13591</v>
      </c>
      <c r="O408" s="461">
        <f>'작업과정 및 Q산출'!$A$1056</f>
        <v>18</v>
      </c>
      <c r="P408" s="767"/>
    </row>
    <row r="409" spans="2:17" ht="15.2" customHeight="1">
      <c r="B409" s="766" t="s">
        <v>1169</v>
      </c>
      <c r="C409" s="766"/>
      <c r="D409" s="84"/>
      <c r="E409" s="93">
        <v>0.25575399999999998</v>
      </c>
      <c r="F409" s="86" t="s">
        <v>301</v>
      </c>
      <c r="G409" s="470">
        <f>중기사용료!$M$321</f>
        <v>0</v>
      </c>
      <c r="H409" s="470">
        <f>TRUNC(E409*G409,0)</f>
        <v>0</v>
      </c>
      <c r="I409" s="470">
        <f>중기사용료!$M$315</f>
        <v>0</v>
      </c>
      <c r="J409" s="470">
        <f>TRUNC(I409*E409,0)</f>
        <v>0</v>
      </c>
      <c r="K409" s="470">
        <f>중기사용료!$M$309</f>
        <v>3952</v>
      </c>
      <c r="L409" s="470">
        <f>TRUNC(K409*E409,0)</f>
        <v>1010</v>
      </c>
      <c r="M409" s="470">
        <f t="shared" si="121"/>
        <v>3952</v>
      </c>
      <c r="N409" s="470">
        <f t="shared" si="121"/>
        <v>1010</v>
      </c>
      <c r="O409" s="460">
        <f>중기사용료!$A$306</f>
        <v>17</v>
      </c>
      <c r="P409" s="767"/>
    </row>
    <row r="410" spans="2:17" ht="15.2" customHeight="1">
      <c r="B410" s="766" t="s">
        <v>1162</v>
      </c>
      <c r="C410" s="766"/>
      <c r="D410" s="84" t="s">
        <v>1574</v>
      </c>
      <c r="E410" s="94">
        <v>3.1968999999999997E-2</v>
      </c>
      <c r="F410" s="86" t="s">
        <v>933</v>
      </c>
      <c r="G410" s="470"/>
      <c r="H410" s="470">
        <f>TRUNC(E410*G410,0)</f>
        <v>0</v>
      </c>
      <c r="I410" s="470">
        <f>SUMIF('노임(2015)'!$B$4:$B$87,B410,'노임(2015)'!$C$4:$C$87)+SUMIF('노임(2015)'!$E$4:$E$87,B410,'노임(2015)'!$F$4:$F$87)</f>
        <v>89566</v>
      </c>
      <c r="J410" s="470">
        <f>TRUNC(I410*E410,0)</f>
        <v>2863</v>
      </c>
      <c r="K410" s="470"/>
      <c r="L410" s="470">
        <f>TRUNC(K410*E410,0)</f>
        <v>0</v>
      </c>
      <c r="M410" s="470">
        <f t="shared" si="121"/>
        <v>89566</v>
      </c>
      <c r="N410" s="470">
        <f t="shared" si="121"/>
        <v>2863</v>
      </c>
      <c r="O410" s="457"/>
      <c r="P410" s="767"/>
    </row>
    <row r="411" spans="2:17" ht="15.2" customHeight="1">
      <c r="B411" s="766" t="s">
        <v>1170</v>
      </c>
      <c r="C411" s="766"/>
      <c r="D411" s="84" t="s">
        <v>1575</v>
      </c>
      <c r="E411" s="95">
        <v>2.0400000000000001E-3</v>
      </c>
      <c r="F411" s="86" t="s">
        <v>1800</v>
      </c>
      <c r="G411" s="470">
        <f>기계경비산출표!$E$36*1000</f>
        <v>63000</v>
      </c>
      <c r="H411" s="470">
        <f>TRUNC(E411*G411,0)</f>
        <v>128</v>
      </c>
      <c r="I411" s="470"/>
      <c r="J411" s="470">
        <f>TRUNC(I411*E411,0)</f>
        <v>0</v>
      </c>
      <c r="K411" s="470"/>
      <c r="L411" s="470">
        <f>TRUNC(K411*E411,0)</f>
        <v>0</v>
      </c>
      <c r="M411" s="470">
        <f t="shared" si="121"/>
        <v>63000</v>
      </c>
      <c r="N411" s="470">
        <f t="shared" si="121"/>
        <v>128</v>
      </c>
      <c r="O411" s="457"/>
      <c r="P411" s="767"/>
    </row>
    <row r="412" spans="2:17" ht="15.2" customHeight="1">
      <c r="B412" s="766" t="s">
        <v>855</v>
      </c>
      <c r="C412" s="766"/>
      <c r="D412" s="84"/>
      <c r="E412" s="87"/>
      <c r="F412" s="86"/>
      <c r="G412" s="470"/>
      <c r="H412" s="470">
        <f>SUM(H408:H411)</f>
        <v>3571</v>
      </c>
      <c r="I412" s="470"/>
      <c r="J412" s="470">
        <f>SUM(J408:J411)</f>
        <v>9811</v>
      </c>
      <c r="K412" s="470"/>
      <c r="L412" s="470">
        <f>SUM(L408:L411)</f>
        <v>4210</v>
      </c>
      <c r="M412" s="470"/>
      <c r="N412" s="470">
        <f>SUM(N408:N411)</f>
        <v>17592</v>
      </c>
      <c r="O412" s="457"/>
      <c r="P412" s="767"/>
      <c r="Q412" s="80" t="s">
        <v>3244</v>
      </c>
    </row>
    <row r="413" spans="2:17" ht="15.2" customHeight="1">
      <c r="B413" s="83">
        <f>P413</f>
        <v>67</v>
      </c>
      <c r="C413" s="770" t="s">
        <v>4077</v>
      </c>
      <c r="D413" s="770"/>
      <c r="E413" s="770"/>
      <c r="F413" s="771"/>
      <c r="G413" s="470"/>
      <c r="H413" s="470"/>
      <c r="I413" s="470"/>
      <c r="J413" s="470"/>
      <c r="K413" s="470"/>
      <c r="L413" s="470"/>
      <c r="M413" s="470"/>
      <c r="N413" s="470"/>
      <c r="O413" s="457"/>
      <c r="P413" s="767">
        <f>MAX($P$5:P412)+1</f>
        <v>67</v>
      </c>
      <c r="Q413" s="80" t="s">
        <v>3243</v>
      </c>
    </row>
    <row r="414" spans="2:17" ht="15.2" customHeight="1">
      <c r="B414" s="766" t="s">
        <v>1194</v>
      </c>
      <c r="C414" s="766"/>
      <c r="D414" s="84" t="s">
        <v>3645</v>
      </c>
      <c r="E414" s="87">
        <v>1</v>
      </c>
      <c r="F414" s="86" t="s">
        <v>1168</v>
      </c>
      <c r="G414" s="470">
        <f>'작업과정 및 Q산출'!$G$1114</f>
        <v>2942</v>
      </c>
      <c r="H414" s="470">
        <f>TRUNC(E414*G414,0)</f>
        <v>2942</v>
      </c>
      <c r="I414" s="470">
        <f>'작업과정 및 Q산출'!$G$1111</f>
        <v>4984</v>
      </c>
      <c r="J414" s="470">
        <f>TRUNC(I414*E414,0)</f>
        <v>4984</v>
      </c>
      <c r="K414" s="470">
        <f>'작업과정 및 Q산출'!$G$1108</f>
        <v>3967</v>
      </c>
      <c r="L414" s="470">
        <f>TRUNC(K414*E414,0)</f>
        <v>3967</v>
      </c>
      <c r="M414" s="470">
        <f t="shared" ref="M414:N417" si="122">G414+I414+K414</f>
        <v>11893</v>
      </c>
      <c r="N414" s="470">
        <f t="shared" si="122"/>
        <v>11893</v>
      </c>
      <c r="O414" s="461">
        <f>'작업과정 및 Q산출'!A1091</f>
        <v>19</v>
      </c>
      <c r="P414" s="767"/>
    </row>
    <row r="415" spans="2:17" ht="15.2" customHeight="1">
      <c r="B415" s="766" t="s">
        <v>1169</v>
      </c>
      <c r="C415" s="766"/>
      <c r="D415" s="84"/>
      <c r="E415" s="93">
        <v>0.18348600000000001</v>
      </c>
      <c r="F415" s="86" t="s">
        <v>301</v>
      </c>
      <c r="G415" s="470">
        <f>중기사용료!$M$340</f>
        <v>0</v>
      </c>
      <c r="H415" s="470">
        <f>TRUNC(E415*G415,0)</f>
        <v>0</v>
      </c>
      <c r="I415" s="470">
        <f>중기사용료!$M$334</f>
        <v>0</v>
      </c>
      <c r="J415" s="470">
        <f>TRUNC(I415*E415,0)</f>
        <v>0</v>
      </c>
      <c r="K415" s="470">
        <f>중기사용료!$M$328</f>
        <v>7225</v>
      </c>
      <c r="L415" s="470">
        <f>TRUNC(K415*E415,0)</f>
        <v>1325</v>
      </c>
      <c r="M415" s="470">
        <f t="shared" si="122"/>
        <v>7225</v>
      </c>
      <c r="N415" s="470">
        <f t="shared" si="122"/>
        <v>1325</v>
      </c>
      <c r="O415" s="460">
        <f>중기사용료!$A$325</f>
        <v>18</v>
      </c>
      <c r="P415" s="767"/>
    </row>
    <row r="416" spans="2:17" ht="15.2" customHeight="1">
      <c r="B416" s="766" t="s">
        <v>1162</v>
      </c>
      <c r="C416" s="766"/>
      <c r="D416" s="84" t="s">
        <v>1576</v>
      </c>
      <c r="E416" s="94">
        <v>2.2935000000000001E-2</v>
      </c>
      <c r="F416" s="86" t="s">
        <v>933</v>
      </c>
      <c r="G416" s="470"/>
      <c r="H416" s="470">
        <f>TRUNC(E416*G416,0)</f>
        <v>0</v>
      </c>
      <c r="I416" s="470">
        <f>SUMIF('노임(2015)'!$B$4:$B$87,B416,'노임(2015)'!$C$4:$C$87)+SUMIF('노임(2015)'!$E$4:$E$87,B416,'노임(2015)'!$F$4:$F$87)</f>
        <v>89566</v>
      </c>
      <c r="J416" s="470">
        <f>TRUNC(I416*E416,0)</f>
        <v>2054</v>
      </c>
      <c r="K416" s="470"/>
      <c r="L416" s="470">
        <f>TRUNC(K416*E416,0)</f>
        <v>0</v>
      </c>
      <c r="M416" s="470">
        <f t="shared" si="122"/>
        <v>89566</v>
      </c>
      <c r="N416" s="470">
        <f t="shared" si="122"/>
        <v>2054</v>
      </c>
      <c r="O416" s="457"/>
      <c r="P416" s="767"/>
    </row>
    <row r="417" spans="2:17" ht="15.2" customHeight="1">
      <c r="B417" s="766" t="s">
        <v>1170</v>
      </c>
      <c r="C417" s="766"/>
      <c r="D417" s="84" t="s">
        <v>1577</v>
      </c>
      <c r="E417" s="94">
        <v>1.8339999999999999E-3</v>
      </c>
      <c r="F417" s="86" t="s">
        <v>1800</v>
      </c>
      <c r="G417" s="470">
        <f>기계경비산출표!$E$37*1000</f>
        <v>252000</v>
      </c>
      <c r="H417" s="470">
        <f>TRUNC(E417*G417,0)</f>
        <v>462</v>
      </c>
      <c r="I417" s="470"/>
      <c r="J417" s="470">
        <f>TRUNC(I417*E417,0)</f>
        <v>0</v>
      </c>
      <c r="K417" s="470"/>
      <c r="L417" s="470">
        <f>TRUNC(K417*E417,0)</f>
        <v>0</v>
      </c>
      <c r="M417" s="470">
        <f t="shared" si="122"/>
        <v>252000</v>
      </c>
      <c r="N417" s="470">
        <f t="shared" si="122"/>
        <v>462</v>
      </c>
      <c r="O417" s="457"/>
      <c r="P417" s="767"/>
    </row>
    <row r="418" spans="2:17" ht="15.2" customHeight="1">
      <c r="B418" s="766" t="s">
        <v>855</v>
      </c>
      <c r="C418" s="766"/>
      <c r="D418" s="84"/>
      <c r="E418" s="87"/>
      <c r="F418" s="86"/>
      <c r="G418" s="470"/>
      <c r="H418" s="470">
        <f>SUM(H414:H417)</f>
        <v>3404</v>
      </c>
      <c r="I418" s="470"/>
      <c r="J418" s="470">
        <f>SUM(J414:J417)</f>
        <v>7038</v>
      </c>
      <c r="K418" s="470"/>
      <c r="L418" s="470">
        <f>SUM(L414:L417)</f>
        <v>5292</v>
      </c>
      <c r="M418" s="470"/>
      <c r="N418" s="470">
        <f>SUM(N414:N417)</f>
        <v>15734</v>
      </c>
      <c r="O418" s="457"/>
      <c r="P418" s="767"/>
      <c r="Q418" s="80" t="s">
        <v>3244</v>
      </c>
    </row>
    <row r="419" spans="2:17" ht="15.2" customHeight="1">
      <c r="B419" s="83">
        <f>P419</f>
        <v>68</v>
      </c>
      <c r="C419" s="770" t="s">
        <v>1578</v>
      </c>
      <c r="D419" s="770"/>
      <c r="E419" s="770"/>
      <c r="F419" s="771"/>
      <c r="G419" s="470"/>
      <c r="H419" s="470"/>
      <c r="I419" s="470"/>
      <c r="J419" s="470"/>
      <c r="K419" s="470"/>
      <c r="L419" s="470"/>
      <c r="M419" s="470"/>
      <c r="N419" s="470"/>
      <c r="O419" s="457"/>
      <c r="P419" s="767">
        <f>MAX($P$5:P418)+1</f>
        <v>68</v>
      </c>
      <c r="Q419" s="80" t="s">
        <v>3243</v>
      </c>
    </row>
    <row r="420" spans="2:17" ht="15.2" customHeight="1">
      <c r="B420" s="766" t="s">
        <v>1165</v>
      </c>
      <c r="C420" s="766"/>
      <c r="D420" s="84"/>
      <c r="E420" s="87">
        <v>1.8</v>
      </c>
      <c r="F420" s="86" t="s">
        <v>1163</v>
      </c>
      <c r="G420" s="470"/>
      <c r="H420" s="470">
        <f>TRUNC(E420*G420,0)</f>
        <v>0</v>
      </c>
      <c r="I420" s="470">
        <f>SUMIF('노임(2015)'!$B$4:$B$87,B420,'노임(2015)'!$C$4:$C$87)+SUMIF('노임(2015)'!$E$4:$E$87,B420,'노임(2015)'!$F$4:$F$87)</f>
        <v>111771</v>
      </c>
      <c r="J420" s="470">
        <f>TRUNC(I420*E420,0)</f>
        <v>201187</v>
      </c>
      <c r="K420" s="470"/>
      <c r="L420" s="470">
        <f>TRUNC(K420*E420,0)</f>
        <v>0</v>
      </c>
      <c r="M420" s="470">
        <f>G420+I420+K420</f>
        <v>111771</v>
      </c>
      <c r="N420" s="470">
        <f>H420+J420+L420</f>
        <v>201187</v>
      </c>
      <c r="O420" s="457"/>
      <c r="P420" s="767"/>
    </row>
    <row r="421" spans="2:17" ht="15.2" customHeight="1">
      <c r="B421" s="766" t="s">
        <v>1166</v>
      </c>
      <c r="C421" s="766"/>
      <c r="D421" s="84" t="s">
        <v>1569</v>
      </c>
      <c r="E421" s="87">
        <v>0.05</v>
      </c>
      <c r="F421" s="86" t="s">
        <v>933</v>
      </c>
      <c r="G421" s="470">
        <f>SUM(J420)</f>
        <v>201187</v>
      </c>
      <c r="H421" s="470">
        <f>TRUNC(E421*G421,0)</f>
        <v>10059</v>
      </c>
      <c r="I421" s="470"/>
      <c r="J421" s="470">
        <f>TRUNC(I421*E421,0)</f>
        <v>0</v>
      </c>
      <c r="K421" s="470"/>
      <c r="L421" s="470">
        <f>TRUNC(K421*E421,0)</f>
        <v>0</v>
      </c>
      <c r="M421" s="470">
        <f>G421+I421+K421</f>
        <v>201187</v>
      </c>
      <c r="N421" s="470">
        <f>H421+J421+L421</f>
        <v>10059</v>
      </c>
      <c r="O421" s="457"/>
      <c r="P421" s="767"/>
    </row>
    <row r="422" spans="2:17" ht="15.2" customHeight="1">
      <c r="B422" s="766" t="s">
        <v>855</v>
      </c>
      <c r="C422" s="766"/>
      <c r="D422" s="84"/>
      <c r="E422" s="87"/>
      <c r="F422" s="86"/>
      <c r="G422" s="470"/>
      <c r="H422" s="470">
        <f>SUM(H420:H421)</f>
        <v>10059</v>
      </c>
      <c r="I422" s="470"/>
      <c r="J422" s="470">
        <f>SUM(J420:J421)</f>
        <v>201187</v>
      </c>
      <c r="K422" s="470"/>
      <c r="L422" s="470">
        <f>SUM(L420:L421)</f>
        <v>0</v>
      </c>
      <c r="M422" s="470"/>
      <c r="N422" s="470">
        <f>SUM(N420:N421)</f>
        <v>211246</v>
      </c>
      <c r="O422" s="457"/>
      <c r="P422" s="767"/>
      <c r="Q422" s="80" t="s">
        <v>3244</v>
      </c>
    </row>
    <row r="423" spans="2:17" ht="15.2" customHeight="1">
      <c r="B423" s="83">
        <f>P423</f>
        <v>69</v>
      </c>
      <c r="C423" s="770" t="s">
        <v>1579</v>
      </c>
      <c r="D423" s="770"/>
      <c r="E423" s="770"/>
      <c r="F423" s="771"/>
      <c r="G423" s="470"/>
      <c r="H423" s="470"/>
      <c r="I423" s="470"/>
      <c r="J423" s="470"/>
      <c r="K423" s="470"/>
      <c r="L423" s="470"/>
      <c r="M423" s="470"/>
      <c r="N423" s="470"/>
      <c r="O423" s="457"/>
      <c r="P423" s="767">
        <f>MAX($P$5:P422)+1</f>
        <v>69</v>
      </c>
      <c r="Q423" s="80" t="s">
        <v>3243</v>
      </c>
    </row>
    <row r="424" spans="2:17" ht="15.2" customHeight="1">
      <c r="B424" s="766" t="s">
        <v>1029</v>
      </c>
      <c r="C424" s="766"/>
      <c r="D424" s="84"/>
      <c r="E424" s="87">
        <v>0.41</v>
      </c>
      <c r="F424" s="86" t="s">
        <v>1163</v>
      </c>
      <c r="G424" s="470"/>
      <c r="H424" s="470">
        <f>TRUNC(E424*G424,0)</f>
        <v>0</v>
      </c>
      <c r="I424" s="470">
        <f>SUMIF('노임(2015)'!$B$4:$B$87,B424,'노임(2015)'!$C$4:$C$87)+SUMIF('노임(2015)'!$E$4:$E$87,B424,'노임(2015)'!$F$4:$F$87)</f>
        <v>106060</v>
      </c>
      <c r="J424" s="470">
        <f>TRUNC(I424*E424,0)</f>
        <v>43484</v>
      </c>
      <c r="K424" s="470"/>
      <c r="L424" s="470">
        <f>TRUNC(K424*E424,0)</f>
        <v>0</v>
      </c>
      <c r="M424" s="470">
        <f t="shared" ref="M424:N428" si="123">G424+I424+K424</f>
        <v>106060</v>
      </c>
      <c r="N424" s="470">
        <f t="shared" si="123"/>
        <v>43484</v>
      </c>
      <c r="O424" s="457"/>
      <c r="P424" s="767"/>
    </row>
    <row r="425" spans="2:17" ht="15.2" customHeight="1">
      <c r="B425" s="766" t="s">
        <v>1162</v>
      </c>
      <c r="C425" s="766"/>
      <c r="D425" s="84"/>
      <c r="E425" s="87">
        <v>0.21</v>
      </c>
      <c r="F425" s="86" t="s">
        <v>1163</v>
      </c>
      <c r="G425" s="470"/>
      <c r="H425" s="470">
        <f>TRUNC(E425*G425,0)</f>
        <v>0</v>
      </c>
      <c r="I425" s="470">
        <f>SUMIF('노임(2015)'!$B$4:$B$87,B425,'노임(2015)'!$C$4:$C$87)+SUMIF('노임(2015)'!$E$4:$E$87,B425,'노임(2015)'!$F$4:$F$87)</f>
        <v>89566</v>
      </c>
      <c r="J425" s="470">
        <f>TRUNC(I425*E425,0)</f>
        <v>18808</v>
      </c>
      <c r="K425" s="470"/>
      <c r="L425" s="470">
        <f>TRUNC(K425*E425,0)</f>
        <v>0</v>
      </c>
      <c r="M425" s="470">
        <f t="shared" si="123"/>
        <v>89566</v>
      </c>
      <c r="N425" s="470">
        <f t="shared" si="123"/>
        <v>18808</v>
      </c>
      <c r="O425" s="457"/>
      <c r="P425" s="767"/>
    </row>
    <row r="426" spans="2:17" ht="15.2" customHeight="1">
      <c r="B426" s="766" t="s">
        <v>1030</v>
      </c>
      <c r="C426" s="766"/>
      <c r="D426" s="84" t="s">
        <v>2459</v>
      </c>
      <c r="E426" s="87">
        <v>1.68</v>
      </c>
      <c r="F426" s="86" t="s">
        <v>453</v>
      </c>
      <c r="G426" s="470">
        <f>중기사용료!$M$1423</f>
        <v>0</v>
      </c>
      <c r="H426" s="470">
        <f>TRUNC(E426*G426,0)</f>
        <v>0</v>
      </c>
      <c r="I426" s="470">
        <f>중기사용료!$M$1417</f>
        <v>0</v>
      </c>
      <c r="J426" s="470">
        <f>TRUNC(I426*E426,0)</f>
        <v>0</v>
      </c>
      <c r="K426" s="470">
        <f>중기사용료!$M$1411</f>
        <v>412</v>
      </c>
      <c r="L426" s="470">
        <f>TRUNC(K426*E426,0)</f>
        <v>692</v>
      </c>
      <c r="M426" s="470">
        <f t="shared" si="123"/>
        <v>412</v>
      </c>
      <c r="N426" s="470">
        <f t="shared" si="123"/>
        <v>692</v>
      </c>
      <c r="O426" s="460">
        <f>중기사용료!$A$1408</f>
        <v>75</v>
      </c>
      <c r="P426" s="767"/>
    </row>
    <row r="427" spans="2:17" ht="15.2" customHeight="1">
      <c r="B427" s="766" t="s">
        <v>1571</v>
      </c>
      <c r="C427" s="766"/>
      <c r="D427" s="84" t="s">
        <v>2460</v>
      </c>
      <c r="E427" s="87">
        <v>0.48</v>
      </c>
      <c r="F427" s="86" t="s">
        <v>453</v>
      </c>
      <c r="G427" s="470">
        <f>중기사용료!$M$1366</f>
        <v>8018</v>
      </c>
      <c r="H427" s="470">
        <f>TRUNC(E427*G427,0)</f>
        <v>3848</v>
      </c>
      <c r="I427" s="470">
        <f>중기사용료!$M$1360</f>
        <v>27168</v>
      </c>
      <c r="J427" s="470">
        <f>TRUNC(I427*E427,0)</f>
        <v>13040</v>
      </c>
      <c r="K427" s="470">
        <f>중기사용료!$M$1354</f>
        <v>2066</v>
      </c>
      <c r="L427" s="470">
        <f>TRUNC(K427*E427,0)</f>
        <v>991</v>
      </c>
      <c r="M427" s="470">
        <f t="shared" si="123"/>
        <v>37252</v>
      </c>
      <c r="N427" s="470">
        <f t="shared" si="123"/>
        <v>17879</v>
      </c>
      <c r="O427" s="460">
        <f>중기사용료!$A$1351</f>
        <v>72</v>
      </c>
      <c r="P427" s="767"/>
    </row>
    <row r="428" spans="2:17" ht="15.2" customHeight="1">
      <c r="B428" s="766" t="s">
        <v>1166</v>
      </c>
      <c r="C428" s="766"/>
      <c r="D428" s="84" t="s">
        <v>1572</v>
      </c>
      <c r="E428" s="87">
        <v>0.01</v>
      </c>
      <c r="F428" s="86" t="s">
        <v>933</v>
      </c>
      <c r="G428" s="470">
        <f>TRUNC(E424*I424+E425*I425)</f>
        <v>62293</v>
      </c>
      <c r="H428" s="470">
        <f>TRUNC(E428*G428,0)</f>
        <v>622</v>
      </c>
      <c r="I428" s="470"/>
      <c r="J428" s="470">
        <f>TRUNC(I428*E428,0)</f>
        <v>0</v>
      </c>
      <c r="K428" s="470"/>
      <c r="L428" s="470">
        <f>TRUNC(K428*E428,0)</f>
        <v>0</v>
      </c>
      <c r="M428" s="470">
        <f t="shared" si="123"/>
        <v>62293</v>
      </c>
      <c r="N428" s="470">
        <f t="shared" si="123"/>
        <v>622</v>
      </c>
      <c r="O428" s="457"/>
      <c r="P428" s="767"/>
    </row>
    <row r="429" spans="2:17" ht="15.2" customHeight="1">
      <c r="B429" s="766" t="s">
        <v>855</v>
      </c>
      <c r="C429" s="766"/>
      <c r="D429" s="84"/>
      <c r="E429" s="87"/>
      <c r="F429" s="86"/>
      <c r="G429" s="470"/>
      <c r="H429" s="470">
        <f>SUM(H424:H428)</f>
        <v>4470</v>
      </c>
      <c r="I429" s="470"/>
      <c r="J429" s="470">
        <f>SUM(J424:J428)</f>
        <v>75332</v>
      </c>
      <c r="K429" s="470"/>
      <c r="L429" s="470">
        <f>SUM(L424:L428)</f>
        <v>1683</v>
      </c>
      <c r="M429" s="470"/>
      <c r="N429" s="470">
        <f>SUM(N424:N428)</f>
        <v>81485</v>
      </c>
      <c r="O429" s="457"/>
      <c r="P429" s="767"/>
      <c r="Q429" s="80" t="s">
        <v>3244</v>
      </c>
    </row>
    <row r="430" spans="2:17" ht="15.2" customHeight="1">
      <c r="B430" s="83">
        <f>P430</f>
        <v>70</v>
      </c>
      <c r="C430" s="770" t="s">
        <v>3220</v>
      </c>
      <c r="D430" s="770"/>
      <c r="E430" s="770"/>
      <c r="F430" s="771"/>
      <c r="G430" s="470"/>
      <c r="H430" s="470"/>
      <c r="I430" s="470"/>
      <c r="J430" s="470"/>
      <c r="K430" s="470"/>
      <c r="L430" s="470"/>
      <c r="M430" s="470"/>
      <c r="N430" s="470"/>
      <c r="O430" s="457"/>
      <c r="P430" s="767">
        <f>MAX($P$5:P429)+1</f>
        <v>70</v>
      </c>
      <c r="Q430" s="80" t="s">
        <v>3243</v>
      </c>
    </row>
    <row r="431" spans="2:17" ht="15.2" customHeight="1">
      <c r="B431" s="766" t="s">
        <v>1167</v>
      </c>
      <c r="C431" s="766"/>
      <c r="D431" s="84"/>
      <c r="E431" s="87">
        <v>2</v>
      </c>
      <c r="F431" s="86" t="s">
        <v>1163</v>
      </c>
      <c r="G431" s="470"/>
      <c r="H431" s="470">
        <f>TRUNC(E431*G431,0)</f>
        <v>0</v>
      </c>
      <c r="I431" s="470">
        <f>SUMIF('노임(2015)'!$B$4:$B$87,B431,'노임(2015)'!$C$4:$C$87)+SUMIF('노임(2015)'!$E$4:$E$87,B431,'노임(2015)'!$F$4:$F$87)</f>
        <v>124273</v>
      </c>
      <c r="J431" s="470">
        <f>TRUNC(I431*E431,0)</f>
        <v>248546</v>
      </c>
      <c r="K431" s="470"/>
      <c r="L431" s="470">
        <f>TRUNC(K431*E431,0)</f>
        <v>0</v>
      </c>
      <c r="M431" s="470">
        <f>G431+I431+K431</f>
        <v>124273</v>
      </c>
      <c r="N431" s="470">
        <f>H431+J431+L431</f>
        <v>248546</v>
      </c>
      <c r="O431" s="457"/>
      <c r="P431" s="767"/>
    </row>
    <row r="432" spans="2:17" ht="15.2" customHeight="1">
      <c r="B432" s="766" t="s">
        <v>1166</v>
      </c>
      <c r="C432" s="766"/>
      <c r="D432" s="84" t="s">
        <v>1569</v>
      </c>
      <c r="E432" s="87">
        <v>0.05</v>
      </c>
      <c r="F432" s="86" t="s">
        <v>933</v>
      </c>
      <c r="G432" s="470">
        <f>SUM(J431)</f>
        <v>248546</v>
      </c>
      <c r="H432" s="470">
        <f>TRUNC(E432*G432,0)</f>
        <v>12427</v>
      </c>
      <c r="I432" s="470"/>
      <c r="J432" s="470">
        <f>TRUNC(I432*E432,0)</f>
        <v>0</v>
      </c>
      <c r="K432" s="470"/>
      <c r="L432" s="470">
        <f>TRUNC(K432*E432,0)</f>
        <v>0</v>
      </c>
      <c r="M432" s="470">
        <f>G432+I432+K432</f>
        <v>248546</v>
      </c>
      <c r="N432" s="470">
        <f>H432+J432+L432</f>
        <v>12427</v>
      </c>
      <c r="O432" s="457"/>
      <c r="P432" s="767"/>
    </row>
    <row r="433" spans="2:17" ht="15.2" customHeight="1">
      <c r="B433" s="766" t="s">
        <v>855</v>
      </c>
      <c r="C433" s="766"/>
      <c r="D433" s="84"/>
      <c r="E433" s="87"/>
      <c r="F433" s="86"/>
      <c r="G433" s="470"/>
      <c r="H433" s="470">
        <f>SUM(H431:H432)</f>
        <v>12427</v>
      </c>
      <c r="I433" s="470"/>
      <c r="J433" s="470">
        <f>SUM(J431:J432)</f>
        <v>248546</v>
      </c>
      <c r="K433" s="470"/>
      <c r="L433" s="470">
        <f>SUM(L431:L432)</f>
        <v>0</v>
      </c>
      <c r="M433" s="470"/>
      <c r="N433" s="470">
        <f>SUM(N431:N432)</f>
        <v>260973</v>
      </c>
      <c r="O433" s="457"/>
      <c r="P433" s="767"/>
      <c r="Q433" s="80" t="s">
        <v>3244</v>
      </c>
    </row>
    <row r="434" spans="2:17" ht="15.2" customHeight="1">
      <c r="B434" s="83">
        <f>P434</f>
        <v>71</v>
      </c>
      <c r="C434" s="770" t="s">
        <v>3221</v>
      </c>
      <c r="D434" s="770"/>
      <c r="E434" s="770"/>
      <c r="F434" s="771"/>
      <c r="G434" s="470"/>
      <c r="H434" s="470"/>
      <c r="I434" s="470"/>
      <c r="J434" s="470"/>
      <c r="K434" s="470"/>
      <c r="L434" s="470"/>
      <c r="M434" s="470"/>
      <c r="N434" s="470"/>
      <c r="O434" s="457"/>
      <c r="P434" s="767">
        <f>MAX($P$5:P433)+1</f>
        <v>71</v>
      </c>
      <c r="Q434" s="80" t="s">
        <v>3243</v>
      </c>
    </row>
    <row r="435" spans="2:17" ht="15.2" customHeight="1">
      <c r="B435" s="766" t="s">
        <v>1029</v>
      </c>
      <c r="C435" s="766"/>
      <c r="D435" s="84"/>
      <c r="E435" s="87">
        <v>0.41</v>
      </c>
      <c r="F435" s="86" t="s">
        <v>1163</v>
      </c>
      <c r="G435" s="470"/>
      <c r="H435" s="470">
        <f>TRUNC(E435*G435,0)</f>
        <v>0</v>
      </c>
      <c r="I435" s="470">
        <f>SUMIF('노임(2015)'!$B$4:$B$87,B435,'노임(2015)'!$C$4:$C$87)+SUMIF('노임(2015)'!$E$4:$E$87,B435,'노임(2015)'!$F$4:$F$87)</f>
        <v>106060</v>
      </c>
      <c r="J435" s="470">
        <f>TRUNC(I435*E435,0)</f>
        <v>43484</v>
      </c>
      <c r="K435" s="470"/>
      <c r="L435" s="470">
        <f>TRUNC(K435*E435,0)</f>
        <v>0</v>
      </c>
      <c r="M435" s="470">
        <f t="shared" ref="M435:N439" si="124">G435+I435+K435</f>
        <v>106060</v>
      </c>
      <c r="N435" s="470">
        <f t="shared" si="124"/>
        <v>43484</v>
      </c>
      <c r="O435" s="457"/>
      <c r="P435" s="767"/>
    </row>
    <row r="436" spans="2:17" ht="15.2" customHeight="1">
      <c r="B436" s="766" t="s">
        <v>1162</v>
      </c>
      <c r="C436" s="766"/>
      <c r="D436" s="84"/>
      <c r="E436" s="87">
        <v>0.21</v>
      </c>
      <c r="F436" s="86" t="s">
        <v>1163</v>
      </c>
      <c r="G436" s="470"/>
      <c r="H436" s="470">
        <f>TRUNC(E436*G436,0)</f>
        <v>0</v>
      </c>
      <c r="I436" s="470">
        <f>SUMIF('노임(2015)'!$B$4:$B$87,B436,'노임(2015)'!$C$4:$C$87)+SUMIF('노임(2015)'!$E$4:$E$87,B436,'노임(2015)'!$F$4:$F$87)</f>
        <v>89566</v>
      </c>
      <c r="J436" s="470">
        <f>TRUNC(I436*E436,0)</f>
        <v>18808</v>
      </c>
      <c r="K436" s="470"/>
      <c r="L436" s="470">
        <f>TRUNC(K436*E436,0)</f>
        <v>0</v>
      </c>
      <c r="M436" s="470">
        <f t="shared" si="124"/>
        <v>89566</v>
      </c>
      <c r="N436" s="470">
        <f t="shared" si="124"/>
        <v>18808</v>
      </c>
      <c r="O436" s="457"/>
      <c r="P436" s="767"/>
    </row>
    <row r="437" spans="2:17" ht="15.2" customHeight="1">
      <c r="B437" s="766" t="s">
        <v>1030</v>
      </c>
      <c r="C437" s="766"/>
      <c r="D437" s="84" t="s">
        <v>2459</v>
      </c>
      <c r="E437" s="87">
        <v>1.68</v>
      </c>
      <c r="F437" s="86" t="s">
        <v>453</v>
      </c>
      <c r="G437" s="470">
        <f>중기사용료!$M$1423</f>
        <v>0</v>
      </c>
      <c r="H437" s="470">
        <f>TRUNC(E437*G437,0)</f>
        <v>0</v>
      </c>
      <c r="I437" s="470">
        <f>중기사용료!$M$1417</f>
        <v>0</v>
      </c>
      <c r="J437" s="470">
        <f>TRUNC(I437*E437,0)</f>
        <v>0</v>
      </c>
      <c r="K437" s="470">
        <f>중기사용료!$M$1411</f>
        <v>412</v>
      </c>
      <c r="L437" s="470">
        <f>TRUNC(K437*E437,0)</f>
        <v>692</v>
      </c>
      <c r="M437" s="470">
        <f t="shared" si="124"/>
        <v>412</v>
      </c>
      <c r="N437" s="470">
        <f t="shared" si="124"/>
        <v>692</v>
      </c>
      <c r="O437" s="460">
        <f>중기사용료!$A$1408</f>
        <v>75</v>
      </c>
      <c r="P437" s="767"/>
    </row>
    <row r="438" spans="2:17" ht="15.2" customHeight="1">
      <c r="B438" s="766" t="s">
        <v>1571</v>
      </c>
      <c r="C438" s="766"/>
      <c r="D438" s="84" t="s">
        <v>2460</v>
      </c>
      <c r="E438" s="87">
        <v>0.48</v>
      </c>
      <c r="F438" s="86" t="s">
        <v>453</v>
      </c>
      <c r="G438" s="470">
        <f>중기사용료!$M$1366</f>
        <v>8018</v>
      </c>
      <c r="H438" s="470">
        <f>TRUNC(E438*G438,0)</f>
        <v>3848</v>
      </c>
      <c r="I438" s="470">
        <f>중기사용료!$M$1360</f>
        <v>27168</v>
      </c>
      <c r="J438" s="470">
        <f>TRUNC(I438*E438,0)</f>
        <v>13040</v>
      </c>
      <c r="K438" s="470">
        <f>중기사용료!$M$1354</f>
        <v>2066</v>
      </c>
      <c r="L438" s="470">
        <f>TRUNC(K438*E438,0)</f>
        <v>991</v>
      </c>
      <c r="M438" s="470">
        <f t="shared" si="124"/>
        <v>37252</v>
      </c>
      <c r="N438" s="470">
        <f t="shared" si="124"/>
        <v>17879</v>
      </c>
      <c r="O438" s="460">
        <f>중기사용료!$A$1351</f>
        <v>72</v>
      </c>
      <c r="P438" s="767"/>
    </row>
    <row r="439" spans="2:17" ht="15.2" customHeight="1">
      <c r="B439" s="766" t="s">
        <v>1166</v>
      </c>
      <c r="C439" s="766"/>
      <c r="D439" s="84" t="s">
        <v>1572</v>
      </c>
      <c r="E439" s="87">
        <v>0.01</v>
      </c>
      <c r="F439" s="86" t="s">
        <v>933</v>
      </c>
      <c r="G439" s="470">
        <f>TRUNC(E435*I435+E436*I436)</f>
        <v>62293</v>
      </c>
      <c r="H439" s="470">
        <f>TRUNC(E439*G439,0)</f>
        <v>622</v>
      </c>
      <c r="I439" s="470"/>
      <c r="J439" s="470">
        <f>TRUNC(I439*E439,0)</f>
        <v>0</v>
      </c>
      <c r="K439" s="470"/>
      <c r="L439" s="470">
        <f>TRUNC(K439*E439,0)</f>
        <v>0</v>
      </c>
      <c r="M439" s="470">
        <f t="shared" si="124"/>
        <v>62293</v>
      </c>
      <c r="N439" s="470">
        <f t="shared" si="124"/>
        <v>622</v>
      </c>
      <c r="O439" s="457"/>
      <c r="P439" s="767"/>
    </row>
    <row r="440" spans="2:17" ht="15.2" customHeight="1">
      <c r="B440" s="766" t="s">
        <v>855</v>
      </c>
      <c r="C440" s="766"/>
      <c r="D440" s="84"/>
      <c r="E440" s="87"/>
      <c r="F440" s="86"/>
      <c r="G440" s="470"/>
      <c r="H440" s="470">
        <f>SUM(H435:H439)</f>
        <v>4470</v>
      </c>
      <c r="I440" s="470"/>
      <c r="J440" s="470">
        <f>SUM(J435:J439)</f>
        <v>75332</v>
      </c>
      <c r="K440" s="470"/>
      <c r="L440" s="470">
        <f>SUM(L435:L439)</f>
        <v>1683</v>
      </c>
      <c r="M440" s="470"/>
      <c r="N440" s="470">
        <f>SUM(N435:N439)</f>
        <v>81485</v>
      </c>
      <c r="O440" s="457"/>
      <c r="P440" s="767"/>
      <c r="Q440" s="80" t="s">
        <v>3244</v>
      </c>
    </row>
    <row r="441" spans="2:17" ht="15.2" customHeight="1">
      <c r="B441" s="83">
        <f>P441</f>
        <v>72</v>
      </c>
      <c r="C441" s="770" t="s">
        <v>1580</v>
      </c>
      <c r="D441" s="770"/>
      <c r="E441" s="770"/>
      <c r="F441" s="771"/>
      <c r="G441" s="470"/>
      <c r="H441" s="470"/>
      <c r="I441" s="470"/>
      <c r="J441" s="470"/>
      <c r="K441" s="470"/>
      <c r="L441" s="470"/>
      <c r="M441" s="470"/>
      <c r="N441" s="470"/>
      <c r="O441" s="457"/>
      <c r="P441" s="767">
        <f>MAX($P$5:P440)+1</f>
        <v>72</v>
      </c>
      <c r="Q441" s="80" t="s">
        <v>3243</v>
      </c>
    </row>
    <row r="442" spans="2:17" ht="15.2" customHeight="1">
      <c r="B442" s="766" t="s">
        <v>1165</v>
      </c>
      <c r="C442" s="766"/>
      <c r="D442" s="84"/>
      <c r="E442" s="88">
        <v>7.4999999999999997E-2</v>
      </c>
      <c r="F442" s="86" t="s">
        <v>1163</v>
      </c>
      <c r="G442" s="470"/>
      <c r="H442" s="470">
        <f>TRUNC(E442*G442,0)</f>
        <v>0</v>
      </c>
      <c r="I442" s="470">
        <f>SUMIF('노임(2015)'!$B$4:$B$87,B442,'노임(2015)'!$C$4:$C$87)+SUMIF('노임(2015)'!$E$4:$E$87,B442,'노임(2015)'!$F$4:$F$87)</f>
        <v>111771</v>
      </c>
      <c r="J442" s="470">
        <f>TRUNC(I442*E442,0)</f>
        <v>8382</v>
      </c>
      <c r="K442" s="470"/>
      <c r="L442" s="470">
        <f>TRUNC(K442*E442,0)</f>
        <v>0</v>
      </c>
      <c r="M442" s="470">
        <f>G442+I442+K442</f>
        <v>111771</v>
      </c>
      <c r="N442" s="470">
        <f>H442+J442+L442</f>
        <v>8382</v>
      </c>
      <c r="O442" s="457"/>
      <c r="P442" s="767"/>
    </row>
    <row r="443" spans="2:17" ht="15.2" customHeight="1">
      <c r="B443" s="766" t="s">
        <v>1162</v>
      </c>
      <c r="C443" s="766"/>
      <c r="D443" s="84"/>
      <c r="E443" s="87">
        <v>0.1</v>
      </c>
      <c r="F443" s="86" t="s">
        <v>1163</v>
      </c>
      <c r="G443" s="470"/>
      <c r="H443" s="470">
        <f>TRUNC(E443*G443,0)</f>
        <v>0</v>
      </c>
      <c r="I443" s="470">
        <f>SUMIF('노임(2015)'!$B$4:$B$87,B443,'노임(2015)'!$C$4:$C$87)+SUMIF('노임(2015)'!$E$4:$E$87,B443,'노임(2015)'!$F$4:$F$87)</f>
        <v>89566</v>
      </c>
      <c r="J443" s="470">
        <f>TRUNC(I443*E443,0)</f>
        <v>8956</v>
      </c>
      <c r="K443" s="470"/>
      <c r="L443" s="470">
        <f>TRUNC(K443*E443,0)</f>
        <v>0</v>
      </c>
      <c r="M443" s="470">
        <f>G443+I443+K443</f>
        <v>89566</v>
      </c>
      <c r="N443" s="470">
        <f>H443+J443+L443</f>
        <v>8956</v>
      </c>
      <c r="O443" s="457"/>
      <c r="P443" s="767"/>
    </row>
    <row r="444" spans="2:17" ht="15.2" customHeight="1">
      <c r="B444" s="766" t="s">
        <v>855</v>
      </c>
      <c r="C444" s="766"/>
      <c r="D444" s="84"/>
      <c r="E444" s="87"/>
      <c r="F444" s="86"/>
      <c r="G444" s="470"/>
      <c r="H444" s="470">
        <f>SUM(H442:H443)</f>
        <v>0</v>
      </c>
      <c r="I444" s="470"/>
      <c r="J444" s="470">
        <f>SUM(J442:J443)</f>
        <v>17338</v>
      </c>
      <c r="K444" s="470"/>
      <c r="L444" s="470">
        <f>SUM(L442:L443)</f>
        <v>0</v>
      </c>
      <c r="M444" s="470"/>
      <c r="N444" s="470">
        <f>SUM(N442:N443)</f>
        <v>17338</v>
      </c>
      <c r="O444" s="457"/>
      <c r="P444" s="767"/>
      <c r="Q444" s="80" t="s">
        <v>3244</v>
      </c>
    </row>
    <row r="445" spans="2:17" ht="15.2" customHeight="1">
      <c r="B445" s="83">
        <f>P445</f>
        <v>73</v>
      </c>
      <c r="C445" s="770" t="s">
        <v>867</v>
      </c>
      <c r="D445" s="770"/>
      <c r="E445" s="770"/>
      <c r="F445" s="771"/>
      <c r="G445" s="470"/>
      <c r="H445" s="470"/>
      <c r="I445" s="470"/>
      <c r="J445" s="470"/>
      <c r="K445" s="470"/>
      <c r="L445" s="470"/>
      <c r="M445" s="470"/>
      <c r="N445" s="470"/>
      <c r="O445" s="457"/>
      <c r="P445" s="767">
        <f>MAX($P$5:P444)+1</f>
        <v>73</v>
      </c>
      <c r="Q445" s="80" t="s">
        <v>3243</v>
      </c>
    </row>
    <row r="446" spans="2:17" ht="15.2" customHeight="1">
      <c r="B446" s="766" t="s">
        <v>1167</v>
      </c>
      <c r="C446" s="766"/>
      <c r="D446" s="84"/>
      <c r="E446" s="87">
        <v>0.1</v>
      </c>
      <c r="F446" s="86" t="s">
        <v>1163</v>
      </c>
      <c r="G446" s="470"/>
      <c r="H446" s="470">
        <f>TRUNC(E446*G446,0)</f>
        <v>0</v>
      </c>
      <c r="I446" s="470">
        <f>SUMIF('노임(2015)'!$B$4:$B$87,B446,'노임(2015)'!$C$4:$C$87)+SUMIF('노임(2015)'!$E$4:$E$87,B446,'노임(2015)'!$F$4:$F$87)</f>
        <v>124273</v>
      </c>
      <c r="J446" s="470">
        <f>TRUNC(I446*E446,0)</f>
        <v>12427</v>
      </c>
      <c r="K446" s="470"/>
      <c r="L446" s="470">
        <f>TRUNC(K446*E446,0)</f>
        <v>0</v>
      </c>
      <c r="M446" s="470">
        <f t="shared" ref="M446:N448" si="125">G446+I446+K446</f>
        <v>124273</v>
      </c>
      <c r="N446" s="470">
        <f t="shared" si="125"/>
        <v>12427</v>
      </c>
      <c r="O446" s="457"/>
      <c r="P446" s="767"/>
    </row>
    <row r="447" spans="2:17" ht="15.2" customHeight="1">
      <c r="B447" s="766" t="s">
        <v>1162</v>
      </c>
      <c r="C447" s="766"/>
      <c r="D447" s="84"/>
      <c r="E447" s="87">
        <v>1</v>
      </c>
      <c r="F447" s="86" t="s">
        <v>1163</v>
      </c>
      <c r="G447" s="470"/>
      <c r="H447" s="470">
        <f>TRUNC(E447*G447,0)</f>
        <v>0</v>
      </c>
      <c r="I447" s="470">
        <f>SUMIF('노임(2015)'!$B$4:$B$87,B447,'노임(2015)'!$C$4:$C$87)+SUMIF('노임(2015)'!$E$4:$E$87,B447,'노임(2015)'!$F$4:$F$87)</f>
        <v>89566</v>
      </c>
      <c r="J447" s="470">
        <f>TRUNC(I447*E447,0)</f>
        <v>89566</v>
      </c>
      <c r="K447" s="470"/>
      <c r="L447" s="470">
        <f>TRUNC(K447*E447,0)</f>
        <v>0</v>
      </c>
      <c r="M447" s="470">
        <f t="shared" si="125"/>
        <v>89566</v>
      </c>
      <c r="N447" s="470">
        <f t="shared" si="125"/>
        <v>89566</v>
      </c>
      <c r="O447" s="457"/>
      <c r="P447" s="767"/>
    </row>
    <row r="448" spans="2:17" ht="15.2" customHeight="1">
      <c r="B448" s="766" t="s">
        <v>1166</v>
      </c>
      <c r="C448" s="766"/>
      <c r="D448" s="84" t="s">
        <v>1569</v>
      </c>
      <c r="E448" s="87">
        <v>0.05</v>
      </c>
      <c r="F448" s="86" t="s">
        <v>933</v>
      </c>
      <c r="G448" s="470">
        <f>TRUNC(I446*E446+I447*E447)</f>
        <v>101993</v>
      </c>
      <c r="H448" s="470">
        <f>TRUNC(E448*G448,0)</f>
        <v>5099</v>
      </c>
      <c r="I448" s="470"/>
      <c r="J448" s="470">
        <f>TRUNC(I448*E448,0)</f>
        <v>0</v>
      </c>
      <c r="K448" s="470"/>
      <c r="L448" s="470">
        <f>TRUNC(K448*E448,0)</f>
        <v>0</v>
      </c>
      <c r="M448" s="470">
        <f t="shared" si="125"/>
        <v>101993</v>
      </c>
      <c r="N448" s="470">
        <f t="shared" si="125"/>
        <v>5099</v>
      </c>
      <c r="O448" s="457"/>
      <c r="P448" s="767"/>
    </row>
    <row r="449" spans="2:17" ht="15.2" customHeight="1">
      <c r="B449" s="766" t="s">
        <v>855</v>
      </c>
      <c r="C449" s="766"/>
      <c r="D449" s="84"/>
      <c r="E449" s="87"/>
      <c r="F449" s="86"/>
      <c r="G449" s="470"/>
      <c r="H449" s="470">
        <f>SUM(H446:H448)</f>
        <v>5099</v>
      </c>
      <c r="I449" s="470"/>
      <c r="J449" s="470">
        <f>SUM(J446:J448)</f>
        <v>101993</v>
      </c>
      <c r="K449" s="470"/>
      <c r="L449" s="470">
        <f>SUM(L446:L448)</f>
        <v>0</v>
      </c>
      <c r="M449" s="470"/>
      <c r="N449" s="470">
        <f>SUM(N446:N448)</f>
        <v>107092</v>
      </c>
      <c r="O449" s="457"/>
      <c r="P449" s="767"/>
      <c r="Q449" s="80" t="s">
        <v>3244</v>
      </c>
    </row>
    <row r="450" spans="2:17" ht="15.2" customHeight="1">
      <c r="B450" s="83">
        <f>P450</f>
        <v>74</v>
      </c>
      <c r="C450" s="770" t="s">
        <v>157</v>
      </c>
      <c r="D450" s="770"/>
      <c r="E450" s="770"/>
      <c r="F450" s="771"/>
      <c r="G450" s="470"/>
      <c r="H450" s="470"/>
      <c r="I450" s="470"/>
      <c r="J450" s="470"/>
      <c r="K450" s="470"/>
      <c r="L450" s="470"/>
      <c r="M450" s="470"/>
      <c r="N450" s="470"/>
      <c r="O450" s="457"/>
      <c r="P450" s="767">
        <f>MAX($P$5:P449)+1</f>
        <v>74</v>
      </c>
      <c r="Q450" s="80" t="s">
        <v>3243</v>
      </c>
    </row>
    <row r="451" spans="2:17" ht="15.2" customHeight="1">
      <c r="B451" s="766" t="s">
        <v>1162</v>
      </c>
      <c r="C451" s="766"/>
      <c r="D451" s="84"/>
      <c r="E451" s="87">
        <v>0.6</v>
      </c>
      <c r="F451" s="86" t="s">
        <v>1163</v>
      </c>
      <c r="G451" s="470"/>
      <c r="H451" s="470">
        <f>TRUNC(E451*G451,0)</f>
        <v>0</v>
      </c>
      <c r="I451" s="470">
        <f>SUMIF('노임(2015)'!$B$4:$B$87,B451,'노임(2015)'!$C$4:$C$87)+SUMIF('노임(2015)'!$E$4:$E$87,B451,'노임(2015)'!$F$4:$F$87)</f>
        <v>89566</v>
      </c>
      <c r="J451" s="470">
        <f>TRUNC(I451*E451,0)</f>
        <v>53739</v>
      </c>
      <c r="K451" s="470"/>
      <c r="L451" s="470">
        <f>TRUNC(K451*E451,0)</f>
        <v>0</v>
      </c>
      <c r="M451" s="470">
        <f>G451+I451+K451</f>
        <v>89566</v>
      </c>
      <c r="N451" s="470">
        <f>H451+J451+L451</f>
        <v>53739</v>
      </c>
      <c r="O451" s="457"/>
      <c r="P451" s="767"/>
    </row>
    <row r="452" spans="2:17" ht="15.2" customHeight="1">
      <c r="B452" s="766" t="s">
        <v>1166</v>
      </c>
      <c r="C452" s="766"/>
      <c r="D452" s="84" t="s">
        <v>1569</v>
      </c>
      <c r="E452" s="87">
        <v>0.05</v>
      </c>
      <c r="F452" s="86" t="s">
        <v>933</v>
      </c>
      <c r="G452" s="470">
        <f>TRUNC(I451*E451)</f>
        <v>53739</v>
      </c>
      <c r="H452" s="470">
        <f>TRUNC(E452*G452,0)</f>
        <v>2686</v>
      </c>
      <c r="I452" s="470"/>
      <c r="J452" s="470">
        <f>TRUNC(I452*E452,0)</f>
        <v>0</v>
      </c>
      <c r="K452" s="470"/>
      <c r="L452" s="470">
        <f>TRUNC(K452*E452,0)</f>
        <v>0</v>
      </c>
      <c r="M452" s="470">
        <f>G452+I452+K452</f>
        <v>53739</v>
      </c>
      <c r="N452" s="470">
        <f>H452+J452+L452</f>
        <v>2686</v>
      </c>
      <c r="O452" s="457"/>
      <c r="P452" s="767"/>
    </row>
    <row r="453" spans="2:17" ht="15.2" customHeight="1">
      <c r="B453" s="766" t="s">
        <v>855</v>
      </c>
      <c r="C453" s="766"/>
      <c r="D453" s="84"/>
      <c r="E453" s="87"/>
      <c r="F453" s="86"/>
      <c r="G453" s="470"/>
      <c r="H453" s="470">
        <f>SUM(H451:H452)</f>
        <v>2686</v>
      </c>
      <c r="I453" s="470"/>
      <c r="J453" s="470">
        <f>SUM(J451:J452)</f>
        <v>53739</v>
      </c>
      <c r="K453" s="470"/>
      <c r="L453" s="470">
        <f>SUM(L451:L452)</f>
        <v>0</v>
      </c>
      <c r="M453" s="470"/>
      <c r="N453" s="470">
        <f>SUM(N451:N452)</f>
        <v>56425</v>
      </c>
      <c r="O453" s="457"/>
      <c r="P453" s="767"/>
      <c r="Q453" s="80" t="s">
        <v>3244</v>
      </c>
    </row>
    <row r="454" spans="2:17" ht="15.2" customHeight="1">
      <c r="B454" s="83">
        <f>P454</f>
        <v>75</v>
      </c>
      <c r="C454" s="770" t="s">
        <v>158</v>
      </c>
      <c r="D454" s="770"/>
      <c r="E454" s="770"/>
      <c r="F454" s="771"/>
      <c r="G454" s="470"/>
      <c r="H454" s="470"/>
      <c r="I454" s="470"/>
      <c r="J454" s="470"/>
      <c r="K454" s="470"/>
      <c r="L454" s="470"/>
      <c r="M454" s="470"/>
      <c r="N454" s="470"/>
      <c r="O454" s="457"/>
      <c r="P454" s="767">
        <f>MAX($P$5:P453)+1</f>
        <v>75</v>
      </c>
      <c r="Q454" s="80" t="s">
        <v>3243</v>
      </c>
    </row>
    <row r="455" spans="2:17" ht="15.2" customHeight="1">
      <c r="B455" s="766" t="s">
        <v>1162</v>
      </c>
      <c r="C455" s="766"/>
      <c r="D455" s="84"/>
      <c r="E455" s="87">
        <v>0.2</v>
      </c>
      <c r="F455" s="86" t="s">
        <v>1163</v>
      </c>
      <c r="G455" s="470"/>
      <c r="H455" s="470">
        <f>TRUNC(E455*G455,0)</f>
        <v>0</v>
      </c>
      <c r="I455" s="470">
        <f>SUMIF('노임(2015)'!$B$4:$B$87,B455,'노임(2015)'!$C$4:$C$87)+SUMIF('노임(2015)'!$E$4:$E$87,B455,'노임(2015)'!$F$4:$F$87)</f>
        <v>89566</v>
      </c>
      <c r="J455" s="470">
        <f>TRUNC(I455*E455,0)</f>
        <v>17913</v>
      </c>
      <c r="K455" s="470"/>
      <c r="L455" s="470">
        <f>TRUNC(K455*E455,0)</f>
        <v>0</v>
      </c>
      <c r="M455" s="470">
        <f>G455+I455+K455</f>
        <v>89566</v>
      </c>
      <c r="N455" s="470">
        <f>H455+J455+L455</f>
        <v>17913</v>
      </c>
      <c r="O455" s="457"/>
      <c r="P455" s="767"/>
    </row>
    <row r="456" spans="2:17" ht="15.2" customHeight="1">
      <c r="B456" s="766" t="s">
        <v>1166</v>
      </c>
      <c r="C456" s="766"/>
      <c r="D456" s="84" t="s">
        <v>1569</v>
      </c>
      <c r="E456" s="87">
        <v>0.05</v>
      </c>
      <c r="F456" s="86" t="s">
        <v>933</v>
      </c>
      <c r="G456" s="470">
        <f>TRUNC(I455*E455)</f>
        <v>17913</v>
      </c>
      <c r="H456" s="470">
        <f>TRUNC(E456*G456,0)</f>
        <v>895</v>
      </c>
      <c r="I456" s="470"/>
      <c r="J456" s="470">
        <f>TRUNC(I456*E456,0)</f>
        <v>0</v>
      </c>
      <c r="K456" s="470"/>
      <c r="L456" s="470">
        <f>TRUNC(K456*E456,0)</f>
        <v>0</v>
      </c>
      <c r="M456" s="470">
        <f>G456+I456+K456</f>
        <v>17913</v>
      </c>
      <c r="N456" s="470">
        <f>H456+J456+L456</f>
        <v>895</v>
      </c>
      <c r="O456" s="457"/>
      <c r="P456" s="767"/>
    </row>
    <row r="457" spans="2:17" ht="15.2" customHeight="1">
      <c r="B457" s="766" t="s">
        <v>855</v>
      </c>
      <c r="C457" s="766"/>
      <c r="D457" s="84"/>
      <c r="E457" s="87"/>
      <c r="F457" s="86"/>
      <c r="G457" s="470"/>
      <c r="H457" s="470">
        <f>SUM(H455:H456)</f>
        <v>895</v>
      </c>
      <c r="I457" s="470"/>
      <c r="J457" s="470">
        <f>SUM(J455:J456)</f>
        <v>17913</v>
      </c>
      <c r="K457" s="470"/>
      <c r="L457" s="470">
        <f>SUM(L455:L456)</f>
        <v>0</v>
      </c>
      <c r="M457" s="470"/>
      <c r="N457" s="470">
        <f>SUM(N455:N456)</f>
        <v>18808</v>
      </c>
      <c r="O457" s="457"/>
      <c r="P457" s="767"/>
      <c r="Q457" s="80" t="s">
        <v>3244</v>
      </c>
    </row>
    <row r="458" spans="2:17" ht="15.2" customHeight="1">
      <c r="B458" s="83">
        <f>P458</f>
        <v>76</v>
      </c>
      <c r="C458" s="770" t="s">
        <v>159</v>
      </c>
      <c r="D458" s="770"/>
      <c r="E458" s="770"/>
      <c r="F458" s="771"/>
      <c r="G458" s="470"/>
      <c r="H458" s="470"/>
      <c r="I458" s="470"/>
      <c r="J458" s="470"/>
      <c r="K458" s="470"/>
      <c r="L458" s="470"/>
      <c r="M458" s="470"/>
      <c r="N458" s="470"/>
      <c r="O458" s="457"/>
      <c r="P458" s="767">
        <f>MAX($P$5:P457)+1</f>
        <v>76</v>
      </c>
      <c r="Q458" s="80" t="s">
        <v>3243</v>
      </c>
    </row>
    <row r="459" spans="2:17" ht="15.2" customHeight="1">
      <c r="B459" s="766" t="s">
        <v>4019</v>
      </c>
      <c r="C459" s="766"/>
      <c r="D459" s="84" t="s">
        <v>1101</v>
      </c>
      <c r="E459" s="87">
        <v>1</v>
      </c>
      <c r="F459" s="86" t="s">
        <v>1168</v>
      </c>
      <c r="G459" s="470">
        <f>'작업과정 및 Q산출'!$G$29</f>
        <v>425</v>
      </c>
      <c r="H459" s="470">
        <f>TRUNC(E459*G459,0)</f>
        <v>425</v>
      </c>
      <c r="I459" s="470">
        <f>'작업과정 및 Q산출'!$G$26</f>
        <v>1715</v>
      </c>
      <c r="J459" s="470">
        <f>TRUNC(I459*E459,0)</f>
        <v>1715</v>
      </c>
      <c r="K459" s="470">
        <f>'작업과정 및 Q산출'!$G$23</f>
        <v>710</v>
      </c>
      <c r="L459" s="470">
        <f>TRUNC(K459*E459,0)</f>
        <v>710</v>
      </c>
      <c r="M459" s="470">
        <f>G459+I459+K459</f>
        <v>2850</v>
      </c>
      <c r="N459" s="470">
        <f>H459+J459+L459</f>
        <v>2850</v>
      </c>
      <c r="O459" s="461">
        <f>'작업과정 및 Q산출'!$A$6</f>
        <v>1</v>
      </c>
      <c r="P459" s="767"/>
    </row>
    <row r="460" spans="2:17" ht="15.2" customHeight="1">
      <c r="B460" s="766" t="s">
        <v>855</v>
      </c>
      <c r="C460" s="766"/>
      <c r="D460" s="84"/>
      <c r="E460" s="87"/>
      <c r="F460" s="86"/>
      <c r="G460" s="470"/>
      <c r="H460" s="470">
        <f>SUM(H459:H459)</f>
        <v>425</v>
      </c>
      <c r="I460" s="470"/>
      <c r="J460" s="470">
        <f>SUM(J459:J459)</f>
        <v>1715</v>
      </c>
      <c r="K460" s="470"/>
      <c r="L460" s="470">
        <f>SUM(L459:L459)</f>
        <v>710</v>
      </c>
      <c r="M460" s="470"/>
      <c r="N460" s="470">
        <f>SUM(N459:N459)</f>
        <v>2850</v>
      </c>
      <c r="O460" s="457"/>
      <c r="P460" s="767"/>
      <c r="Q460" s="80" t="s">
        <v>3244</v>
      </c>
    </row>
    <row r="461" spans="2:17" ht="15.2" customHeight="1">
      <c r="B461" s="83">
        <f>P461</f>
        <v>77</v>
      </c>
      <c r="C461" s="770" t="s">
        <v>160</v>
      </c>
      <c r="D461" s="770"/>
      <c r="E461" s="770"/>
      <c r="F461" s="771"/>
      <c r="G461" s="470"/>
      <c r="H461" s="470"/>
      <c r="I461" s="470"/>
      <c r="J461" s="470"/>
      <c r="K461" s="470"/>
      <c r="L461" s="470"/>
      <c r="M461" s="470"/>
      <c r="N461" s="470"/>
      <c r="O461" s="457"/>
      <c r="P461" s="767">
        <f>MAX($P$5:P460)+1</f>
        <v>77</v>
      </c>
      <c r="Q461" s="80" t="s">
        <v>3243</v>
      </c>
    </row>
    <row r="462" spans="2:17" ht="15.2" customHeight="1">
      <c r="B462" s="766" t="s">
        <v>4019</v>
      </c>
      <c r="C462" s="766"/>
      <c r="D462" s="84" t="s">
        <v>448</v>
      </c>
      <c r="E462" s="87">
        <v>1</v>
      </c>
      <c r="F462" s="86" t="s">
        <v>1168</v>
      </c>
      <c r="G462" s="470">
        <f>'작업과정 및 Q산출'!$G$64</f>
        <v>425</v>
      </c>
      <c r="H462" s="470">
        <f>TRUNC(E462*G462,0)</f>
        <v>425</v>
      </c>
      <c r="I462" s="470">
        <f>'작업과정 및 Q산출'!$G$61</f>
        <v>857</v>
      </c>
      <c r="J462" s="470">
        <f>TRUNC(I462*E462,0)</f>
        <v>857</v>
      </c>
      <c r="K462" s="470">
        <f>'작업과정 및 Q산출'!$G$58</f>
        <v>395</v>
      </c>
      <c r="L462" s="470">
        <f>TRUNC(K462*E462,0)</f>
        <v>395</v>
      </c>
      <c r="M462" s="470">
        <f>G462+I462+K462</f>
        <v>1677</v>
      </c>
      <c r="N462" s="470">
        <f>H462+J462+L462</f>
        <v>1677</v>
      </c>
      <c r="O462" s="461">
        <f>'작업과정 및 Q산출'!$A$41</f>
        <v>2</v>
      </c>
      <c r="P462" s="767"/>
    </row>
    <row r="463" spans="2:17" ht="15.2" customHeight="1">
      <c r="B463" s="766" t="s">
        <v>855</v>
      </c>
      <c r="C463" s="766"/>
      <c r="D463" s="84"/>
      <c r="E463" s="87"/>
      <c r="F463" s="86"/>
      <c r="G463" s="470"/>
      <c r="H463" s="470">
        <f>SUM(H462:H462)</f>
        <v>425</v>
      </c>
      <c r="I463" s="470"/>
      <c r="J463" s="470">
        <f>SUM(J462:J462)</f>
        <v>857</v>
      </c>
      <c r="K463" s="470"/>
      <c r="L463" s="470">
        <f>SUM(L462:L462)</f>
        <v>395</v>
      </c>
      <c r="M463" s="470"/>
      <c r="N463" s="470">
        <f>SUM(N462:N462)</f>
        <v>1677</v>
      </c>
      <c r="O463" s="457"/>
      <c r="P463" s="767"/>
      <c r="Q463" s="80" t="s">
        <v>3244</v>
      </c>
    </row>
    <row r="464" spans="2:17" ht="15.2" customHeight="1">
      <c r="B464" s="83">
        <f>P464</f>
        <v>78</v>
      </c>
      <c r="C464" s="770" t="s">
        <v>4069</v>
      </c>
      <c r="D464" s="770"/>
      <c r="E464" s="770"/>
      <c r="F464" s="771"/>
      <c r="G464" s="470"/>
      <c r="H464" s="470"/>
      <c r="I464" s="470"/>
      <c r="J464" s="470"/>
      <c r="K464" s="470"/>
      <c r="L464" s="470"/>
      <c r="M464" s="470"/>
      <c r="N464" s="470"/>
      <c r="O464" s="457"/>
      <c r="P464" s="767">
        <f>MAX($P$5:P463)+1</f>
        <v>78</v>
      </c>
      <c r="Q464" s="80" t="s">
        <v>3243</v>
      </c>
    </row>
    <row r="465" spans="2:17" ht="15.2" customHeight="1">
      <c r="B465" s="766" t="s">
        <v>4019</v>
      </c>
      <c r="C465" s="766"/>
      <c r="D465" s="84" t="s">
        <v>3645</v>
      </c>
      <c r="E465" s="87">
        <v>1</v>
      </c>
      <c r="F465" s="86" t="s">
        <v>1168</v>
      </c>
      <c r="G465" s="470">
        <f>'작업과정 및 Q산출'!$G$99</f>
        <v>321</v>
      </c>
      <c r="H465" s="470">
        <f>TRUNC(E465*G465,0)</f>
        <v>321</v>
      </c>
      <c r="I465" s="470">
        <f>'작업과정 및 Q산출'!$G$96</f>
        <v>544</v>
      </c>
      <c r="J465" s="470">
        <f>TRUNC(I465*E465,0)</f>
        <v>544</v>
      </c>
      <c r="K465" s="470">
        <f>'작업과정 및 Q산출'!$G$93</f>
        <v>433</v>
      </c>
      <c r="L465" s="470">
        <f>TRUNC(K465*E465,0)</f>
        <v>433</v>
      </c>
      <c r="M465" s="470">
        <f>G465+I465+K465</f>
        <v>1298</v>
      </c>
      <c r="N465" s="470">
        <f>H465+J465+L465</f>
        <v>1298</v>
      </c>
      <c r="O465" s="461">
        <f>'작업과정 및 Q산출'!A76</f>
        <v>3</v>
      </c>
      <c r="P465" s="767"/>
    </row>
    <row r="466" spans="2:17" ht="15.2" customHeight="1">
      <c r="B466" s="766" t="s">
        <v>855</v>
      </c>
      <c r="C466" s="766"/>
      <c r="D466" s="84"/>
      <c r="E466" s="87"/>
      <c r="F466" s="86"/>
      <c r="G466" s="470"/>
      <c r="H466" s="470">
        <f>SUM(H465:H465)</f>
        <v>321</v>
      </c>
      <c r="I466" s="470"/>
      <c r="J466" s="470">
        <f>SUM(J465:J465)</f>
        <v>544</v>
      </c>
      <c r="K466" s="470"/>
      <c r="L466" s="470">
        <f>SUM(L465:L465)</f>
        <v>433</v>
      </c>
      <c r="M466" s="470"/>
      <c r="N466" s="470">
        <f>SUM(N465:N465)</f>
        <v>1298</v>
      </c>
      <c r="O466" s="457"/>
      <c r="P466" s="767"/>
      <c r="Q466" s="80" t="s">
        <v>3244</v>
      </c>
    </row>
    <row r="467" spans="2:17" ht="15.2" customHeight="1">
      <c r="B467" s="83">
        <f>P467</f>
        <v>79</v>
      </c>
      <c r="C467" s="770" t="s">
        <v>3663</v>
      </c>
      <c r="D467" s="770"/>
      <c r="E467" s="770"/>
      <c r="F467" s="771"/>
      <c r="G467" s="470"/>
      <c r="H467" s="470"/>
      <c r="I467" s="470"/>
      <c r="J467" s="470"/>
      <c r="K467" s="470"/>
      <c r="L467" s="470"/>
      <c r="M467" s="470"/>
      <c r="N467" s="470"/>
      <c r="O467" s="457"/>
      <c r="P467" s="767">
        <f>MAX($P$5:P466)+1</f>
        <v>79</v>
      </c>
      <c r="Q467" s="80" t="s">
        <v>3243</v>
      </c>
    </row>
    <row r="468" spans="2:17" ht="15.2" customHeight="1">
      <c r="B468" s="766" t="s">
        <v>4020</v>
      </c>
      <c r="C468" s="766"/>
      <c r="D468" s="84" t="s">
        <v>1101</v>
      </c>
      <c r="E468" s="87">
        <v>1</v>
      </c>
      <c r="F468" s="86" t="s">
        <v>1168</v>
      </c>
      <c r="G468" s="470">
        <f>'작업과정 및 Q산출'!$G$344</f>
        <v>235</v>
      </c>
      <c r="H468" s="470">
        <f>TRUNC(E468*G468,0)</f>
        <v>235</v>
      </c>
      <c r="I468" s="470">
        <f>'작업과정 및 Q산출'!$G$341</f>
        <v>949</v>
      </c>
      <c r="J468" s="470">
        <f>TRUNC(I468*E468,0)</f>
        <v>949</v>
      </c>
      <c r="K468" s="470">
        <f>'작업과정 및 Q산출'!$G$338</f>
        <v>393</v>
      </c>
      <c r="L468" s="470">
        <f>TRUNC(K468*E468,0)</f>
        <v>393</v>
      </c>
      <c r="M468" s="470">
        <f>G468+I468+K468</f>
        <v>1577</v>
      </c>
      <c r="N468" s="470">
        <f>H468+J468+L468</f>
        <v>1577</v>
      </c>
      <c r="O468" s="461">
        <f>'작업과정 및 Q산출'!A321</f>
        <v>10</v>
      </c>
      <c r="P468" s="767"/>
    </row>
    <row r="469" spans="2:17" ht="15.2" customHeight="1">
      <c r="B469" s="766" t="s">
        <v>855</v>
      </c>
      <c r="C469" s="766"/>
      <c r="D469" s="84"/>
      <c r="E469" s="87"/>
      <c r="F469" s="86"/>
      <c r="G469" s="470"/>
      <c r="H469" s="470">
        <f>SUM(H468:H468)</f>
        <v>235</v>
      </c>
      <c r="I469" s="470"/>
      <c r="J469" s="470">
        <f>SUM(J468:J468)</f>
        <v>949</v>
      </c>
      <c r="K469" s="470"/>
      <c r="L469" s="470">
        <f>SUM(L468:L468)</f>
        <v>393</v>
      </c>
      <c r="M469" s="470"/>
      <c r="N469" s="470">
        <f>SUM(N468:N468)</f>
        <v>1577</v>
      </c>
      <c r="O469" s="457"/>
      <c r="P469" s="767"/>
      <c r="Q469" s="80" t="s">
        <v>3244</v>
      </c>
    </row>
    <row r="470" spans="2:17" ht="15.2" customHeight="1">
      <c r="B470" s="83">
        <f>P470</f>
        <v>80</v>
      </c>
      <c r="C470" s="770" t="s">
        <v>3664</v>
      </c>
      <c r="D470" s="770"/>
      <c r="E470" s="770"/>
      <c r="F470" s="771"/>
      <c r="G470" s="470"/>
      <c r="H470" s="470"/>
      <c r="I470" s="470"/>
      <c r="J470" s="470"/>
      <c r="K470" s="470"/>
      <c r="L470" s="470"/>
      <c r="M470" s="470"/>
      <c r="N470" s="470"/>
      <c r="O470" s="457"/>
      <c r="P470" s="767">
        <f>MAX($P$5:P469)+1</f>
        <v>80</v>
      </c>
      <c r="Q470" s="80" t="s">
        <v>3243</v>
      </c>
    </row>
    <row r="471" spans="2:17" ht="15.2" customHeight="1">
      <c r="B471" s="766" t="s">
        <v>4020</v>
      </c>
      <c r="C471" s="766"/>
      <c r="D471" s="84" t="s">
        <v>1101</v>
      </c>
      <c r="E471" s="87">
        <v>1</v>
      </c>
      <c r="F471" s="86" t="s">
        <v>1168</v>
      </c>
      <c r="G471" s="470">
        <f>'작업과정 및 Q산출'!$G$344</f>
        <v>235</v>
      </c>
      <c r="H471" s="470">
        <f>TRUNC(E471*G471,0)</f>
        <v>235</v>
      </c>
      <c r="I471" s="470">
        <f>'작업과정 및 Q산출'!$G$341</f>
        <v>949</v>
      </c>
      <c r="J471" s="470">
        <f>TRUNC(I471*E471,0)</f>
        <v>949</v>
      </c>
      <c r="K471" s="470">
        <f>'작업과정 및 Q산출'!$G$338</f>
        <v>393</v>
      </c>
      <c r="L471" s="470">
        <f>TRUNC(K471*E471,0)</f>
        <v>393</v>
      </c>
      <c r="M471" s="470">
        <f>G471+I471+K471</f>
        <v>1577</v>
      </c>
      <c r="N471" s="470">
        <f>H471+J471+L471</f>
        <v>1577</v>
      </c>
      <c r="O471" s="461">
        <f>'작업과정 및 Q산출'!A321</f>
        <v>10</v>
      </c>
      <c r="P471" s="767"/>
    </row>
    <row r="472" spans="2:17" ht="15.2" customHeight="1">
      <c r="B472" s="766" t="s">
        <v>4018</v>
      </c>
      <c r="C472" s="766"/>
      <c r="D472" s="84" t="s">
        <v>1150</v>
      </c>
      <c r="E472" s="87">
        <v>1</v>
      </c>
      <c r="F472" s="86" t="s">
        <v>1168</v>
      </c>
      <c r="G472" s="470">
        <f>'작업과정 및 Q산출'!$G$1290</f>
        <v>291</v>
      </c>
      <c r="H472" s="470">
        <f>TRUNC(E472*G472,0)</f>
        <v>291</v>
      </c>
      <c r="I472" s="470">
        <f>'작업과정 및 Q산출'!$G$1287</f>
        <v>5411</v>
      </c>
      <c r="J472" s="470">
        <f>TRUNC(I472*E472,0)</f>
        <v>5411</v>
      </c>
      <c r="K472" s="470">
        <f>'작업과정 및 Q산출'!$G$1284</f>
        <v>117</v>
      </c>
      <c r="L472" s="470">
        <f>TRUNC(K472*E472,0)</f>
        <v>117</v>
      </c>
      <c r="M472" s="470">
        <f>G472+I472+K472</f>
        <v>5819</v>
      </c>
      <c r="N472" s="470">
        <f>H472+J472+L472</f>
        <v>5819</v>
      </c>
      <c r="O472" s="461">
        <f>'작업과정 및 Q산출'!$A$1266</f>
        <v>24</v>
      </c>
      <c r="P472" s="767"/>
    </row>
    <row r="473" spans="2:17" ht="15.2" customHeight="1">
      <c r="B473" s="766" t="s">
        <v>855</v>
      </c>
      <c r="C473" s="766"/>
      <c r="D473" s="84"/>
      <c r="E473" s="87"/>
      <c r="F473" s="86"/>
      <c r="G473" s="470"/>
      <c r="H473" s="470">
        <f>SUM(H471:H472)</f>
        <v>526</v>
      </c>
      <c r="I473" s="470"/>
      <c r="J473" s="470">
        <f>SUM(J471:J472)</f>
        <v>6360</v>
      </c>
      <c r="K473" s="470"/>
      <c r="L473" s="470">
        <f>SUM(L471:L472)</f>
        <v>510</v>
      </c>
      <c r="M473" s="470"/>
      <c r="N473" s="470">
        <f>SUM(N471:N472)</f>
        <v>7396</v>
      </c>
      <c r="O473" s="457"/>
      <c r="P473" s="767"/>
      <c r="Q473" s="80" t="s">
        <v>3244</v>
      </c>
    </row>
    <row r="474" spans="2:17" ht="15.2" customHeight="1">
      <c r="B474" s="83">
        <f>P474</f>
        <v>81</v>
      </c>
      <c r="C474" s="770" t="s">
        <v>161</v>
      </c>
      <c r="D474" s="770"/>
      <c r="E474" s="770"/>
      <c r="F474" s="771"/>
      <c r="G474" s="470"/>
      <c r="H474" s="470"/>
      <c r="I474" s="470"/>
      <c r="J474" s="470"/>
      <c r="K474" s="470"/>
      <c r="L474" s="470"/>
      <c r="M474" s="470"/>
      <c r="N474" s="470"/>
      <c r="O474" s="457"/>
      <c r="P474" s="767">
        <f>MAX($P$5:P473)+1</f>
        <v>81</v>
      </c>
      <c r="Q474" s="80" t="s">
        <v>3243</v>
      </c>
    </row>
    <row r="475" spans="2:17" ht="15.2" customHeight="1">
      <c r="B475" s="766" t="s">
        <v>4021</v>
      </c>
      <c r="C475" s="766"/>
      <c r="D475" s="84" t="s">
        <v>448</v>
      </c>
      <c r="E475" s="87">
        <v>1</v>
      </c>
      <c r="F475" s="86" t="s">
        <v>1168</v>
      </c>
      <c r="G475" s="470">
        <f>'작업과정 및 Q산출'!$G$379</f>
        <v>235</v>
      </c>
      <c r="H475" s="470">
        <f>TRUNC(E475*G475,0)</f>
        <v>235</v>
      </c>
      <c r="I475" s="470">
        <f>'작업과정 및 Q산출'!$G$376</f>
        <v>474</v>
      </c>
      <c r="J475" s="470">
        <f>TRUNC(I475*E475,0)</f>
        <v>474</v>
      </c>
      <c r="K475" s="470">
        <f>'작업과정 및 Q산출'!$G$373</f>
        <v>218</v>
      </c>
      <c r="L475" s="470">
        <f>TRUNC(K475*E475,0)</f>
        <v>218</v>
      </c>
      <c r="M475" s="470">
        <f>G475+I475+K475</f>
        <v>927</v>
      </c>
      <c r="N475" s="470">
        <f>H475+J475+L475</f>
        <v>927</v>
      </c>
      <c r="O475" s="461">
        <f>'작업과정 및 Q산출'!A356</f>
        <v>11</v>
      </c>
      <c r="P475" s="767"/>
    </row>
    <row r="476" spans="2:17" ht="15.2" customHeight="1">
      <c r="B476" s="766" t="s">
        <v>855</v>
      </c>
      <c r="C476" s="766"/>
      <c r="D476" s="84"/>
      <c r="E476" s="87"/>
      <c r="F476" s="86"/>
      <c r="G476" s="470"/>
      <c r="H476" s="470">
        <f>SUM(H475:H475)</f>
        <v>235</v>
      </c>
      <c r="I476" s="470"/>
      <c r="J476" s="470">
        <f>SUM(J475:J475)</f>
        <v>474</v>
      </c>
      <c r="K476" s="470"/>
      <c r="L476" s="470">
        <f>SUM(L475:L475)</f>
        <v>218</v>
      </c>
      <c r="M476" s="470"/>
      <c r="N476" s="470">
        <f>SUM(N475:N475)</f>
        <v>927</v>
      </c>
      <c r="O476" s="457"/>
      <c r="P476" s="767"/>
      <c r="Q476" s="80" t="s">
        <v>3244</v>
      </c>
    </row>
    <row r="477" spans="2:17" ht="15.2" customHeight="1">
      <c r="B477" s="83">
        <f>P477</f>
        <v>82</v>
      </c>
      <c r="C477" s="770" t="s">
        <v>1157</v>
      </c>
      <c r="D477" s="770"/>
      <c r="E477" s="770"/>
      <c r="F477" s="771"/>
      <c r="G477" s="470"/>
      <c r="H477" s="470"/>
      <c r="I477" s="470"/>
      <c r="J477" s="470"/>
      <c r="K477" s="470"/>
      <c r="L477" s="470"/>
      <c r="M477" s="470"/>
      <c r="N477" s="470"/>
      <c r="O477" s="457"/>
      <c r="P477" s="767">
        <f>MAX($P$5:P476)+1</f>
        <v>82</v>
      </c>
      <c r="Q477" s="80" t="s">
        <v>3243</v>
      </c>
    </row>
    <row r="478" spans="2:17" ht="15.2" customHeight="1">
      <c r="B478" s="766" t="s">
        <v>4021</v>
      </c>
      <c r="C478" s="766"/>
      <c r="D478" s="84" t="s">
        <v>448</v>
      </c>
      <c r="E478" s="87">
        <v>1</v>
      </c>
      <c r="F478" s="86" t="s">
        <v>1168</v>
      </c>
      <c r="G478" s="470">
        <f>'작업과정 및 Q산출'!$G$379</f>
        <v>235</v>
      </c>
      <c r="H478" s="470">
        <f>TRUNC(E478*G478,0)</f>
        <v>235</v>
      </c>
      <c r="I478" s="470">
        <f>'작업과정 및 Q산출'!$G$376</f>
        <v>474</v>
      </c>
      <c r="J478" s="470">
        <f>TRUNC(I478*E478,0)</f>
        <v>474</v>
      </c>
      <c r="K478" s="470">
        <f>'작업과정 및 Q산출'!$G$373</f>
        <v>218</v>
      </c>
      <c r="L478" s="470">
        <f>TRUNC(K478*E478,0)</f>
        <v>218</v>
      </c>
      <c r="M478" s="470">
        <f>G478+I478+K478</f>
        <v>927</v>
      </c>
      <c r="N478" s="470">
        <f>H478+J478+L478</f>
        <v>927</v>
      </c>
      <c r="O478" s="461">
        <f>'작업과정 및 Q산출'!A356</f>
        <v>11</v>
      </c>
      <c r="P478" s="767"/>
    </row>
    <row r="479" spans="2:17" ht="15.2" customHeight="1">
      <c r="B479" s="766" t="s">
        <v>4018</v>
      </c>
      <c r="C479" s="766"/>
      <c r="D479" s="84" t="s">
        <v>1150</v>
      </c>
      <c r="E479" s="87">
        <v>1</v>
      </c>
      <c r="F479" s="86" t="s">
        <v>1168</v>
      </c>
      <c r="G479" s="470">
        <f>'작업과정 및 Q산출'!$G$1290</f>
        <v>291</v>
      </c>
      <c r="H479" s="470">
        <f>TRUNC(E479*G479,0)</f>
        <v>291</v>
      </c>
      <c r="I479" s="470">
        <f>'작업과정 및 Q산출'!$G$1287</f>
        <v>5411</v>
      </c>
      <c r="J479" s="470">
        <f>TRUNC(I479*E479,0)</f>
        <v>5411</v>
      </c>
      <c r="K479" s="470">
        <f>'작업과정 및 Q산출'!$G$1284</f>
        <v>117</v>
      </c>
      <c r="L479" s="470">
        <f>TRUNC(K479*E479,0)</f>
        <v>117</v>
      </c>
      <c r="M479" s="470">
        <f>G479+I479+K479</f>
        <v>5819</v>
      </c>
      <c r="N479" s="470">
        <f>H479+J479+L479</f>
        <v>5819</v>
      </c>
      <c r="O479" s="461">
        <f>'작업과정 및 Q산출'!$A$1266</f>
        <v>24</v>
      </c>
      <c r="P479" s="767"/>
    </row>
    <row r="480" spans="2:17" ht="15.2" customHeight="1">
      <c r="B480" s="766" t="s">
        <v>855</v>
      </c>
      <c r="C480" s="766"/>
      <c r="D480" s="84"/>
      <c r="E480" s="87"/>
      <c r="F480" s="86"/>
      <c r="G480" s="470"/>
      <c r="H480" s="470">
        <f>SUM(H478:H479)</f>
        <v>526</v>
      </c>
      <c r="I480" s="470"/>
      <c r="J480" s="470">
        <f>SUM(J478:J479)</f>
        <v>5885</v>
      </c>
      <c r="K480" s="470"/>
      <c r="L480" s="470">
        <f>SUM(L478:L479)</f>
        <v>335</v>
      </c>
      <c r="M480" s="470"/>
      <c r="N480" s="470">
        <f>SUM(N478:N479)</f>
        <v>6746</v>
      </c>
      <c r="O480" s="457"/>
      <c r="P480" s="767"/>
      <c r="Q480" s="80" t="s">
        <v>3244</v>
      </c>
    </row>
    <row r="481" spans="2:17" ht="15.2" customHeight="1">
      <c r="B481" s="83">
        <f>P481</f>
        <v>83</v>
      </c>
      <c r="C481" s="770" t="s">
        <v>4073</v>
      </c>
      <c r="D481" s="770"/>
      <c r="E481" s="770"/>
      <c r="F481" s="771"/>
      <c r="G481" s="470"/>
      <c r="H481" s="470"/>
      <c r="I481" s="470"/>
      <c r="J481" s="470"/>
      <c r="K481" s="470"/>
      <c r="L481" s="470"/>
      <c r="M481" s="470"/>
      <c r="N481" s="470"/>
      <c r="O481" s="457"/>
      <c r="P481" s="767">
        <f>MAX($P$5:P480)+1</f>
        <v>83</v>
      </c>
      <c r="Q481" s="80" t="s">
        <v>3243</v>
      </c>
    </row>
    <row r="482" spans="2:17" ht="15.2" customHeight="1">
      <c r="B482" s="766" t="s">
        <v>4021</v>
      </c>
      <c r="C482" s="766"/>
      <c r="D482" s="84" t="s">
        <v>3645</v>
      </c>
      <c r="E482" s="87">
        <v>1</v>
      </c>
      <c r="F482" s="86" t="s">
        <v>1168</v>
      </c>
      <c r="G482" s="470">
        <f>'작업과정 및 Q산출'!$G$414</f>
        <v>177</v>
      </c>
      <c r="H482" s="470">
        <f>TRUNC(E482*G482,0)</f>
        <v>177</v>
      </c>
      <c r="I482" s="470">
        <f>'작업과정 및 Q산출'!$G$411</f>
        <v>301</v>
      </c>
      <c r="J482" s="470">
        <f>TRUNC(I482*E482,0)</f>
        <v>301</v>
      </c>
      <c r="K482" s="470">
        <f>'작업과정 및 Q산출'!$G$408</f>
        <v>240</v>
      </c>
      <c r="L482" s="470">
        <f>TRUNC(K482*E482,0)</f>
        <v>240</v>
      </c>
      <c r="M482" s="470">
        <f>G482+I482+K482</f>
        <v>718</v>
      </c>
      <c r="N482" s="470">
        <f>H482+J482+L482</f>
        <v>718</v>
      </c>
      <c r="O482" s="461">
        <f>'작업과정 및 Q산출'!A391</f>
        <v>12</v>
      </c>
      <c r="P482" s="767"/>
    </row>
    <row r="483" spans="2:17" ht="15.2" customHeight="1">
      <c r="B483" s="766" t="s">
        <v>855</v>
      </c>
      <c r="C483" s="766"/>
      <c r="D483" s="84"/>
      <c r="E483" s="87"/>
      <c r="F483" s="86"/>
      <c r="G483" s="470"/>
      <c r="H483" s="470">
        <f>SUM(H482:H482)</f>
        <v>177</v>
      </c>
      <c r="I483" s="470"/>
      <c r="J483" s="470">
        <f>SUM(J482:J482)</f>
        <v>301</v>
      </c>
      <c r="K483" s="470"/>
      <c r="L483" s="470">
        <f>SUM(L482:L482)</f>
        <v>240</v>
      </c>
      <c r="M483" s="470"/>
      <c r="N483" s="470">
        <f>SUM(N482:N482)</f>
        <v>718</v>
      </c>
      <c r="O483" s="457"/>
      <c r="P483" s="767"/>
      <c r="Q483" s="80" t="s">
        <v>3244</v>
      </c>
    </row>
    <row r="484" spans="2:17" ht="15.2" customHeight="1">
      <c r="B484" s="83">
        <f>P484</f>
        <v>84</v>
      </c>
      <c r="C484" s="770" t="s">
        <v>4074</v>
      </c>
      <c r="D484" s="770"/>
      <c r="E484" s="770"/>
      <c r="F484" s="771"/>
      <c r="G484" s="470"/>
      <c r="H484" s="470"/>
      <c r="I484" s="470"/>
      <c r="J484" s="470"/>
      <c r="K484" s="470"/>
      <c r="L484" s="470"/>
      <c r="M484" s="470"/>
      <c r="N484" s="470"/>
      <c r="O484" s="457"/>
      <c r="P484" s="767">
        <f>MAX($P$5:P483)+1</f>
        <v>84</v>
      </c>
      <c r="Q484" s="80" t="s">
        <v>3243</v>
      </c>
    </row>
    <row r="485" spans="2:17" ht="15.2" customHeight="1">
      <c r="B485" s="766" t="s">
        <v>4021</v>
      </c>
      <c r="C485" s="766"/>
      <c r="D485" s="84" t="s">
        <v>3645</v>
      </c>
      <c r="E485" s="87">
        <v>1</v>
      </c>
      <c r="F485" s="86" t="s">
        <v>1168</v>
      </c>
      <c r="G485" s="470">
        <f>'작업과정 및 Q산출'!$G$414</f>
        <v>177</v>
      </c>
      <c r="H485" s="470">
        <f>TRUNC(E485*G485,0)</f>
        <v>177</v>
      </c>
      <c r="I485" s="470">
        <f>'작업과정 및 Q산출'!$G$411</f>
        <v>301</v>
      </c>
      <c r="J485" s="470">
        <f>TRUNC(I485*E485,0)</f>
        <v>301</v>
      </c>
      <c r="K485" s="470">
        <f>'작업과정 및 Q산출'!$G$408</f>
        <v>240</v>
      </c>
      <c r="L485" s="470">
        <f>TRUNC(K485*E485,0)</f>
        <v>240</v>
      </c>
      <c r="M485" s="470">
        <f>G485+I485+K485</f>
        <v>718</v>
      </c>
      <c r="N485" s="470">
        <f>H485+J485+L485</f>
        <v>718</v>
      </c>
      <c r="O485" s="461">
        <f>'작업과정 및 Q산출'!A391</f>
        <v>12</v>
      </c>
      <c r="P485" s="767"/>
    </row>
    <row r="486" spans="2:17" ht="15.2" customHeight="1">
      <c r="B486" s="766" t="s">
        <v>1149</v>
      </c>
      <c r="C486" s="766"/>
      <c r="D486" s="84" t="s">
        <v>1150</v>
      </c>
      <c r="E486" s="87">
        <v>1</v>
      </c>
      <c r="F486" s="86" t="s">
        <v>1168</v>
      </c>
      <c r="G486" s="470">
        <f>'작업과정 및 Q산출'!$G$1290</f>
        <v>291</v>
      </c>
      <c r="H486" s="470">
        <f>TRUNC(E486*G486,0)</f>
        <v>291</v>
      </c>
      <c r="I486" s="470">
        <f>'작업과정 및 Q산출'!$G$1287</f>
        <v>5411</v>
      </c>
      <c r="J486" s="470">
        <f>TRUNC(I486*E486,0)</f>
        <v>5411</v>
      </c>
      <c r="K486" s="470">
        <f>'작업과정 및 Q산출'!$G$1284</f>
        <v>117</v>
      </c>
      <c r="L486" s="470">
        <f>TRUNC(K486*E486,0)</f>
        <v>117</v>
      </c>
      <c r="M486" s="470">
        <f>G486+I486+K486</f>
        <v>5819</v>
      </c>
      <c r="N486" s="470">
        <f>H486+J486+L486</f>
        <v>5819</v>
      </c>
      <c r="O486" s="461">
        <f>'작업과정 및 Q산출'!$A$1266</f>
        <v>24</v>
      </c>
      <c r="P486" s="767"/>
    </row>
    <row r="487" spans="2:17" ht="15.2" customHeight="1">
      <c r="B487" s="766" t="s">
        <v>855</v>
      </c>
      <c r="C487" s="766"/>
      <c r="D487" s="84"/>
      <c r="E487" s="87"/>
      <c r="F487" s="86"/>
      <c r="G487" s="470"/>
      <c r="H487" s="470">
        <f>SUM(H485:H486)</f>
        <v>468</v>
      </c>
      <c r="I487" s="470"/>
      <c r="J487" s="470">
        <f>SUM(J485:J486)</f>
        <v>5712</v>
      </c>
      <c r="K487" s="470"/>
      <c r="L487" s="470">
        <f>SUM(L485:L486)</f>
        <v>357</v>
      </c>
      <c r="M487" s="470"/>
      <c r="N487" s="470">
        <f>SUM(N485:N486)</f>
        <v>6537</v>
      </c>
      <c r="O487" s="457"/>
      <c r="P487" s="767"/>
      <c r="Q487" s="80" t="s">
        <v>3244</v>
      </c>
    </row>
    <row r="488" spans="2:17" ht="15.2" customHeight="1">
      <c r="B488" s="83">
        <f>P488</f>
        <v>85</v>
      </c>
      <c r="C488" s="770" t="s">
        <v>162</v>
      </c>
      <c r="D488" s="770"/>
      <c r="E488" s="770"/>
      <c r="F488" s="771"/>
      <c r="G488" s="470"/>
      <c r="H488" s="470"/>
      <c r="I488" s="470"/>
      <c r="J488" s="470"/>
      <c r="K488" s="470"/>
      <c r="L488" s="470"/>
      <c r="M488" s="470"/>
      <c r="N488" s="470"/>
      <c r="O488" s="457"/>
      <c r="P488" s="767">
        <f>MAX($P$5:P487)+1</f>
        <v>85</v>
      </c>
      <c r="Q488" s="80" t="s">
        <v>3243</v>
      </c>
    </row>
    <row r="489" spans="2:17" ht="15.2" customHeight="1">
      <c r="B489" s="766" t="s">
        <v>1162</v>
      </c>
      <c r="C489" s="766"/>
      <c r="D489" s="84" t="s">
        <v>3190</v>
      </c>
      <c r="E489" s="95">
        <v>0.10416</v>
      </c>
      <c r="F489" s="86" t="s">
        <v>1163</v>
      </c>
      <c r="G489" s="470"/>
      <c r="H489" s="470">
        <f>TRUNC(E489*G489,0)</f>
        <v>0</v>
      </c>
      <c r="I489" s="470">
        <f>SUMIF('노임(2015)'!$B$4:$B$87,B489,'노임(2015)'!$C$4:$C$87)+SUMIF('노임(2015)'!$E$4:$E$87,B489,'노임(2015)'!$F$4:$F$87)</f>
        <v>89566</v>
      </c>
      <c r="J489" s="470">
        <f>TRUNC(I489*E489,0)</f>
        <v>9329</v>
      </c>
      <c r="K489" s="470"/>
      <c r="L489" s="470">
        <f>TRUNC(K489*E489,0)</f>
        <v>0</v>
      </c>
      <c r="M489" s="470">
        <f>G489+I489+K489</f>
        <v>89566</v>
      </c>
      <c r="N489" s="470">
        <f>H489+J489+L489</f>
        <v>9329</v>
      </c>
      <c r="O489" s="457"/>
      <c r="P489" s="767"/>
    </row>
    <row r="490" spans="2:17" ht="15.2" customHeight="1">
      <c r="B490" s="766" t="s">
        <v>855</v>
      </c>
      <c r="C490" s="766"/>
      <c r="D490" s="84"/>
      <c r="E490" s="87"/>
      <c r="F490" s="86"/>
      <c r="G490" s="470"/>
      <c r="H490" s="470">
        <f>SUM(H489:H489)</f>
        <v>0</v>
      </c>
      <c r="I490" s="470"/>
      <c r="J490" s="470">
        <f>SUM(J489:J489)</f>
        <v>9329</v>
      </c>
      <c r="K490" s="470"/>
      <c r="L490" s="470">
        <f>SUM(L489:L489)</f>
        <v>0</v>
      </c>
      <c r="M490" s="470"/>
      <c r="N490" s="470">
        <f>SUM(N489:N489)</f>
        <v>9329</v>
      </c>
      <c r="O490" s="457"/>
      <c r="P490" s="767"/>
      <c r="Q490" s="80" t="s">
        <v>3244</v>
      </c>
    </row>
    <row r="491" spans="2:17" ht="15.2" customHeight="1">
      <c r="B491" s="83">
        <f>P491</f>
        <v>86</v>
      </c>
      <c r="C491" s="770" t="s">
        <v>163</v>
      </c>
      <c r="D491" s="770"/>
      <c r="E491" s="770"/>
      <c r="F491" s="771"/>
      <c r="G491" s="470"/>
      <c r="H491" s="470"/>
      <c r="I491" s="470"/>
      <c r="J491" s="470"/>
      <c r="K491" s="470"/>
      <c r="L491" s="470"/>
      <c r="M491" s="470"/>
      <c r="N491" s="470"/>
      <c r="O491" s="457"/>
      <c r="P491" s="767">
        <f>MAX($P$5:P490)+1</f>
        <v>86</v>
      </c>
      <c r="Q491" s="80" t="s">
        <v>3243</v>
      </c>
    </row>
    <row r="492" spans="2:17" ht="15.2" customHeight="1">
      <c r="B492" s="766" t="s">
        <v>1162</v>
      </c>
      <c r="C492" s="766"/>
      <c r="D492" s="84" t="s">
        <v>3190</v>
      </c>
      <c r="E492" s="95">
        <v>0.12501000000000001</v>
      </c>
      <c r="F492" s="86" t="s">
        <v>1163</v>
      </c>
      <c r="G492" s="470"/>
      <c r="H492" s="470">
        <f>TRUNC(E492*G492,0)</f>
        <v>0</v>
      </c>
      <c r="I492" s="470">
        <f>SUMIF('노임(2015)'!$B$4:$B$87,B492,'노임(2015)'!$C$4:$C$87)+SUMIF('노임(2015)'!$E$4:$E$87,B492,'노임(2015)'!$F$4:$F$87)</f>
        <v>89566</v>
      </c>
      <c r="J492" s="470">
        <f>TRUNC(I492*E492,0)</f>
        <v>11196</v>
      </c>
      <c r="K492" s="470"/>
      <c r="L492" s="470">
        <f>TRUNC(K492*E492,0)</f>
        <v>0</v>
      </c>
      <c r="M492" s="470">
        <f>G492+I492+K492</f>
        <v>89566</v>
      </c>
      <c r="N492" s="470">
        <f>H492+J492+L492</f>
        <v>11196</v>
      </c>
      <c r="O492" s="457"/>
      <c r="P492" s="767"/>
    </row>
    <row r="493" spans="2:17" ht="15.2" customHeight="1">
      <c r="B493" s="766" t="s">
        <v>855</v>
      </c>
      <c r="C493" s="766"/>
      <c r="D493" s="84"/>
      <c r="E493" s="87"/>
      <c r="F493" s="86"/>
      <c r="G493" s="470"/>
      <c r="H493" s="470">
        <f>SUM(H492:H492)</f>
        <v>0</v>
      </c>
      <c r="I493" s="470"/>
      <c r="J493" s="470">
        <f>SUM(J492:J492)</f>
        <v>11196</v>
      </c>
      <c r="K493" s="470"/>
      <c r="L493" s="470">
        <f>SUM(L492:L492)</f>
        <v>0</v>
      </c>
      <c r="M493" s="470"/>
      <c r="N493" s="470">
        <f>SUM(N492:N492)</f>
        <v>11196</v>
      </c>
      <c r="O493" s="457"/>
      <c r="P493" s="767"/>
      <c r="Q493" s="80" t="s">
        <v>3244</v>
      </c>
    </row>
    <row r="494" spans="2:17" ht="15.2" customHeight="1">
      <c r="B494" s="83">
        <f>P494</f>
        <v>87</v>
      </c>
      <c r="C494" s="770" t="s">
        <v>164</v>
      </c>
      <c r="D494" s="770"/>
      <c r="E494" s="770"/>
      <c r="F494" s="771"/>
      <c r="G494" s="470"/>
      <c r="H494" s="470"/>
      <c r="I494" s="470"/>
      <c r="J494" s="470"/>
      <c r="K494" s="470"/>
      <c r="L494" s="470"/>
      <c r="M494" s="470"/>
      <c r="N494" s="470"/>
      <c r="O494" s="457"/>
      <c r="P494" s="767">
        <f>MAX($P$5:P493)+1</f>
        <v>87</v>
      </c>
      <c r="Q494" s="80" t="s">
        <v>3243</v>
      </c>
    </row>
    <row r="495" spans="2:17" ht="15.2" customHeight="1">
      <c r="B495" s="766" t="s">
        <v>4022</v>
      </c>
      <c r="C495" s="766"/>
      <c r="D495" s="84" t="s">
        <v>1101</v>
      </c>
      <c r="E495" s="87">
        <v>1</v>
      </c>
      <c r="F495" s="86" t="s">
        <v>1168</v>
      </c>
      <c r="G495" s="470">
        <f>'작업과정 및 Q산출'!$G$134</f>
        <v>294</v>
      </c>
      <c r="H495" s="470">
        <f>TRUNC(E495*G495,0)</f>
        <v>294</v>
      </c>
      <c r="I495" s="470">
        <f>'작업과정 및 Q산출'!$G$131</f>
        <v>1187</v>
      </c>
      <c r="J495" s="470">
        <f>TRUNC(I495*E495,0)</f>
        <v>1187</v>
      </c>
      <c r="K495" s="470">
        <f>'작업과정 및 Q산출'!$G$128</f>
        <v>491</v>
      </c>
      <c r="L495" s="470">
        <f>TRUNC(K495*E495,0)</f>
        <v>491</v>
      </c>
      <c r="M495" s="470">
        <f>G495+I495+K495</f>
        <v>1972</v>
      </c>
      <c r="N495" s="470">
        <f>H495+J495+L495</f>
        <v>1972</v>
      </c>
      <c r="O495" s="461">
        <f>'작업과정 및 Q산출'!A111</f>
        <v>4</v>
      </c>
      <c r="P495" s="767"/>
    </row>
    <row r="496" spans="2:17" ht="15.2" customHeight="1">
      <c r="B496" s="766" t="s">
        <v>855</v>
      </c>
      <c r="C496" s="766"/>
      <c r="D496" s="84"/>
      <c r="E496" s="87"/>
      <c r="F496" s="86"/>
      <c r="G496" s="470"/>
      <c r="H496" s="470">
        <f>SUM(H495:H495)</f>
        <v>294</v>
      </c>
      <c r="I496" s="470"/>
      <c r="J496" s="470">
        <f>SUM(J495:J495)</f>
        <v>1187</v>
      </c>
      <c r="K496" s="470"/>
      <c r="L496" s="470">
        <f>SUM(L495:L495)</f>
        <v>491</v>
      </c>
      <c r="M496" s="470"/>
      <c r="N496" s="470">
        <f>SUM(N495:N495)</f>
        <v>1972</v>
      </c>
      <c r="O496" s="457"/>
      <c r="P496" s="767"/>
      <c r="Q496" s="80" t="s">
        <v>3244</v>
      </c>
    </row>
    <row r="497" spans="2:17" ht="15.2" customHeight="1">
      <c r="B497" s="83">
        <f>P497</f>
        <v>88</v>
      </c>
      <c r="C497" s="770" t="s">
        <v>165</v>
      </c>
      <c r="D497" s="770"/>
      <c r="E497" s="770"/>
      <c r="F497" s="771"/>
      <c r="G497" s="470"/>
      <c r="H497" s="470"/>
      <c r="I497" s="470"/>
      <c r="J497" s="470"/>
      <c r="K497" s="470"/>
      <c r="L497" s="470"/>
      <c r="M497" s="470"/>
      <c r="N497" s="470"/>
      <c r="O497" s="457"/>
      <c r="P497" s="767">
        <f>MAX($P$5:P496)+1</f>
        <v>88</v>
      </c>
      <c r="Q497" s="80" t="s">
        <v>3243</v>
      </c>
    </row>
    <row r="498" spans="2:17" ht="15.2" customHeight="1">
      <c r="B498" s="766" t="s">
        <v>4022</v>
      </c>
      <c r="C498" s="766"/>
      <c r="D498" s="84" t="s">
        <v>448</v>
      </c>
      <c r="E498" s="87">
        <v>1</v>
      </c>
      <c r="F498" s="86" t="s">
        <v>1168</v>
      </c>
      <c r="G498" s="470">
        <f>'작업과정 및 Q산출'!$G$204</f>
        <v>294</v>
      </c>
      <c r="H498" s="470">
        <f>TRUNC(E498*G498,0)</f>
        <v>294</v>
      </c>
      <c r="I498" s="470">
        <f>'작업과정 및 Q산출'!$G$201</f>
        <v>593</v>
      </c>
      <c r="J498" s="470">
        <f>TRUNC(I498*E498,0)</f>
        <v>593</v>
      </c>
      <c r="K498" s="470">
        <f>'작업과정 및 Q산출'!$G$198</f>
        <v>273</v>
      </c>
      <c r="L498" s="470">
        <f>TRUNC(K498*E498,0)</f>
        <v>273</v>
      </c>
      <c r="M498" s="470">
        <f>G498+I498+K498</f>
        <v>1160</v>
      </c>
      <c r="N498" s="470">
        <f>H498+J498+L498</f>
        <v>1160</v>
      </c>
      <c r="O498" s="461">
        <f>'작업과정 및 Q산출'!A181</f>
        <v>6</v>
      </c>
      <c r="P498" s="767"/>
    </row>
    <row r="499" spans="2:17" ht="15.2" customHeight="1">
      <c r="B499" s="766" t="s">
        <v>855</v>
      </c>
      <c r="C499" s="766"/>
      <c r="D499" s="84"/>
      <c r="E499" s="87"/>
      <c r="F499" s="86"/>
      <c r="G499" s="470"/>
      <c r="H499" s="470">
        <f>SUM(H498:H498)</f>
        <v>294</v>
      </c>
      <c r="I499" s="470"/>
      <c r="J499" s="470">
        <f>SUM(J498:J498)</f>
        <v>593</v>
      </c>
      <c r="K499" s="470"/>
      <c r="L499" s="470">
        <f>SUM(L498:L498)</f>
        <v>273</v>
      </c>
      <c r="M499" s="470"/>
      <c r="N499" s="470">
        <f>SUM(N498:N498)</f>
        <v>1160</v>
      </c>
      <c r="O499" s="457"/>
      <c r="P499" s="767"/>
      <c r="Q499" s="80" t="s">
        <v>3244</v>
      </c>
    </row>
    <row r="500" spans="2:17" ht="15.2" customHeight="1">
      <c r="B500" s="83">
        <f>P500</f>
        <v>89</v>
      </c>
      <c r="C500" s="770" t="s">
        <v>4071</v>
      </c>
      <c r="D500" s="770"/>
      <c r="E500" s="770"/>
      <c r="F500" s="771"/>
      <c r="G500" s="470"/>
      <c r="H500" s="470"/>
      <c r="I500" s="470"/>
      <c r="J500" s="470"/>
      <c r="K500" s="470"/>
      <c r="L500" s="470"/>
      <c r="M500" s="470"/>
      <c r="N500" s="470"/>
      <c r="O500" s="457"/>
      <c r="P500" s="767">
        <f>MAX($P$5:P499)+1</f>
        <v>89</v>
      </c>
      <c r="Q500" s="80" t="s">
        <v>3243</v>
      </c>
    </row>
    <row r="501" spans="2:17" ht="15.2" customHeight="1">
      <c r="B501" s="766" t="s">
        <v>4022</v>
      </c>
      <c r="C501" s="766"/>
      <c r="D501" s="84" t="s">
        <v>3645</v>
      </c>
      <c r="E501" s="87">
        <v>1</v>
      </c>
      <c r="F501" s="86" t="s">
        <v>1168</v>
      </c>
      <c r="G501" s="470">
        <f>'작업과정 및 Q산출'!$G$274</f>
        <v>222</v>
      </c>
      <c r="H501" s="470">
        <f>TRUNC(E501*G501,0)</f>
        <v>222</v>
      </c>
      <c r="I501" s="470">
        <f>'작업과정 및 Q산출'!$G$271</f>
        <v>376</v>
      </c>
      <c r="J501" s="470">
        <f>TRUNC(I501*E501,0)</f>
        <v>376</v>
      </c>
      <c r="K501" s="470">
        <f>'작업과정 및 Q산출'!$G$268</f>
        <v>300</v>
      </c>
      <c r="L501" s="470">
        <f>TRUNC(K501*E501,0)</f>
        <v>300</v>
      </c>
      <c r="M501" s="470">
        <f>G501+I501+K501</f>
        <v>898</v>
      </c>
      <c r="N501" s="470">
        <f>H501+J501+L501</f>
        <v>898</v>
      </c>
      <c r="O501" s="461">
        <f>'작업과정 및 Q산출'!A251</f>
        <v>8</v>
      </c>
      <c r="P501" s="767"/>
    </row>
    <row r="502" spans="2:17" ht="15.2" customHeight="1">
      <c r="B502" s="766" t="s">
        <v>855</v>
      </c>
      <c r="C502" s="766"/>
      <c r="D502" s="84"/>
      <c r="E502" s="87"/>
      <c r="F502" s="86"/>
      <c r="G502" s="470"/>
      <c r="H502" s="470">
        <f>SUM(H501:H501)</f>
        <v>222</v>
      </c>
      <c r="I502" s="470"/>
      <c r="J502" s="470">
        <f>SUM(J501:J501)</f>
        <v>376</v>
      </c>
      <c r="K502" s="470"/>
      <c r="L502" s="470">
        <f>SUM(L501:L501)</f>
        <v>300</v>
      </c>
      <c r="M502" s="470"/>
      <c r="N502" s="470">
        <f>SUM(N501:N501)</f>
        <v>898</v>
      </c>
      <c r="O502" s="461"/>
      <c r="P502" s="767"/>
      <c r="Q502" s="80" t="s">
        <v>3244</v>
      </c>
    </row>
    <row r="503" spans="2:17" ht="15.2" customHeight="1">
      <c r="B503" s="83">
        <f>P503</f>
        <v>90</v>
      </c>
      <c r="C503" s="770" t="s">
        <v>166</v>
      </c>
      <c r="D503" s="770"/>
      <c r="E503" s="770"/>
      <c r="F503" s="771"/>
      <c r="G503" s="470"/>
      <c r="H503" s="470"/>
      <c r="I503" s="470"/>
      <c r="J503" s="470"/>
      <c r="K503" s="470"/>
      <c r="L503" s="470"/>
      <c r="M503" s="470"/>
      <c r="N503" s="470"/>
      <c r="O503" s="457"/>
      <c r="P503" s="767">
        <f>MAX($P$5:P502)+1</f>
        <v>90</v>
      </c>
      <c r="Q503" s="80" t="s">
        <v>3243</v>
      </c>
    </row>
    <row r="504" spans="2:17" ht="15.2" customHeight="1">
      <c r="B504" s="766" t="s">
        <v>4022</v>
      </c>
      <c r="C504" s="766"/>
      <c r="D504" s="84" t="s">
        <v>1101</v>
      </c>
      <c r="E504" s="87">
        <v>1</v>
      </c>
      <c r="F504" s="86" t="s">
        <v>1168</v>
      </c>
      <c r="G504" s="470">
        <f>'작업과정 및 Q산출'!$G$169</f>
        <v>754</v>
      </c>
      <c r="H504" s="470">
        <f>TRUNC(E504*G504,0)</f>
        <v>754</v>
      </c>
      <c r="I504" s="470">
        <f>'작업과정 및 Q산출'!$G$166</f>
        <v>3038</v>
      </c>
      <c r="J504" s="470">
        <f>TRUNC(I504*E504,0)</f>
        <v>3038</v>
      </c>
      <c r="K504" s="470">
        <f>'작업과정 및 Q산출'!$G$163</f>
        <v>1258</v>
      </c>
      <c r="L504" s="470">
        <f>TRUNC(K504*E504,0)</f>
        <v>1258</v>
      </c>
      <c r="M504" s="470">
        <f>G504+I504+K504</f>
        <v>5050</v>
      </c>
      <c r="N504" s="470">
        <f>H504+J504+L504</f>
        <v>5050</v>
      </c>
      <c r="O504" s="461">
        <f>'작업과정 및 Q산출'!A146</f>
        <v>5</v>
      </c>
      <c r="P504" s="767"/>
    </row>
    <row r="505" spans="2:17" ht="15.2" customHeight="1">
      <c r="B505" s="766" t="s">
        <v>855</v>
      </c>
      <c r="C505" s="766"/>
      <c r="D505" s="84"/>
      <c r="E505" s="87"/>
      <c r="F505" s="86"/>
      <c r="G505" s="470"/>
      <c r="H505" s="470">
        <f>SUM(H504:H504)</f>
        <v>754</v>
      </c>
      <c r="I505" s="470"/>
      <c r="J505" s="470">
        <f>SUM(J504:J504)</f>
        <v>3038</v>
      </c>
      <c r="K505" s="470"/>
      <c r="L505" s="470">
        <f>SUM(L504:L504)</f>
        <v>1258</v>
      </c>
      <c r="M505" s="470"/>
      <c r="N505" s="470">
        <f>SUM(N504:N504)</f>
        <v>5050</v>
      </c>
      <c r="O505" s="457"/>
      <c r="P505" s="767"/>
      <c r="Q505" s="80" t="s">
        <v>3244</v>
      </c>
    </row>
    <row r="506" spans="2:17" ht="15.2" customHeight="1">
      <c r="B506" s="83">
        <f>P506</f>
        <v>91</v>
      </c>
      <c r="C506" s="770" t="s">
        <v>167</v>
      </c>
      <c r="D506" s="770"/>
      <c r="E506" s="770"/>
      <c r="F506" s="771"/>
      <c r="G506" s="470"/>
      <c r="H506" s="470"/>
      <c r="I506" s="470"/>
      <c r="J506" s="470"/>
      <c r="K506" s="470"/>
      <c r="L506" s="470"/>
      <c r="M506" s="470"/>
      <c r="N506" s="470"/>
      <c r="O506" s="457"/>
      <c r="P506" s="767">
        <f>MAX($P$5:P505)+1</f>
        <v>91</v>
      </c>
      <c r="Q506" s="80" t="s">
        <v>3243</v>
      </c>
    </row>
    <row r="507" spans="2:17" ht="15.2" customHeight="1">
      <c r="B507" s="766" t="s">
        <v>4022</v>
      </c>
      <c r="C507" s="766"/>
      <c r="D507" s="84" t="s">
        <v>448</v>
      </c>
      <c r="E507" s="87">
        <v>1</v>
      </c>
      <c r="F507" s="86" t="s">
        <v>1168</v>
      </c>
      <c r="G507" s="470">
        <f>'작업과정 및 Q산출'!$G$239</f>
        <v>752</v>
      </c>
      <c r="H507" s="470">
        <f>TRUNC(E507*G507,0)</f>
        <v>752</v>
      </c>
      <c r="I507" s="470">
        <f>'작업과정 및 Q산출'!$G$236</f>
        <v>1518</v>
      </c>
      <c r="J507" s="470">
        <f>TRUNC(I507*E507,0)</f>
        <v>1518</v>
      </c>
      <c r="K507" s="470">
        <f>'작업과정 및 Q산출'!$G$233</f>
        <v>699</v>
      </c>
      <c r="L507" s="470">
        <f>TRUNC(K507*E507,0)</f>
        <v>699</v>
      </c>
      <c r="M507" s="470">
        <f>G507+I507+K507</f>
        <v>2969</v>
      </c>
      <c r="N507" s="470">
        <f>H507+J507+L507</f>
        <v>2969</v>
      </c>
      <c r="O507" s="461">
        <f>'작업과정 및 Q산출'!A216</f>
        <v>7</v>
      </c>
      <c r="P507" s="767"/>
    </row>
    <row r="508" spans="2:17" ht="15.2" customHeight="1">
      <c r="B508" s="766" t="s">
        <v>855</v>
      </c>
      <c r="C508" s="766"/>
      <c r="D508" s="84"/>
      <c r="E508" s="87"/>
      <c r="F508" s="86"/>
      <c r="G508" s="470"/>
      <c r="H508" s="470">
        <f>SUM(H507:H507)</f>
        <v>752</v>
      </c>
      <c r="I508" s="470"/>
      <c r="J508" s="470">
        <f>SUM(J507:J507)</f>
        <v>1518</v>
      </c>
      <c r="K508" s="470"/>
      <c r="L508" s="470">
        <f>SUM(L507:L507)</f>
        <v>699</v>
      </c>
      <c r="M508" s="470"/>
      <c r="N508" s="470">
        <f>SUM(N507:N507)</f>
        <v>2969</v>
      </c>
      <c r="O508" s="457"/>
      <c r="P508" s="767"/>
      <c r="Q508" s="80" t="s">
        <v>3244</v>
      </c>
    </row>
    <row r="509" spans="2:17" ht="15.2" customHeight="1">
      <c r="B509" s="83">
        <f>P509</f>
        <v>92</v>
      </c>
      <c r="C509" s="770" t="s">
        <v>4072</v>
      </c>
      <c r="D509" s="770"/>
      <c r="E509" s="770"/>
      <c r="F509" s="771"/>
      <c r="G509" s="470"/>
      <c r="H509" s="470"/>
      <c r="I509" s="470"/>
      <c r="J509" s="470"/>
      <c r="K509" s="470"/>
      <c r="L509" s="470"/>
      <c r="M509" s="470"/>
      <c r="N509" s="470"/>
      <c r="O509" s="457"/>
      <c r="P509" s="767">
        <f>MAX($P$5:P508)+1</f>
        <v>92</v>
      </c>
      <c r="Q509" s="80" t="s">
        <v>3243</v>
      </c>
    </row>
    <row r="510" spans="2:17" ht="15.2" customHeight="1">
      <c r="B510" s="766" t="s">
        <v>4022</v>
      </c>
      <c r="C510" s="766"/>
      <c r="D510" s="84" t="s">
        <v>3645</v>
      </c>
      <c r="E510" s="87">
        <v>1</v>
      </c>
      <c r="F510" s="86" t="s">
        <v>1168</v>
      </c>
      <c r="G510" s="470">
        <f>'작업과정 및 Q산출'!$G$309</f>
        <v>569</v>
      </c>
      <c r="H510" s="470">
        <f>TRUNC(E510*G510,0)</f>
        <v>569</v>
      </c>
      <c r="I510" s="470">
        <f>'작업과정 및 Q산출'!$G$306</f>
        <v>964</v>
      </c>
      <c r="J510" s="470">
        <f>TRUNC(I510*E510,0)</f>
        <v>964</v>
      </c>
      <c r="K510" s="470">
        <f>'작업과정 및 Q산출'!$G$303</f>
        <v>767</v>
      </c>
      <c r="L510" s="470">
        <f>TRUNC(K510*E510,0)</f>
        <v>767</v>
      </c>
      <c r="M510" s="470">
        <f>G510+I510+K510</f>
        <v>2300</v>
      </c>
      <c r="N510" s="470">
        <f>H510+J510+L510</f>
        <v>2300</v>
      </c>
      <c r="O510" s="461">
        <f>'작업과정 및 Q산출'!A286</f>
        <v>9</v>
      </c>
      <c r="P510" s="767"/>
    </row>
    <row r="511" spans="2:17" ht="15.2" customHeight="1">
      <c r="B511" s="766" t="s">
        <v>855</v>
      </c>
      <c r="C511" s="766"/>
      <c r="D511" s="84"/>
      <c r="E511" s="87"/>
      <c r="F511" s="86"/>
      <c r="G511" s="470"/>
      <c r="H511" s="470">
        <f>SUM(H510:H510)</f>
        <v>569</v>
      </c>
      <c r="I511" s="470"/>
      <c r="J511" s="470">
        <f>SUM(J510:J510)</f>
        <v>964</v>
      </c>
      <c r="K511" s="470"/>
      <c r="L511" s="470">
        <f>SUM(L510:L510)</f>
        <v>767</v>
      </c>
      <c r="M511" s="470"/>
      <c r="N511" s="470">
        <f>SUM(N510:N510)</f>
        <v>2300</v>
      </c>
      <c r="O511" s="457"/>
      <c r="P511" s="767"/>
      <c r="Q511" s="80" t="s">
        <v>3244</v>
      </c>
    </row>
    <row r="512" spans="2:17" ht="15.2" customHeight="1">
      <c r="B512" s="83">
        <f>P512</f>
        <v>93</v>
      </c>
      <c r="C512" s="770" t="s">
        <v>168</v>
      </c>
      <c r="D512" s="770"/>
      <c r="E512" s="770"/>
      <c r="F512" s="771"/>
      <c r="G512" s="470"/>
      <c r="H512" s="470"/>
      <c r="I512" s="470"/>
      <c r="J512" s="470"/>
      <c r="K512" s="470"/>
      <c r="L512" s="470"/>
      <c r="M512" s="470"/>
      <c r="N512" s="470"/>
      <c r="O512" s="457"/>
      <c r="P512" s="767">
        <f>MAX($P$5:P511)+1</f>
        <v>93</v>
      </c>
      <c r="Q512" s="80" t="s">
        <v>3243</v>
      </c>
    </row>
    <row r="513" spans="2:17" ht="15.2" customHeight="1">
      <c r="B513" s="766" t="s">
        <v>1162</v>
      </c>
      <c r="C513" s="766"/>
      <c r="D513" s="84"/>
      <c r="E513" s="87">
        <v>0.16</v>
      </c>
      <c r="F513" s="86" t="s">
        <v>1163</v>
      </c>
      <c r="G513" s="470"/>
      <c r="H513" s="470">
        <f>TRUNC(E513*G513,0)</f>
        <v>0</v>
      </c>
      <c r="I513" s="470">
        <f>SUMIF('노임(2015)'!$B$4:$B$87,B513,'노임(2015)'!$C$4:$C$87)+SUMIF('노임(2015)'!$E$4:$E$87,B513,'노임(2015)'!$F$4:$F$87)</f>
        <v>89566</v>
      </c>
      <c r="J513" s="470">
        <f>TRUNC(I513*E513,0)</f>
        <v>14330</v>
      </c>
      <c r="K513" s="470"/>
      <c r="L513" s="470">
        <f>TRUNC(K513*E513,0)</f>
        <v>0</v>
      </c>
      <c r="M513" s="470">
        <f>G513+I513+K513</f>
        <v>89566</v>
      </c>
      <c r="N513" s="470">
        <f>H513+J513+L513</f>
        <v>14330</v>
      </c>
      <c r="O513" s="457"/>
      <c r="P513" s="767"/>
    </row>
    <row r="514" spans="2:17" ht="15.2" customHeight="1">
      <c r="B514" s="766" t="s">
        <v>855</v>
      </c>
      <c r="C514" s="766"/>
      <c r="D514" s="84"/>
      <c r="E514" s="87"/>
      <c r="F514" s="86"/>
      <c r="G514" s="470"/>
      <c r="H514" s="470">
        <f>SUM(H513:H513)</f>
        <v>0</v>
      </c>
      <c r="I514" s="470"/>
      <c r="J514" s="470">
        <f>SUM(J513:J513)</f>
        <v>14330</v>
      </c>
      <c r="K514" s="470"/>
      <c r="L514" s="470">
        <f>SUM(L513:L513)</f>
        <v>0</v>
      </c>
      <c r="M514" s="470"/>
      <c r="N514" s="470">
        <f>SUM(N513:N513)</f>
        <v>14330</v>
      </c>
      <c r="O514" s="457"/>
      <c r="P514" s="767"/>
      <c r="Q514" s="80" t="s">
        <v>3244</v>
      </c>
    </row>
    <row r="515" spans="2:17" ht="15.2" customHeight="1">
      <c r="B515" s="83">
        <f>P515</f>
        <v>94</v>
      </c>
      <c r="C515" s="770" t="s">
        <v>169</v>
      </c>
      <c r="D515" s="770"/>
      <c r="E515" s="770"/>
      <c r="F515" s="771"/>
      <c r="G515" s="470"/>
      <c r="H515" s="470"/>
      <c r="I515" s="470"/>
      <c r="J515" s="470"/>
      <c r="K515" s="470"/>
      <c r="L515" s="470"/>
      <c r="M515" s="470"/>
      <c r="N515" s="470"/>
      <c r="O515" s="457"/>
      <c r="P515" s="767">
        <f>MAX($P$5:P514)+1</f>
        <v>94</v>
      </c>
      <c r="Q515" s="80" t="s">
        <v>3243</v>
      </c>
    </row>
    <row r="516" spans="2:17" ht="15.2" customHeight="1">
      <c r="B516" s="766" t="s">
        <v>1162</v>
      </c>
      <c r="C516" s="766"/>
      <c r="D516" s="84"/>
      <c r="E516" s="87">
        <v>0.22</v>
      </c>
      <c r="F516" s="86" t="s">
        <v>1163</v>
      </c>
      <c r="G516" s="470"/>
      <c r="H516" s="470">
        <f>TRUNC(E516*G516,0)</f>
        <v>0</v>
      </c>
      <c r="I516" s="470">
        <f>SUMIF('노임(2015)'!$B$4:$B$87,B516,'노임(2015)'!$C$4:$C$87)+SUMIF('노임(2015)'!$E$4:$E$87,B516,'노임(2015)'!$F$4:$F$87)</f>
        <v>89566</v>
      </c>
      <c r="J516" s="470">
        <f>TRUNC(I516*E516,0)</f>
        <v>19704</v>
      </c>
      <c r="K516" s="470"/>
      <c r="L516" s="470">
        <f>TRUNC(K516*E516,0)</f>
        <v>0</v>
      </c>
      <c r="M516" s="470">
        <f>G516+I516+K516</f>
        <v>89566</v>
      </c>
      <c r="N516" s="470">
        <f>H516+J516+L516</f>
        <v>19704</v>
      </c>
      <c r="O516" s="457"/>
      <c r="P516" s="767"/>
    </row>
    <row r="517" spans="2:17" ht="15.2" customHeight="1">
      <c r="B517" s="766" t="s">
        <v>855</v>
      </c>
      <c r="C517" s="766"/>
      <c r="D517" s="84"/>
      <c r="E517" s="87"/>
      <c r="F517" s="86"/>
      <c r="G517" s="470"/>
      <c r="H517" s="470">
        <f>SUM(H516:H516)</f>
        <v>0</v>
      </c>
      <c r="I517" s="470"/>
      <c r="J517" s="470">
        <f>SUM(J516:J516)</f>
        <v>19704</v>
      </c>
      <c r="K517" s="470"/>
      <c r="L517" s="470">
        <f>SUM(L516:L516)</f>
        <v>0</v>
      </c>
      <c r="M517" s="470"/>
      <c r="N517" s="470">
        <f>SUM(N516:N516)</f>
        <v>19704</v>
      </c>
      <c r="O517" s="457"/>
      <c r="P517" s="767"/>
      <c r="Q517" s="80" t="s">
        <v>3244</v>
      </c>
    </row>
    <row r="518" spans="2:17" ht="15.2" customHeight="1">
      <c r="B518" s="83">
        <f>P518</f>
        <v>95</v>
      </c>
      <c r="C518" s="770" t="s">
        <v>170</v>
      </c>
      <c r="D518" s="770"/>
      <c r="E518" s="770"/>
      <c r="F518" s="771"/>
      <c r="G518" s="470"/>
      <c r="H518" s="470"/>
      <c r="I518" s="470"/>
      <c r="J518" s="470"/>
      <c r="K518" s="470"/>
      <c r="L518" s="470"/>
      <c r="M518" s="470"/>
      <c r="N518" s="470"/>
      <c r="O518" s="457"/>
      <c r="P518" s="767">
        <f>MAX($P$5:P517)+1</f>
        <v>95</v>
      </c>
      <c r="Q518" s="80" t="s">
        <v>3243</v>
      </c>
    </row>
    <row r="519" spans="2:17" ht="15.2" customHeight="1">
      <c r="B519" s="766" t="s">
        <v>4023</v>
      </c>
      <c r="C519" s="766"/>
      <c r="D519" s="84" t="s">
        <v>1101</v>
      </c>
      <c r="E519" s="87">
        <v>1</v>
      </c>
      <c r="F519" s="86" t="s">
        <v>1168</v>
      </c>
      <c r="G519" s="470">
        <f>'작업과정 및 Q산출'!$G$449</f>
        <v>360</v>
      </c>
      <c r="H519" s="470">
        <f>TRUNC(E519*G519,0)</f>
        <v>360</v>
      </c>
      <c r="I519" s="470">
        <f>'작업과정 및 Q산출'!$G$446</f>
        <v>1451</v>
      </c>
      <c r="J519" s="470">
        <f>TRUNC(I519*E519,0)</f>
        <v>1451</v>
      </c>
      <c r="K519" s="470">
        <f>'작업과정 및 Q산출'!$G$443</f>
        <v>601</v>
      </c>
      <c r="L519" s="470">
        <f>TRUNC(K519*E519,0)</f>
        <v>601</v>
      </c>
      <c r="M519" s="470">
        <f>G519+I519+K519</f>
        <v>2412</v>
      </c>
      <c r="N519" s="470">
        <f>H519+J519+L519</f>
        <v>2412</v>
      </c>
      <c r="O519" s="461">
        <f>'작업과정 및 Q산출'!A426</f>
        <v>13</v>
      </c>
      <c r="P519" s="767"/>
    </row>
    <row r="520" spans="2:17" ht="15.2" customHeight="1">
      <c r="B520" s="766" t="s">
        <v>855</v>
      </c>
      <c r="C520" s="766"/>
      <c r="D520" s="84"/>
      <c r="E520" s="87"/>
      <c r="F520" s="86"/>
      <c r="G520" s="470"/>
      <c r="H520" s="470">
        <f>SUM(H519:H519)</f>
        <v>360</v>
      </c>
      <c r="I520" s="470"/>
      <c r="J520" s="470">
        <f>SUM(J519:J519)</f>
        <v>1451</v>
      </c>
      <c r="K520" s="470"/>
      <c r="L520" s="470">
        <f>SUM(L519:L519)</f>
        <v>601</v>
      </c>
      <c r="M520" s="470"/>
      <c r="N520" s="470">
        <f>SUM(N519:N519)</f>
        <v>2412</v>
      </c>
      <c r="O520" s="457"/>
      <c r="P520" s="767"/>
      <c r="Q520" s="80" t="s">
        <v>3244</v>
      </c>
    </row>
    <row r="521" spans="2:17" ht="15.2" customHeight="1">
      <c r="B521" s="83">
        <f>P521</f>
        <v>96</v>
      </c>
      <c r="C521" s="770" t="s">
        <v>171</v>
      </c>
      <c r="D521" s="770"/>
      <c r="E521" s="770"/>
      <c r="F521" s="771"/>
      <c r="G521" s="470"/>
      <c r="H521" s="470"/>
      <c r="I521" s="470"/>
      <c r="J521" s="470"/>
      <c r="K521" s="470"/>
      <c r="L521" s="470"/>
      <c r="M521" s="470"/>
      <c r="N521" s="470"/>
      <c r="O521" s="457"/>
      <c r="P521" s="767">
        <f>MAX($P$5:P520)+1</f>
        <v>96</v>
      </c>
      <c r="Q521" s="80" t="s">
        <v>3243</v>
      </c>
    </row>
    <row r="522" spans="2:17" ht="15.2" customHeight="1">
      <c r="B522" s="766" t="s">
        <v>4023</v>
      </c>
      <c r="C522" s="766"/>
      <c r="D522" s="84" t="s">
        <v>448</v>
      </c>
      <c r="E522" s="87">
        <v>1</v>
      </c>
      <c r="F522" s="86" t="s">
        <v>1168</v>
      </c>
      <c r="G522" s="470">
        <f>'작업과정 및 Q산출'!$G$484</f>
        <v>359</v>
      </c>
      <c r="H522" s="470">
        <f>TRUNC(E522*G522,0)</f>
        <v>359</v>
      </c>
      <c r="I522" s="470">
        <f>'작업과정 및 Q산출'!$G$481</f>
        <v>725</v>
      </c>
      <c r="J522" s="470">
        <f>TRUNC(I522*E522,0)</f>
        <v>725</v>
      </c>
      <c r="K522" s="470">
        <f>'작업과정 및 Q산출'!$G$478</f>
        <v>334</v>
      </c>
      <c r="L522" s="470">
        <f>TRUNC(K522*E522,0)</f>
        <v>334</v>
      </c>
      <c r="M522" s="470">
        <f>G522+I522+K522</f>
        <v>1418</v>
      </c>
      <c r="N522" s="470">
        <f>H522+J522+L522</f>
        <v>1418</v>
      </c>
      <c r="O522" s="461">
        <f>'작업과정 및 Q산출'!A461</f>
        <v>14</v>
      </c>
      <c r="P522" s="767"/>
    </row>
    <row r="523" spans="2:17" ht="15.2" customHeight="1">
      <c r="B523" s="766" t="s">
        <v>855</v>
      </c>
      <c r="C523" s="766"/>
      <c r="D523" s="84"/>
      <c r="E523" s="87"/>
      <c r="F523" s="86"/>
      <c r="G523" s="470"/>
      <c r="H523" s="470">
        <f>SUM(H522:H522)</f>
        <v>359</v>
      </c>
      <c r="I523" s="470"/>
      <c r="J523" s="470">
        <f>SUM(J522:J522)</f>
        <v>725</v>
      </c>
      <c r="K523" s="470"/>
      <c r="L523" s="470">
        <f>SUM(L522:L522)</f>
        <v>334</v>
      </c>
      <c r="M523" s="470"/>
      <c r="N523" s="470">
        <f>SUM(N522:N522)</f>
        <v>1418</v>
      </c>
      <c r="O523" s="457"/>
      <c r="P523" s="767"/>
      <c r="Q523" s="80" t="s">
        <v>3244</v>
      </c>
    </row>
    <row r="524" spans="2:17" ht="15.2" customHeight="1">
      <c r="B524" s="83">
        <f>P524</f>
        <v>97</v>
      </c>
      <c r="C524" s="770" t="s">
        <v>4075</v>
      </c>
      <c r="D524" s="770"/>
      <c r="E524" s="770"/>
      <c r="F524" s="771"/>
      <c r="G524" s="470"/>
      <c r="H524" s="470"/>
      <c r="I524" s="470"/>
      <c r="J524" s="470"/>
      <c r="K524" s="470"/>
      <c r="L524" s="470"/>
      <c r="M524" s="470"/>
      <c r="N524" s="470"/>
      <c r="O524" s="457"/>
      <c r="P524" s="767">
        <f>MAX($P$5:P523)+1</f>
        <v>97</v>
      </c>
      <c r="Q524" s="80" t="s">
        <v>3243</v>
      </c>
    </row>
    <row r="525" spans="2:17" ht="15.2" customHeight="1">
      <c r="B525" s="766" t="s">
        <v>4023</v>
      </c>
      <c r="C525" s="766"/>
      <c r="D525" s="84" t="s">
        <v>3645</v>
      </c>
      <c r="E525" s="87">
        <v>1</v>
      </c>
      <c r="F525" s="86" t="s">
        <v>1168</v>
      </c>
      <c r="G525" s="470">
        <f>'작업과정 및 Q산출'!$G$519</f>
        <v>271</v>
      </c>
      <c r="H525" s="470">
        <f>TRUNC(E525*G525,0)</f>
        <v>271</v>
      </c>
      <c r="I525" s="470">
        <f>'작업과정 및 Q산출'!$G$516</f>
        <v>460</v>
      </c>
      <c r="J525" s="470">
        <f>TRUNC(I525*E525,0)</f>
        <v>460</v>
      </c>
      <c r="K525" s="470">
        <f>'작업과정 및 Q산출'!$G$513</f>
        <v>366</v>
      </c>
      <c r="L525" s="470">
        <f>TRUNC(K525*E525,0)</f>
        <v>366</v>
      </c>
      <c r="M525" s="470">
        <f>G525+I525+K525</f>
        <v>1097</v>
      </c>
      <c r="N525" s="470">
        <f>H525+J525+L525</f>
        <v>1097</v>
      </c>
      <c r="O525" s="461">
        <f>'작업과정 및 Q산출'!A496</f>
        <v>15</v>
      </c>
      <c r="P525" s="767"/>
    </row>
    <row r="526" spans="2:17" ht="15.2" customHeight="1">
      <c r="B526" s="766" t="s">
        <v>855</v>
      </c>
      <c r="C526" s="766"/>
      <c r="D526" s="84"/>
      <c r="E526" s="87"/>
      <c r="F526" s="86"/>
      <c r="G526" s="470"/>
      <c r="H526" s="470">
        <f>SUM(H525:H525)</f>
        <v>271</v>
      </c>
      <c r="I526" s="470"/>
      <c r="J526" s="470">
        <f>SUM(J525:J525)</f>
        <v>460</v>
      </c>
      <c r="K526" s="470"/>
      <c r="L526" s="470">
        <f>SUM(L525:L525)</f>
        <v>366</v>
      </c>
      <c r="M526" s="470"/>
      <c r="N526" s="470">
        <f>SUM(N525:N525)</f>
        <v>1097</v>
      </c>
      <c r="O526" s="457"/>
      <c r="P526" s="767"/>
      <c r="Q526" s="80" t="s">
        <v>3244</v>
      </c>
    </row>
    <row r="527" spans="2:17" ht="15.2" customHeight="1">
      <c r="B527" s="83">
        <f>P527</f>
        <v>98</v>
      </c>
      <c r="C527" s="770" t="s">
        <v>172</v>
      </c>
      <c r="D527" s="770"/>
      <c r="E527" s="770"/>
      <c r="F527" s="771"/>
      <c r="G527" s="470"/>
      <c r="H527" s="470"/>
      <c r="I527" s="470"/>
      <c r="J527" s="470"/>
      <c r="K527" s="470"/>
      <c r="L527" s="470"/>
      <c r="M527" s="470"/>
      <c r="N527" s="470"/>
      <c r="O527" s="457"/>
      <c r="P527" s="767">
        <f>MAX($P$5:P526)+1</f>
        <v>98</v>
      </c>
      <c r="Q527" s="80" t="s">
        <v>3243</v>
      </c>
    </row>
    <row r="528" spans="2:17" ht="15.2" customHeight="1">
      <c r="B528" s="766" t="s">
        <v>89</v>
      </c>
      <c r="C528" s="766"/>
      <c r="D528" s="84" t="s">
        <v>448</v>
      </c>
      <c r="E528" s="87">
        <v>1</v>
      </c>
      <c r="F528" s="86" t="s">
        <v>1168</v>
      </c>
      <c r="G528" s="470">
        <f>'작업과정 및 Q산출'!$G$554</f>
        <v>752</v>
      </c>
      <c r="H528" s="470">
        <f>TRUNC(E528*G528,0)</f>
        <v>752</v>
      </c>
      <c r="I528" s="470">
        <f>'작업과정 및 Q산출'!$G$551</f>
        <v>1518</v>
      </c>
      <c r="J528" s="470">
        <f>TRUNC(I528*E528,0)</f>
        <v>1518</v>
      </c>
      <c r="K528" s="470">
        <f>'작업과정 및 Q산출'!$G$548</f>
        <v>699</v>
      </c>
      <c r="L528" s="470">
        <f>TRUNC(K528*E528,0)</f>
        <v>699</v>
      </c>
      <c r="M528" s="470">
        <f>G528+I528+K528</f>
        <v>2969</v>
      </c>
      <c r="N528" s="470">
        <f>H528+J528+L528</f>
        <v>2969</v>
      </c>
      <c r="O528" s="461">
        <f>'작업과정 및 Q산출'!A531</f>
        <v>16</v>
      </c>
      <c r="P528" s="767"/>
    </row>
    <row r="529" spans="2:17" ht="15.2" customHeight="1">
      <c r="B529" s="766" t="s">
        <v>855</v>
      </c>
      <c r="C529" s="766"/>
      <c r="D529" s="84"/>
      <c r="E529" s="87"/>
      <c r="F529" s="86"/>
      <c r="G529" s="470"/>
      <c r="H529" s="470">
        <f>SUM(H528:H528)</f>
        <v>752</v>
      </c>
      <c r="I529" s="470"/>
      <c r="J529" s="470">
        <f>SUM(J528:J528)</f>
        <v>1518</v>
      </c>
      <c r="K529" s="470"/>
      <c r="L529" s="470">
        <f>SUM(L528:L528)</f>
        <v>699</v>
      </c>
      <c r="M529" s="470"/>
      <c r="N529" s="470">
        <f>SUM(N528:N528)</f>
        <v>2969</v>
      </c>
      <c r="O529" s="457"/>
      <c r="P529" s="767"/>
      <c r="Q529" s="80" t="s">
        <v>3244</v>
      </c>
    </row>
    <row r="530" spans="2:17" ht="15.2" customHeight="1">
      <c r="B530" s="83">
        <f>P530</f>
        <v>99</v>
      </c>
      <c r="C530" s="770" t="s">
        <v>4076</v>
      </c>
      <c r="D530" s="770"/>
      <c r="E530" s="770"/>
      <c r="F530" s="771"/>
      <c r="G530" s="470"/>
      <c r="H530" s="470"/>
      <c r="I530" s="470"/>
      <c r="J530" s="470"/>
      <c r="K530" s="470"/>
      <c r="L530" s="470"/>
      <c r="M530" s="470"/>
      <c r="N530" s="470"/>
      <c r="O530" s="457"/>
      <c r="P530" s="767">
        <f>MAX($P$5:P529)+1</f>
        <v>99</v>
      </c>
      <c r="Q530" s="80" t="s">
        <v>3243</v>
      </c>
    </row>
    <row r="531" spans="2:17" ht="15.2" customHeight="1">
      <c r="B531" s="766" t="s">
        <v>3645</v>
      </c>
      <c r="C531" s="766"/>
      <c r="D531" s="648" t="s">
        <v>841</v>
      </c>
      <c r="E531" s="87">
        <v>1</v>
      </c>
      <c r="F531" s="86" t="s">
        <v>1168</v>
      </c>
      <c r="G531" s="470">
        <f>'작업과정 및 Q산출'!$G$589</f>
        <v>569</v>
      </c>
      <c r="H531" s="470">
        <f>TRUNC(E531*G531,0)</f>
        <v>569</v>
      </c>
      <c r="I531" s="470">
        <f>'작업과정 및 Q산출'!$G$586</f>
        <v>964</v>
      </c>
      <c r="J531" s="470">
        <f>TRUNC(I531*E531,0)</f>
        <v>964</v>
      </c>
      <c r="K531" s="470">
        <f>'작업과정 및 Q산출'!$G$583</f>
        <v>767</v>
      </c>
      <c r="L531" s="470">
        <f>TRUNC(K531*E531,0)</f>
        <v>767</v>
      </c>
      <c r="M531" s="470">
        <f>G531+I531+K531</f>
        <v>2300</v>
      </c>
      <c r="N531" s="470">
        <f>H531+J531+L531</f>
        <v>2300</v>
      </c>
      <c r="O531" s="461">
        <f>'작업과정 및 Q산출'!A566</f>
        <v>17</v>
      </c>
      <c r="P531" s="767"/>
    </row>
    <row r="532" spans="2:17" ht="15.2" customHeight="1">
      <c r="B532" s="766" t="s">
        <v>855</v>
      </c>
      <c r="C532" s="766"/>
      <c r="D532" s="84"/>
      <c r="E532" s="87"/>
      <c r="F532" s="86"/>
      <c r="G532" s="470"/>
      <c r="H532" s="470">
        <f>SUM(H531:H531)</f>
        <v>569</v>
      </c>
      <c r="I532" s="470"/>
      <c r="J532" s="470">
        <f>SUM(J531:J531)</f>
        <v>964</v>
      </c>
      <c r="K532" s="470"/>
      <c r="L532" s="470">
        <f>SUM(L531:L531)</f>
        <v>767</v>
      </c>
      <c r="M532" s="470"/>
      <c r="N532" s="470">
        <f>SUM(N531:N531)</f>
        <v>2300</v>
      </c>
      <c r="O532" s="457"/>
      <c r="P532" s="767"/>
      <c r="Q532" s="80" t="s">
        <v>3244</v>
      </c>
    </row>
    <row r="533" spans="2:17" ht="15.2" customHeight="1">
      <c r="B533" s="83">
        <f>P533</f>
        <v>100</v>
      </c>
      <c r="C533" s="770" t="s">
        <v>173</v>
      </c>
      <c r="D533" s="770"/>
      <c r="E533" s="770"/>
      <c r="F533" s="771"/>
      <c r="G533" s="470"/>
      <c r="H533" s="470"/>
      <c r="I533" s="470"/>
      <c r="J533" s="470"/>
      <c r="K533" s="470"/>
      <c r="L533" s="470"/>
      <c r="M533" s="470"/>
      <c r="N533" s="470"/>
      <c r="O533" s="457"/>
      <c r="P533" s="767">
        <f>MAX($P$5:P532)+1</f>
        <v>100</v>
      </c>
      <c r="Q533" s="80" t="s">
        <v>3243</v>
      </c>
    </row>
    <row r="534" spans="2:17" ht="15.2" customHeight="1">
      <c r="B534" s="766" t="s">
        <v>1029</v>
      </c>
      <c r="C534" s="766"/>
      <c r="D534" s="84"/>
      <c r="E534" s="87">
        <v>0.56999999999999995</v>
      </c>
      <c r="F534" s="86" t="s">
        <v>1163</v>
      </c>
      <c r="G534" s="470"/>
      <c r="H534" s="470">
        <f>TRUNC(E534*G534,0)</f>
        <v>0</v>
      </c>
      <c r="I534" s="470">
        <f>SUMIF('노임(2015)'!$B$4:$B$87,B534,'노임(2015)'!$C$4:$C$87)+SUMIF('노임(2015)'!$E$4:$E$87,B534,'노임(2015)'!$F$4:$F$87)</f>
        <v>106060</v>
      </c>
      <c r="J534" s="470">
        <f>TRUNC(I534*E534,0)</f>
        <v>60454</v>
      </c>
      <c r="K534" s="470"/>
      <c r="L534" s="470">
        <f>TRUNC(K534*E534,0)</f>
        <v>0</v>
      </c>
      <c r="M534" s="470">
        <f t="shared" ref="M534:N538" si="126">G534+I534+K534</f>
        <v>106060</v>
      </c>
      <c r="N534" s="470">
        <f t="shared" si="126"/>
        <v>60454</v>
      </c>
      <c r="O534" s="457"/>
      <c r="P534" s="767"/>
    </row>
    <row r="535" spans="2:17" ht="15.2" customHeight="1">
      <c r="B535" s="766" t="s">
        <v>1162</v>
      </c>
      <c r="C535" s="766"/>
      <c r="D535" s="84"/>
      <c r="E535" s="87">
        <v>0.37</v>
      </c>
      <c r="F535" s="86" t="s">
        <v>1163</v>
      </c>
      <c r="G535" s="470"/>
      <c r="H535" s="470">
        <f>TRUNC(E535*G535,0)</f>
        <v>0</v>
      </c>
      <c r="I535" s="470">
        <f>SUMIF('노임(2015)'!$B$4:$B$87,B535,'노임(2015)'!$C$4:$C$87)+SUMIF('노임(2015)'!$E$4:$E$87,B535,'노임(2015)'!$F$4:$F$87)</f>
        <v>89566</v>
      </c>
      <c r="J535" s="470">
        <f>TRUNC(I535*E535,0)</f>
        <v>33139</v>
      </c>
      <c r="K535" s="470"/>
      <c r="L535" s="470">
        <f>TRUNC(K535*E535,0)</f>
        <v>0</v>
      </c>
      <c r="M535" s="470">
        <f t="shared" si="126"/>
        <v>89566</v>
      </c>
      <c r="N535" s="470">
        <f t="shared" si="126"/>
        <v>33139</v>
      </c>
      <c r="O535" s="457"/>
      <c r="P535" s="767"/>
    </row>
    <row r="536" spans="2:17" ht="15.2" customHeight="1">
      <c r="B536" s="766" t="s">
        <v>1030</v>
      </c>
      <c r="C536" s="766"/>
      <c r="D536" s="84" t="s">
        <v>174</v>
      </c>
      <c r="E536" s="87">
        <v>1</v>
      </c>
      <c r="F536" s="86" t="s">
        <v>453</v>
      </c>
      <c r="G536" s="470">
        <f>중기사용료!$M$1423</f>
        <v>0</v>
      </c>
      <c r="H536" s="470">
        <f>TRUNC(E536*G536,0)</f>
        <v>0</v>
      </c>
      <c r="I536" s="470">
        <f>중기사용료!$M$1417</f>
        <v>0</v>
      </c>
      <c r="J536" s="470">
        <f>TRUNC(I536*E536,0)</f>
        <v>0</v>
      </c>
      <c r="K536" s="470">
        <f>중기사용료!$M$1411</f>
        <v>412</v>
      </c>
      <c r="L536" s="470">
        <f>TRUNC(K536*E536,0)</f>
        <v>412</v>
      </c>
      <c r="M536" s="470">
        <f t="shared" si="126"/>
        <v>412</v>
      </c>
      <c r="N536" s="470">
        <f t="shared" si="126"/>
        <v>412</v>
      </c>
      <c r="O536" s="460">
        <f>중기사용료!$A$1408</f>
        <v>75</v>
      </c>
      <c r="P536" s="767"/>
    </row>
    <row r="537" spans="2:17" ht="15.2" customHeight="1">
      <c r="B537" s="766" t="s">
        <v>1571</v>
      </c>
      <c r="C537" s="766"/>
      <c r="D537" s="84" t="s">
        <v>2460</v>
      </c>
      <c r="E537" s="87">
        <v>0.5</v>
      </c>
      <c r="F537" s="86" t="s">
        <v>453</v>
      </c>
      <c r="G537" s="470">
        <f>중기사용료!$M$1366</f>
        <v>8018</v>
      </c>
      <c r="H537" s="470">
        <f>TRUNC(E537*G537,0)</f>
        <v>4009</v>
      </c>
      <c r="I537" s="470">
        <f>중기사용료!$M$1360</f>
        <v>27168</v>
      </c>
      <c r="J537" s="470">
        <f>TRUNC(I537*E537,0)</f>
        <v>13584</v>
      </c>
      <c r="K537" s="470">
        <f>중기사용료!$M$1354</f>
        <v>2066</v>
      </c>
      <c r="L537" s="470">
        <f>TRUNC(K537*E537,0)</f>
        <v>1033</v>
      </c>
      <c r="M537" s="470">
        <f t="shared" si="126"/>
        <v>37252</v>
      </c>
      <c r="N537" s="470">
        <f t="shared" si="126"/>
        <v>18626</v>
      </c>
      <c r="O537" s="460">
        <f>중기사용료!$A$1351</f>
        <v>72</v>
      </c>
      <c r="P537" s="767"/>
    </row>
    <row r="538" spans="2:17" ht="15.2" customHeight="1">
      <c r="B538" s="766" t="s">
        <v>1166</v>
      </c>
      <c r="C538" s="766"/>
      <c r="D538" s="84" t="s">
        <v>1572</v>
      </c>
      <c r="E538" s="87">
        <v>0.01</v>
      </c>
      <c r="F538" s="86" t="s">
        <v>933</v>
      </c>
      <c r="G538" s="470">
        <f>TRUNC(E534*I534+E535*I535)</f>
        <v>93593</v>
      </c>
      <c r="H538" s="470">
        <f>TRUNC(E538*G538,0)</f>
        <v>935</v>
      </c>
      <c r="I538" s="470"/>
      <c r="J538" s="470">
        <f>TRUNC(I538*E538,0)</f>
        <v>0</v>
      </c>
      <c r="K538" s="470"/>
      <c r="L538" s="470">
        <f>TRUNC(K538*E538,0)</f>
        <v>0</v>
      </c>
      <c r="M538" s="470">
        <f t="shared" si="126"/>
        <v>93593</v>
      </c>
      <c r="N538" s="470">
        <f t="shared" si="126"/>
        <v>935</v>
      </c>
      <c r="O538" s="457"/>
      <c r="P538" s="767"/>
    </row>
    <row r="539" spans="2:17" ht="15.2" customHeight="1">
      <c r="B539" s="766" t="s">
        <v>855</v>
      </c>
      <c r="C539" s="766"/>
      <c r="D539" s="84"/>
      <c r="E539" s="87"/>
      <c r="F539" s="86"/>
      <c r="G539" s="470"/>
      <c r="H539" s="470">
        <f>SUM(H534:H538)</f>
        <v>4944</v>
      </c>
      <c r="I539" s="470"/>
      <c r="J539" s="470">
        <f>SUM(J534:J538)</f>
        <v>107177</v>
      </c>
      <c r="K539" s="470"/>
      <c r="L539" s="470">
        <f>SUM(L534:L538)</f>
        <v>1445</v>
      </c>
      <c r="M539" s="470"/>
      <c r="N539" s="470">
        <f>SUM(N534:N538)</f>
        <v>113566</v>
      </c>
      <c r="O539" s="457"/>
      <c r="P539" s="767"/>
      <c r="Q539" s="80" t="s">
        <v>3244</v>
      </c>
    </row>
    <row r="540" spans="2:17" ht="15.2" customHeight="1">
      <c r="B540" s="83">
        <f>P540</f>
        <v>101</v>
      </c>
      <c r="C540" s="770" t="s">
        <v>863</v>
      </c>
      <c r="D540" s="770"/>
      <c r="E540" s="770"/>
      <c r="F540" s="771"/>
      <c r="G540" s="470"/>
      <c r="H540" s="470"/>
      <c r="I540" s="470"/>
      <c r="J540" s="470"/>
      <c r="K540" s="470"/>
      <c r="L540" s="470"/>
      <c r="M540" s="470"/>
      <c r="N540" s="470"/>
      <c r="O540" s="457"/>
      <c r="P540" s="767">
        <f>MAX($P$5:P539)+1</f>
        <v>101</v>
      </c>
      <c r="Q540" s="80" t="s">
        <v>3243</v>
      </c>
    </row>
    <row r="541" spans="2:17" ht="15.2" customHeight="1">
      <c r="B541" s="766" t="s">
        <v>89</v>
      </c>
      <c r="C541" s="766"/>
      <c r="D541" s="84" t="s">
        <v>448</v>
      </c>
      <c r="E541" s="87">
        <v>1</v>
      </c>
      <c r="F541" s="86" t="s">
        <v>1798</v>
      </c>
      <c r="G541" s="470">
        <f>'작업과정 및 Q산출'!$G$1149</f>
        <v>4080</v>
      </c>
      <c r="H541" s="470">
        <f>TRUNC(E541*G541,0)</f>
        <v>4080</v>
      </c>
      <c r="I541" s="470">
        <f>'작업과정 및 Q산출'!$G$1146</f>
        <v>8232</v>
      </c>
      <c r="J541" s="470">
        <f>TRUNC(I541*E541,0)</f>
        <v>8232</v>
      </c>
      <c r="K541" s="470">
        <f>'작업과정 및 Q산출'!$G$1143</f>
        <v>3792</v>
      </c>
      <c r="L541" s="470">
        <f>TRUNC(K541*E541,0)</f>
        <v>3792</v>
      </c>
      <c r="M541" s="470">
        <f t="shared" ref="M541:N544" si="127">G541+I541+K541</f>
        <v>16104</v>
      </c>
      <c r="N541" s="470">
        <f t="shared" si="127"/>
        <v>16104</v>
      </c>
      <c r="O541" s="461">
        <f>'작업과정 및 Q산출'!A1126</f>
        <v>20</v>
      </c>
      <c r="P541" s="767"/>
    </row>
    <row r="542" spans="2:17" ht="15.2" customHeight="1">
      <c r="B542" s="766" t="s">
        <v>1162</v>
      </c>
      <c r="C542" s="766"/>
      <c r="D542" s="84" t="s">
        <v>175</v>
      </c>
      <c r="E542" s="94">
        <v>3.7878000000000002E-2</v>
      </c>
      <c r="F542" s="86" t="s">
        <v>1163</v>
      </c>
      <c r="G542" s="470"/>
      <c r="H542" s="470">
        <f>TRUNC(E542*G542,0)</f>
        <v>0</v>
      </c>
      <c r="I542" s="470">
        <f>SUMIF('노임(2015)'!$B$4:$B$87,B542,'노임(2015)'!$C$4:$C$87)+SUMIF('노임(2015)'!$E$4:$E$87,B542,'노임(2015)'!$F$4:$F$87)</f>
        <v>89566</v>
      </c>
      <c r="J542" s="470">
        <f>TRUNC(I542*E542,0)</f>
        <v>3392</v>
      </c>
      <c r="K542" s="470"/>
      <c r="L542" s="470">
        <f>TRUNC(K542*E542,0)</f>
        <v>0</v>
      </c>
      <c r="M542" s="470">
        <f t="shared" si="127"/>
        <v>89566</v>
      </c>
      <c r="N542" s="470">
        <f t="shared" si="127"/>
        <v>3392</v>
      </c>
      <c r="O542" s="457"/>
      <c r="P542" s="767"/>
    </row>
    <row r="543" spans="2:17" ht="15.2" customHeight="1">
      <c r="B543" s="766" t="s">
        <v>1170</v>
      </c>
      <c r="C543" s="766"/>
      <c r="D543" s="84" t="s">
        <v>176</v>
      </c>
      <c r="E543" s="94">
        <v>2.4239999999999999E-3</v>
      </c>
      <c r="F543" s="86" t="s">
        <v>1800</v>
      </c>
      <c r="G543" s="470">
        <f>기계경비산출표!$E$36*1000</f>
        <v>63000</v>
      </c>
      <c r="H543" s="470">
        <f>TRUNC(E543*G543,0)</f>
        <v>152</v>
      </c>
      <c r="I543" s="470">
        <f>중기사용료!$M$1417</f>
        <v>0</v>
      </c>
      <c r="J543" s="470">
        <f>TRUNC(I543*E543,0)</f>
        <v>0</v>
      </c>
      <c r="K543" s="470"/>
      <c r="L543" s="470">
        <f>TRUNC(K543*E543,0)</f>
        <v>0</v>
      </c>
      <c r="M543" s="470">
        <f t="shared" si="127"/>
        <v>63000</v>
      </c>
      <c r="N543" s="470">
        <f t="shared" si="127"/>
        <v>152</v>
      </c>
      <c r="O543" s="457"/>
      <c r="P543" s="767"/>
    </row>
    <row r="544" spans="2:17" ht="15.2" customHeight="1">
      <c r="B544" s="766" t="s">
        <v>1169</v>
      </c>
      <c r="C544" s="766"/>
      <c r="D544" s="84" t="s">
        <v>2458</v>
      </c>
      <c r="E544" s="94">
        <v>0.30303000000000002</v>
      </c>
      <c r="F544" s="86" t="s">
        <v>453</v>
      </c>
      <c r="G544" s="470">
        <f>중기사용료!$M$321</f>
        <v>0</v>
      </c>
      <c r="H544" s="470">
        <f>TRUNC(E544*G544,0)</f>
        <v>0</v>
      </c>
      <c r="I544" s="470">
        <f>중기사용료!$M$315</f>
        <v>0</v>
      </c>
      <c r="J544" s="470">
        <f>TRUNC(I544*E544,0)</f>
        <v>0</v>
      </c>
      <c r="K544" s="470">
        <f>중기사용료!$M$309</f>
        <v>3952</v>
      </c>
      <c r="L544" s="470">
        <f>TRUNC(K544*E544,0)</f>
        <v>1197</v>
      </c>
      <c r="M544" s="470">
        <f t="shared" si="127"/>
        <v>3952</v>
      </c>
      <c r="N544" s="470">
        <f t="shared" si="127"/>
        <v>1197</v>
      </c>
      <c r="O544" s="460">
        <f>중기사용료!$A$306</f>
        <v>17</v>
      </c>
      <c r="P544" s="767"/>
    </row>
    <row r="545" spans="2:17" ht="15.2" customHeight="1">
      <c r="B545" s="766" t="s">
        <v>855</v>
      </c>
      <c r="C545" s="766"/>
      <c r="D545" s="84"/>
      <c r="E545" s="87"/>
      <c r="F545" s="86"/>
      <c r="G545" s="470"/>
      <c r="H545" s="470">
        <f>SUM(H541:H544)</f>
        <v>4232</v>
      </c>
      <c r="I545" s="470"/>
      <c r="J545" s="470">
        <f>SUM(J541:J544)</f>
        <v>11624</v>
      </c>
      <c r="K545" s="470"/>
      <c r="L545" s="470">
        <f>SUM(L541:L544)</f>
        <v>4989</v>
      </c>
      <c r="M545" s="470"/>
      <c r="N545" s="470">
        <f>SUM(N541:N544)</f>
        <v>20845</v>
      </c>
      <c r="O545" s="457"/>
      <c r="P545" s="767"/>
      <c r="Q545" s="80" t="s">
        <v>3244</v>
      </c>
    </row>
    <row r="546" spans="2:17" ht="15.2" customHeight="1">
      <c r="B546" s="83">
        <f>P546</f>
        <v>102</v>
      </c>
      <c r="C546" s="770" t="s">
        <v>864</v>
      </c>
      <c r="D546" s="770"/>
      <c r="E546" s="770"/>
      <c r="F546" s="771"/>
      <c r="G546" s="470"/>
      <c r="H546" s="470"/>
      <c r="I546" s="470"/>
      <c r="J546" s="470"/>
      <c r="K546" s="470"/>
      <c r="L546" s="470"/>
      <c r="M546" s="470"/>
      <c r="N546" s="470"/>
      <c r="O546" s="457"/>
      <c r="P546" s="767">
        <f>MAX($P$5:P545)+1</f>
        <v>102</v>
      </c>
      <c r="Q546" s="80" t="s">
        <v>3243</v>
      </c>
    </row>
    <row r="547" spans="2:17" ht="15.2" customHeight="1">
      <c r="B547" s="766" t="s">
        <v>89</v>
      </c>
      <c r="C547" s="766"/>
      <c r="D547" s="84" t="s">
        <v>448</v>
      </c>
      <c r="E547" s="87">
        <v>1</v>
      </c>
      <c r="F547" s="86" t="s">
        <v>1798</v>
      </c>
      <c r="G547" s="470">
        <f>'작업과정 및 Q산출'!$G$1184</f>
        <v>5178</v>
      </c>
      <c r="H547" s="470">
        <f>TRUNC(E547*G547,0)</f>
        <v>5178</v>
      </c>
      <c r="I547" s="470">
        <f>'작업과정 및 Q산출'!$G$1181</f>
        <v>10449</v>
      </c>
      <c r="J547" s="470">
        <f>TRUNC(I547*E547,0)</f>
        <v>10449</v>
      </c>
      <c r="K547" s="470">
        <f>'작업과정 및 Q산출'!$G$1178</f>
        <v>4813</v>
      </c>
      <c r="L547" s="470">
        <f>TRUNC(K547*E547,0)</f>
        <v>4813</v>
      </c>
      <c r="M547" s="470">
        <f t="shared" ref="M547:N550" si="128">G547+I547+K547</f>
        <v>20440</v>
      </c>
      <c r="N547" s="470">
        <f t="shared" si="128"/>
        <v>20440</v>
      </c>
      <c r="O547" s="461">
        <f>'작업과정 및 Q산출'!A1161</f>
        <v>21</v>
      </c>
      <c r="P547" s="767"/>
    </row>
    <row r="548" spans="2:17" ht="15.2" customHeight="1">
      <c r="B548" s="766" t="s">
        <v>1162</v>
      </c>
      <c r="C548" s="766"/>
      <c r="D548" s="84" t="s">
        <v>177</v>
      </c>
      <c r="E548" s="94">
        <v>4.8076000000000001E-2</v>
      </c>
      <c r="F548" s="86" t="s">
        <v>1163</v>
      </c>
      <c r="G548" s="470"/>
      <c r="H548" s="470">
        <f>TRUNC(E548*G548,0)</f>
        <v>0</v>
      </c>
      <c r="I548" s="470">
        <f>SUMIF('노임(2015)'!$B$4:$B$87,B548,'노임(2015)'!$C$4:$C$87)+SUMIF('노임(2015)'!$E$4:$E$87,B548,'노임(2015)'!$F$4:$F$87)</f>
        <v>89566</v>
      </c>
      <c r="J548" s="470">
        <f>TRUNC(I548*E548,0)</f>
        <v>4305</v>
      </c>
      <c r="K548" s="470"/>
      <c r="L548" s="470">
        <f>TRUNC(K548*E548,0)</f>
        <v>0</v>
      </c>
      <c r="M548" s="470">
        <f t="shared" si="128"/>
        <v>89566</v>
      </c>
      <c r="N548" s="470">
        <f t="shared" si="128"/>
        <v>4305</v>
      </c>
      <c r="O548" s="457"/>
      <c r="P548" s="767"/>
    </row>
    <row r="549" spans="2:17" ht="15.2" customHeight="1">
      <c r="B549" s="766" t="s">
        <v>1170</v>
      </c>
      <c r="C549" s="766"/>
      <c r="D549" s="84" t="s">
        <v>178</v>
      </c>
      <c r="E549" s="94">
        <v>3.0760000000000002E-3</v>
      </c>
      <c r="F549" s="86" t="s">
        <v>1800</v>
      </c>
      <c r="G549" s="470">
        <f>기계경비산출표!$E$36*1000</f>
        <v>63000</v>
      </c>
      <c r="H549" s="470">
        <f>TRUNC(E549*G549,0)</f>
        <v>193</v>
      </c>
      <c r="I549" s="470">
        <f>중기사용료!$M$1417</f>
        <v>0</v>
      </c>
      <c r="J549" s="470">
        <f>TRUNC(I549*E549,0)</f>
        <v>0</v>
      </c>
      <c r="K549" s="470"/>
      <c r="L549" s="470">
        <f>TRUNC(K549*E549,0)</f>
        <v>0</v>
      </c>
      <c r="M549" s="470">
        <f t="shared" si="128"/>
        <v>63000</v>
      </c>
      <c r="N549" s="470">
        <f t="shared" si="128"/>
        <v>193</v>
      </c>
      <c r="O549" s="457"/>
      <c r="P549" s="767"/>
    </row>
    <row r="550" spans="2:17" ht="15.2" customHeight="1">
      <c r="B550" s="766" t="s">
        <v>1169</v>
      </c>
      <c r="C550" s="766"/>
      <c r="D550" s="84" t="s">
        <v>2458</v>
      </c>
      <c r="E550" s="94">
        <v>0.38461499999999998</v>
      </c>
      <c r="F550" s="86" t="s">
        <v>453</v>
      </c>
      <c r="G550" s="470">
        <f>중기사용료!$M$321</f>
        <v>0</v>
      </c>
      <c r="H550" s="470">
        <f>TRUNC(E550*G550,0)</f>
        <v>0</v>
      </c>
      <c r="I550" s="470">
        <f>중기사용료!$M$315</f>
        <v>0</v>
      </c>
      <c r="J550" s="470">
        <f>TRUNC(I550*E550,0)</f>
        <v>0</v>
      </c>
      <c r="K550" s="470">
        <f>중기사용료!$M$309</f>
        <v>3952</v>
      </c>
      <c r="L550" s="470">
        <f>TRUNC(K550*E550,0)</f>
        <v>1519</v>
      </c>
      <c r="M550" s="470">
        <f t="shared" si="128"/>
        <v>3952</v>
      </c>
      <c r="N550" s="470">
        <f t="shared" si="128"/>
        <v>1519</v>
      </c>
      <c r="O550" s="460">
        <f>중기사용료!$A$306</f>
        <v>17</v>
      </c>
      <c r="P550" s="767"/>
    </row>
    <row r="551" spans="2:17" ht="15.2" customHeight="1">
      <c r="B551" s="766" t="s">
        <v>855</v>
      </c>
      <c r="C551" s="766"/>
      <c r="D551" s="84"/>
      <c r="E551" s="87"/>
      <c r="F551" s="86"/>
      <c r="G551" s="470"/>
      <c r="H551" s="470">
        <f>SUM(H547:H550)</f>
        <v>5371</v>
      </c>
      <c r="I551" s="470"/>
      <c r="J551" s="470">
        <f>SUM(J547:J550)</f>
        <v>14754</v>
      </c>
      <c r="K551" s="470"/>
      <c r="L551" s="470">
        <f>SUM(L547:L550)</f>
        <v>6332</v>
      </c>
      <c r="M551" s="470"/>
      <c r="N551" s="470">
        <f>SUM(N547:N550)</f>
        <v>26457</v>
      </c>
      <c r="O551" s="457"/>
      <c r="P551" s="767"/>
      <c r="Q551" s="80" t="s">
        <v>3244</v>
      </c>
    </row>
    <row r="552" spans="2:17" ht="15.2" customHeight="1">
      <c r="B552" s="83">
        <f>P552</f>
        <v>103</v>
      </c>
      <c r="C552" s="770" t="s">
        <v>4079</v>
      </c>
      <c r="D552" s="770"/>
      <c r="E552" s="770"/>
      <c r="F552" s="771"/>
      <c r="G552" s="470"/>
      <c r="H552" s="470"/>
      <c r="I552" s="470"/>
      <c r="J552" s="470"/>
      <c r="K552" s="470"/>
      <c r="L552" s="470"/>
      <c r="M552" s="470"/>
      <c r="N552" s="470"/>
      <c r="O552" s="457"/>
      <c r="P552" s="767">
        <f>MAX($P$5:P551)+1</f>
        <v>103</v>
      </c>
      <c r="Q552" s="80" t="s">
        <v>3243</v>
      </c>
    </row>
    <row r="553" spans="2:17" ht="15.2" customHeight="1">
      <c r="B553" s="766" t="s">
        <v>3645</v>
      </c>
      <c r="C553" s="766"/>
      <c r="D553" s="648" t="s">
        <v>841</v>
      </c>
      <c r="E553" s="87">
        <v>1</v>
      </c>
      <c r="F553" s="86" t="s">
        <v>1798</v>
      </c>
      <c r="G553" s="470">
        <f>'작업과정 및 Q산출'!$G$1219</f>
        <v>3486</v>
      </c>
      <c r="H553" s="470">
        <f>TRUNC(E553*G553,0)</f>
        <v>3486</v>
      </c>
      <c r="I553" s="470">
        <f>'작업과정 및 Q산출'!$G$1216</f>
        <v>5906</v>
      </c>
      <c r="J553" s="470">
        <f>TRUNC(I553*E553,0)</f>
        <v>5906</v>
      </c>
      <c r="K553" s="470">
        <f>'작업과정 및 Q산출'!$G$1213</f>
        <v>4700</v>
      </c>
      <c r="L553" s="470">
        <f>TRUNC(K553*E553,0)</f>
        <v>4700</v>
      </c>
      <c r="M553" s="470">
        <f t="shared" ref="M553:N556" si="129">G553+I553+K553</f>
        <v>14092</v>
      </c>
      <c r="N553" s="470">
        <f t="shared" si="129"/>
        <v>14092</v>
      </c>
      <c r="O553" s="461">
        <f>'작업과정 및 Q산출'!A1196</f>
        <v>22</v>
      </c>
      <c r="P553" s="767"/>
    </row>
    <row r="554" spans="2:17" ht="15.2" customHeight="1">
      <c r="B554" s="766" t="s">
        <v>1162</v>
      </c>
      <c r="C554" s="766"/>
      <c r="D554" s="84" t="s">
        <v>179</v>
      </c>
      <c r="E554" s="94">
        <v>2.7172999999999999E-2</v>
      </c>
      <c r="F554" s="86" t="s">
        <v>1163</v>
      </c>
      <c r="G554" s="470"/>
      <c r="H554" s="470">
        <f>TRUNC(E554*G554,0)</f>
        <v>0</v>
      </c>
      <c r="I554" s="470">
        <f>SUMIF('노임(2015)'!$B$4:$B$87,B554,'노임(2015)'!$C$4:$C$87)+SUMIF('노임(2015)'!$E$4:$E$87,B554,'노임(2015)'!$F$4:$F$87)</f>
        <v>89566</v>
      </c>
      <c r="J554" s="470">
        <f>TRUNC(I554*E554,0)</f>
        <v>2433</v>
      </c>
      <c r="K554" s="470"/>
      <c r="L554" s="470">
        <f>TRUNC(K554*E554,0)</f>
        <v>0</v>
      </c>
      <c r="M554" s="470">
        <f t="shared" si="129"/>
        <v>89566</v>
      </c>
      <c r="N554" s="470">
        <f t="shared" si="129"/>
        <v>2433</v>
      </c>
      <c r="O554" s="457"/>
      <c r="P554" s="767"/>
    </row>
    <row r="555" spans="2:17" ht="15.2" customHeight="1">
      <c r="B555" s="766" t="s">
        <v>1170</v>
      </c>
      <c r="C555" s="766"/>
      <c r="D555" s="84" t="s">
        <v>865</v>
      </c>
      <c r="E555" s="94">
        <v>2.173E-3</v>
      </c>
      <c r="F555" s="86" t="s">
        <v>1800</v>
      </c>
      <c r="G555" s="470">
        <f>기계경비산출표!$E$37*1000</f>
        <v>252000</v>
      </c>
      <c r="H555" s="470">
        <f>TRUNC(E555*G555,0)</f>
        <v>547</v>
      </c>
      <c r="I555" s="470">
        <f>중기사용료!$M$1417</f>
        <v>0</v>
      </c>
      <c r="J555" s="470">
        <f>TRUNC(I555*E555,0)</f>
        <v>0</v>
      </c>
      <c r="K555" s="470"/>
      <c r="L555" s="470">
        <f>TRUNC(K555*E555,0)</f>
        <v>0</v>
      </c>
      <c r="M555" s="470">
        <f t="shared" si="129"/>
        <v>252000</v>
      </c>
      <c r="N555" s="470">
        <f t="shared" si="129"/>
        <v>547</v>
      </c>
      <c r="O555" s="457"/>
      <c r="P555" s="767"/>
    </row>
    <row r="556" spans="2:17" ht="15.2" customHeight="1">
      <c r="B556" s="766" t="s">
        <v>1169</v>
      </c>
      <c r="C556" s="766"/>
      <c r="D556" s="84" t="s">
        <v>2458</v>
      </c>
      <c r="E556" s="94">
        <v>0.217391</v>
      </c>
      <c r="F556" s="86" t="s">
        <v>453</v>
      </c>
      <c r="G556" s="470">
        <f>중기사용료!$M$340</f>
        <v>0</v>
      </c>
      <c r="H556" s="470">
        <f>TRUNC(E556*G556,0)</f>
        <v>0</v>
      </c>
      <c r="I556" s="470">
        <f>중기사용료!$M$334</f>
        <v>0</v>
      </c>
      <c r="J556" s="470">
        <f>TRUNC(I556*E556,0)</f>
        <v>0</v>
      </c>
      <c r="K556" s="470">
        <f>중기사용료!$M$328</f>
        <v>7225</v>
      </c>
      <c r="L556" s="470">
        <f>TRUNC(K556*E556,0)</f>
        <v>1570</v>
      </c>
      <c r="M556" s="470">
        <f t="shared" si="129"/>
        <v>7225</v>
      </c>
      <c r="N556" s="470">
        <f t="shared" si="129"/>
        <v>1570</v>
      </c>
      <c r="O556" s="460">
        <f>중기사용료!$A$325</f>
        <v>18</v>
      </c>
      <c r="P556" s="767"/>
    </row>
    <row r="557" spans="2:17" ht="15.2" customHeight="1">
      <c r="B557" s="766" t="s">
        <v>855</v>
      </c>
      <c r="C557" s="766"/>
      <c r="D557" s="84"/>
      <c r="E557" s="87"/>
      <c r="F557" s="86"/>
      <c r="G557" s="470"/>
      <c r="H557" s="470">
        <f>SUM(H553:H556)</f>
        <v>4033</v>
      </c>
      <c r="I557" s="470"/>
      <c r="J557" s="470">
        <f>SUM(J553:J556)</f>
        <v>8339</v>
      </c>
      <c r="K557" s="470"/>
      <c r="L557" s="470">
        <f>SUM(L553:L556)</f>
        <v>6270</v>
      </c>
      <c r="M557" s="470"/>
      <c r="N557" s="470">
        <f>SUM(N553:N556)</f>
        <v>18642</v>
      </c>
      <c r="O557" s="457"/>
      <c r="P557" s="767"/>
      <c r="Q557" s="80" t="s">
        <v>3244</v>
      </c>
    </row>
    <row r="558" spans="2:17" ht="15.2" customHeight="1">
      <c r="B558" s="83">
        <f>P558</f>
        <v>104</v>
      </c>
      <c r="C558" s="770" t="s">
        <v>4081</v>
      </c>
      <c r="D558" s="770"/>
      <c r="E558" s="770"/>
      <c r="F558" s="771"/>
      <c r="G558" s="470"/>
      <c r="H558" s="470"/>
      <c r="I558" s="470"/>
      <c r="J558" s="470"/>
      <c r="K558" s="470"/>
      <c r="L558" s="470"/>
      <c r="M558" s="470"/>
      <c r="N558" s="470"/>
      <c r="O558" s="461"/>
      <c r="P558" s="767">
        <f>MAX($P$5:P557)+1</f>
        <v>104</v>
      </c>
      <c r="Q558" s="80" t="s">
        <v>3243</v>
      </c>
    </row>
    <row r="559" spans="2:17" ht="15.2" customHeight="1">
      <c r="B559" s="766" t="s">
        <v>3645</v>
      </c>
      <c r="C559" s="766"/>
      <c r="D559" s="648" t="s">
        <v>841</v>
      </c>
      <c r="E559" s="87">
        <v>1</v>
      </c>
      <c r="F559" s="86" t="s">
        <v>1798</v>
      </c>
      <c r="G559" s="470">
        <f>'작업과정 및 Q산출'!$G$1254</f>
        <v>4454</v>
      </c>
      <c r="H559" s="470">
        <f>TRUNC(E559*G559,0)</f>
        <v>4454</v>
      </c>
      <c r="I559" s="470">
        <f>'작업과정 및 Q산출'!$G$1251</f>
        <v>7546</v>
      </c>
      <c r="J559" s="470">
        <f>TRUNC(I559*E559,0)</f>
        <v>7546</v>
      </c>
      <c r="K559" s="470">
        <f>'작업과정 및 Q산출'!$G$1248</f>
        <v>6006</v>
      </c>
      <c r="L559" s="470">
        <f>TRUNC(K559*E559,0)</f>
        <v>6006</v>
      </c>
      <c r="M559" s="470">
        <f t="shared" ref="M559:N562" si="130">G559+I559+K559</f>
        <v>18006</v>
      </c>
      <c r="N559" s="470">
        <f t="shared" si="130"/>
        <v>18006</v>
      </c>
      <c r="O559" s="461">
        <f>'작업과정 및 Q산출'!A1231</f>
        <v>23</v>
      </c>
      <c r="P559" s="767"/>
    </row>
    <row r="560" spans="2:17" ht="15.2" customHeight="1">
      <c r="B560" s="766" t="s">
        <v>1162</v>
      </c>
      <c r="C560" s="766"/>
      <c r="D560" s="84" t="s">
        <v>180</v>
      </c>
      <c r="E560" s="94">
        <v>3.4722000000000003E-2</v>
      </c>
      <c r="F560" s="86" t="s">
        <v>1163</v>
      </c>
      <c r="G560" s="470"/>
      <c r="H560" s="470">
        <f>TRUNC(E560*G560,0)</f>
        <v>0</v>
      </c>
      <c r="I560" s="470">
        <f>SUMIF('노임(2015)'!$B$4:$B$87,B560,'노임(2015)'!$C$4:$C$87)+SUMIF('노임(2015)'!$E$4:$E$87,B560,'노임(2015)'!$F$4:$F$87)</f>
        <v>89566</v>
      </c>
      <c r="J560" s="470">
        <f>TRUNC(I560*E560,0)</f>
        <v>3109</v>
      </c>
      <c r="K560" s="470"/>
      <c r="L560" s="470">
        <f>TRUNC(K560*E560,0)</f>
        <v>0</v>
      </c>
      <c r="M560" s="470">
        <f t="shared" si="130"/>
        <v>89566</v>
      </c>
      <c r="N560" s="470">
        <f t="shared" si="130"/>
        <v>3109</v>
      </c>
      <c r="O560" s="457"/>
      <c r="P560" s="767"/>
    </row>
    <row r="561" spans="2:17" ht="15.2" customHeight="1">
      <c r="B561" s="766" t="s">
        <v>1170</v>
      </c>
      <c r="C561" s="766"/>
      <c r="D561" s="84" t="s">
        <v>866</v>
      </c>
      <c r="E561" s="94">
        <v>2.777E-3</v>
      </c>
      <c r="F561" s="86" t="s">
        <v>1800</v>
      </c>
      <c r="G561" s="470">
        <f>기계경비산출표!$E$37*1000</f>
        <v>252000</v>
      </c>
      <c r="H561" s="470">
        <f>TRUNC(E561*G561,0)</f>
        <v>699</v>
      </c>
      <c r="I561" s="470">
        <f>중기사용료!$M$1417</f>
        <v>0</v>
      </c>
      <c r="J561" s="470">
        <f>TRUNC(I561*E561,0)</f>
        <v>0</v>
      </c>
      <c r="K561" s="470"/>
      <c r="L561" s="470">
        <f>TRUNC(K561*E561,0)</f>
        <v>0</v>
      </c>
      <c r="M561" s="470">
        <f t="shared" si="130"/>
        <v>252000</v>
      </c>
      <c r="N561" s="470">
        <f t="shared" si="130"/>
        <v>699</v>
      </c>
      <c r="O561" s="457"/>
      <c r="P561" s="767"/>
    </row>
    <row r="562" spans="2:17" ht="15.2" customHeight="1">
      <c r="B562" s="766" t="s">
        <v>1169</v>
      </c>
      <c r="C562" s="766"/>
      <c r="D562" s="84" t="s">
        <v>2458</v>
      </c>
      <c r="E562" s="94">
        <v>0.277777</v>
      </c>
      <c r="F562" s="86" t="s">
        <v>453</v>
      </c>
      <c r="G562" s="470">
        <f>중기사용료!$M$340</f>
        <v>0</v>
      </c>
      <c r="H562" s="470">
        <f>TRUNC(E562*G562,0)</f>
        <v>0</v>
      </c>
      <c r="I562" s="470">
        <f>중기사용료!$M$334</f>
        <v>0</v>
      </c>
      <c r="J562" s="470">
        <f>TRUNC(I562*E562,0)</f>
        <v>0</v>
      </c>
      <c r="K562" s="470">
        <f>중기사용료!$M$328</f>
        <v>7225</v>
      </c>
      <c r="L562" s="470">
        <f>TRUNC(K562*E562,0)</f>
        <v>2006</v>
      </c>
      <c r="M562" s="470">
        <f t="shared" si="130"/>
        <v>7225</v>
      </c>
      <c r="N562" s="470">
        <f t="shared" si="130"/>
        <v>2006</v>
      </c>
      <c r="O562" s="460">
        <f>중기사용료!$A$325</f>
        <v>18</v>
      </c>
      <c r="P562" s="767"/>
    </row>
    <row r="563" spans="2:17" ht="15.2" customHeight="1">
      <c r="B563" s="766" t="s">
        <v>855</v>
      </c>
      <c r="C563" s="766"/>
      <c r="D563" s="84"/>
      <c r="E563" s="87"/>
      <c r="F563" s="86"/>
      <c r="G563" s="470"/>
      <c r="H563" s="470">
        <f>SUM(H559:H562)</f>
        <v>5153</v>
      </c>
      <c r="I563" s="470"/>
      <c r="J563" s="470">
        <f>SUM(J559:J562)</f>
        <v>10655</v>
      </c>
      <c r="K563" s="470"/>
      <c r="L563" s="470">
        <f>SUM(L559:L562)</f>
        <v>8012</v>
      </c>
      <c r="M563" s="470"/>
      <c r="N563" s="470">
        <f>SUM(N559:N562)</f>
        <v>23820</v>
      </c>
      <c r="O563" s="457"/>
      <c r="P563" s="767"/>
      <c r="Q563" s="80" t="s">
        <v>3244</v>
      </c>
    </row>
    <row r="564" spans="2:17" ht="15.2" customHeight="1">
      <c r="B564" s="83">
        <f>P564</f>
        <v>105</v>
      </c>
      <c r="C564" s="770" t="s">
        <v>181</v>
      </c>
      <c r="D564" s="770"/>
      <c r="E564" s="770"/>
      <c r="F564" s="771"/>
      <c r="G564" s="470"/>
      <c r="H564" s="470"/>
      <c r="I564" s="470"/>
      <c r="J564" s="470"/>
      <c r="K564" s="470"/>
      <c r="L564" s="470"/>
      <c r="M564" s="470"/>
      <c r="N564" s="470"/>
      <c r="O564" s="457"/>
      <c r="P564" s="767">
        <f>MAX($P$5:P563)+1</f>
        <v>105</v>
      </c>
      <c r="Q564" s="80" t="s">
        <v>3243</v>
      </c>
    </row>
    <row r="565" spans="2:17" ht="15.2" customHeight="1">
      <c r="B565" s="766" t="s">
        <v>458</v>
      </c>
      <c r="C565" s="766"/>
      <c r="D565" s="84" t="s">
        <v>182</v>
      </c>
      <c r="E565" s="87">
        <v>1</v>
      </c>
      <c r="F565" s="86" t="s">
        <v>1168</v>
      </c>
      <c r="G565" s="470">
        <f>운반비!$N$40</f>
        <v>728</v>
      </c>
      <c r="H565" s="470">
        <f>TRUNC(E565*G565,0)</f>
        <v>728</v>
      </c>
      <c r="I565" s="470">
        <f>운반비!$N$42</f>
        <v>19628</v>
      </c>
      <c r="J565" s="470">
        <f>TRUNC(I565*E565,0)</f>
        <v>19628</v>
      </c>
      <c r="K565" s="470">
        <f>운반비!$L$44</f>
        <v>2200</v>
      </c>
      <c r="L565" s="470">
        <f>TRUNC(K565*E565,0)</f>
        <v>2200</v>
      </c>
      <c r="M565" s="470">
        <f>G565+I565+K565</f>
        <v>22556</v>
      </c>
      <c r="N565" s="470">
        <f>H565+J565+L565</f>
        <v>22556</v>
      </c>
      <c r="O565" s="457"/>
      <c r="P565" s="767"/>
    </row>
    <row r="566" spans="2:17" ht="15.2" customHeight="1">
      <c r="B566" s="766" t="s">
        <v>855</v>
      </c>
      <c r="C566" s="766"/>
      <c r="D566" s="84"/>
      <c r="E566" s="87"/>
      <c r="F566" s="86"/>
      <c r="G566" s="470"/>
      <c r="H566" s="470">
        <f>SUM(H565:H565)</f>
        <v>728</v>
      </c>
      <c r="I566" s="470"/>
      <c r="J566" s="470">
        <f>SUM(J565:J565)</f>
        <v>19628</v>
      </c>
      <c r="K566" s="470"/>
      <c r="L566" s="470">
        <f>SUM(L565:L565)</f>
        <v>2200</v>
      </c>
      <c r="M566" s="470"/>
      <c r="N566" s="470">
        <f>SUM(N565:N565)</f>
        <v>22556</v>
      </c>
      <c r="O566" s="457"/>
      <c r="P566" s="767"/>
      <c r="Q566" s="80" t="s">
        <v>3244</v>
      </c>
    </row>
    <row r="567" spans="2:17" ht="15.2" customHeight="1">
      <c r="B567" s="83">
        <f>P567</f>
        <v>106</v>
      </c>
      <c r="C567" s="770" t="s">
        <v>183</v>
      </c>
      <c r="D567" s="770"/>
      <c r="E567" s="770"/>
      <c r="F567" s="771"/>
      <c r="G567" s="470"/>
      <c r="H567" s="470"/>
      <c r="I567" s="470"/>
      <c r="J567" s="470"/>
      <c r="K567" s="470"/>
      <c r="L567" s="470"/>
      <c r="M567" s="470"/>
      <c r="N567" s="470"/>
      <c r="O567" s="457"/>
      <c r="P567" s="767">
        <f>MAX($P$5:P566)+1</f>
        <v>106</v>
      </c>
      <c r="Q567" s="80" t="s">
        <v>3243</v>
      </c>
    </row>
    <row r="568" spans="2:17" ht="15.2" customHeight="1">
      <c r="B568" s="766" t="s">
        <v>458</v>
      </c>
      <c r="C568" s="766"/>
      <c r="D568" s="84" t="s">
        <v>184</v>
      </c>
      <c r="E568" s="87">
        <v>1</v>
      </c>
      <c r="F568" s="86" t="s">
        <v>1168</v>
      </c>
      <c r="G568" s="470">
        <f>운반비!$N$89</f>
        <v>697</v>
      </c>
      <c r="H568" s="470">
        <f>TRUNC(E568*G568,0)</f>
        <v>697</v>
      </c>
      <c r="I568" s="470">
        <f>운반비!$N$91</f>
        <v>17848</v>
      </c>
      <c r="J568" s="470">
        <f>TRUNC(I568*E568,0)</f>
        <v>17848</v>
      </c>
      <c r="K568" s="470">
        <f>운반비!$L$93</f>
        <v>2096</v>
      </c>
      <c r="L568" s="470">
        <f>TRUNC(K568*E568,0)</f>
        <v>2096</v>
      </c>
      <c r="M568" s="470">
        <f>G568+I568+K568</f>
        <v>20641</v>
      </c>
      <c r="N568" s="470">
        <f>H568+J568+L568</f>
        <v>20641</v>
      </c>
      <c r="O568" s="457"/>
      <c r="P568" s="767"/>
    </row>
    <row r="569" spans="2:17" ht="15.2" customHeight="1">
      <c r="B569" s="766" t="s">
        <v>855</v>
      </c>
      <c r="C569" s="766"/>
      <c r="D569" s="84"/>
      <c r="E569" s="87"/>
      <c r="F569" s="86"/>
      <c r="G569" s="470"/>
      <c r="H569" s="470">
        <f>SUM(H568:H568)</f>
        <v>697</v>
      </c>
      <c r="I569" s="470"/>
      <c r="J569" s="470">
        <f>SUM(J568:J568)</f>
        <v>17848</v>
      </c>
      <c r="K569" s="470"/>
      <c r="L569" s="470">
        <f>SUM(L568:L568)</f>
        <v>2096</v>
      </c>
      <c r="M569" s="470"/>
      <c r="N569" s="470">
        <f>SUM(N568:N568)</f>
        <v>20641</v>
      </c>
      <c r="O569" s="457"/>
      <c r="P569" s="767"/>
      <c r="Q569" s="80" t="s">
        <v>3244</v>
      </c>
    </row>
    <row r="570" spans="2:17" ht="15.2" customHeight="1">
      <c r="B570" s="83">
        <f>P570</f>
        <v>107</v>
      </c>
      <c r="C570" s="770" t="s">
        <v>185</v>
      </c>
      <c r="D570" s="770"/>
      <c r="E570" s="770"/>
      <c r="F570" s="771"/>
      <c r="G570" s="470"/>
      <c r="H570" s="470"/>
      <c r="I570" s="470"/>
      <c r="J570" s="470"/>
      <c r="K570" s="470"/>
      <c r="L570" s="470"/>
      <c r="M570" s="470"/>
      <c r="N570" s="470"/>
      <c r="O570" s="457"/>
      <c r="P570" s="767">
        <f>MAX($P$5:P569)+1</f>
        <v>107</v>
      </c>
      <c r="Q570" s="80" t="s">
        <v>3243</v>
      </c>
    </row>
    <row r="571" spans="2:17" ht="15.2" customHeight="1">
      <c r="B571" s="766" t="s">
        <v>458</v>
      </c>
      <c r="C571" s="766"/>
      <c r="D571" s="84" t="s">
        <v>421</v>
      </c>
      <c r="E571" s="87">
        <v>1</v>
      </c>
      <c r="F571" s="86" t="s">
        <v>1168</v>
      </c>
      <c r="G571" s="470">
        <f>운반비!$L$139</f>
        <v>1013</v>
      </c>
      <c r="H571" s="470">
        <f>TRUNC(E571*G571,0)</f>
        <v>1013</v>
      </c>
      <c r="I571" s="470">
        <f>운반비!$L$141</f>
        <v>5564</v>
      </c>
      <c r="J571" s="470">
        <f>TRUNC(I571*E571,0)</f>
        <v>5564</v>
      </c>
      <c r="K571" s="470">
        <f>운반비!$L$143</f>
        <v>1265</v>
      </c>
      <c r="L571" s="470">
        <f>TRUNC(K571*E571,0)</f>
        <v>1265</v>
      </c>
      <c r="M571" s="470">
        <f>G571+I571+K571</f>
        <v>7842</v>
      </c>
      <c r="N571" s="470">
        <f>H571+J571+L571</f>
        <v>7842</v>
      </c>
      <c r="O571" s="457"/>
      <c r="P571" s="767"/>
    </row>
    <row r="572" spans="2:17" ht="15.2" customHeight="1">
      <c r="B572" s="766" t="s">
        <v>855</v>
      </c>
      <c r="C572" s="766"/>
      <c r="D572" s="84"/>
      <c r="E572" s="87"/>
      <c r="F572" s="86"/>
      <c r="G572" s="470"/>
      <c r="H572" s="470">
        <f>SUM(H571:H571)</f>
        <v>1013</v>
      </c>
      <c r="I572" s="470"/>
      <c r="J572" s="470">
        <f>SUM(J571:J571)</f>
        <v>5564</v>
      </c>
      <c r="K572" s="470"/>
      <c r="L572" s="470">
        <f>SUM(L571:L571)</f>
        <v>1265</v>
      </c>
      <c r="M572" s="470"/>
      <c r="N572" s="470">
        <f>SUM(N571:N571)</f>
        <v>7842</v>
      </c>
      <c r="O572" s="457"/>
      <c r="P572" s="767"/>
      <c r="Q572" s="80" t="s">
        <v>3244</v>
      </c>
    </row>
    <row r="573" spans="2:17" ht="15.2" customHeight="1">
      <c r="B573" s="83">
        <f>P573</f>
        <v>108</v>
      </c>
      <c r="C573" s="770" t="s">
        <v>186</v>
      </c>
      <c r="D573" s="770"/>
      <c r="E573" s="770"/>
      <c r="F573" s="771"/>
      <c r="G573" s="470"/>
      <c r="H573" s="470"/>
      <c r="I573" s="470"/>
      <c r="J573" s="470"/>
      <c r="K573" s="470"/>
      <c r="L573" s="470"/>
      <c r="M573" s="470"/>
      <c r="N573" s="470"/>
      <c r="O573" s="457"/>
      <c r="P573" s="767">
        <f>MAX($P$5:P572)+1</f>
        <v>108</v>
      </c>
      <c r="Q573" s="80" t="s">
        <v>3243</v>
      </c>
    </row>
    <row r="574" spans="2:17" ht="15.2" customHeight="1">
      <c r="B574" s="766" t="s">
        <v>458</v>
      </c>
      <c r="C574" s="766"/>
      <c r="D574" s="84" t="s">
        <v>422</v>
      </c>
      <c r="E574" s="87">
        <v>1</v>
      </c>
      <c r="F574" s="86" t="s">
        <v>1168</v>
      </c>
      <c r="G574" s="470">
        <f>운반비!$L$188</f>
        <v>1119</v>
      </c>
      <c r="H574" s="470">
        <f>TRUNC(E574*G574,0)</f>
        <v>1119</v>
      </c>
      <c r="I574" s="470">
        <f>운반비!$L$190</f>
        <v>3563</v>
      </c>
      <c r="J574" s="470">
        <f>TRUNC(I574*E574,0)</f>
        <v>3563</v>
      </c>
      <c r="K574" s="470">
        <f>운반비!$L$192</f>
        <v>945</v>
      </c>
      <c r="L574" s="470">
        <f>TRUNC(K574*E574,0)</f>
        <v>945</v>
      </c>
      <c r="M574" s="470">
        <f>G574+I574+K574</f>
        <v>5627</v>
      </c>
      <c r="N574" s="470">
        <f>H574+J574+L574</f>
        <v>5627</v>
      </c>
      <c r="O574" s="457"/>
      <c r="P574" s="767"/>
    </row>
    <row r="575" spans="2:17" ht="15.2" customHeight="1">
      <c r="B575" s="766" t="s">
        <v>855</v>
      </c>
      <c r="C575" s="766"/>
      <c r="D575" s="84"/>
      <c r="E575" s="87"/>
      <c r="F575" s="86"/>
      <c r="G575" s="470"/>
      <c r="H575" s="470">
        <f>SUM(H574:H574)</f>
        <v>1119</v>
      </c>
      <c r="I575" s="470"/>
      <c r="J575" s="470">
        <f>SUM(J574:J574)</f>
        <v>3563</v>
      </c>
      <c r="K575" s="470"/>
      <c r="L575" s="470">
        <f>SUM(L574:L574)</f>
        <v>945</v>
      </c>
      <c r="M575" s="470"/>
      <c r="N575" s="470">
        <f>SUM(N574:N574)</f>
        <v>5627</v>
      </c>
      <c r="O575" s="457"/>
      <c r="P575" s="767"/>
      <c r="Q575" s="80" t="s">
        <v>3244</v>
      </c>
    </row>
    <row r="576" spans="2:17" ht="15.2" customHeight="1">
      <c r="B576" s="83">
        <f>P576</f>
        <v>109</v>
      </c>
      <c r="C576" s="770" t="s">
        <v>187</v>
      </c>
      <c r="D576" s="770"/>
      <c r="E576" s="770"/>
      <c r="F576" s="771"/>
      <c r="G576" s="470"/>
      <c r="H576" s="470"/>
      <c r="I576" s="470"/>
      <c r="J576" s="470"/>
      <c r="K576" s="470"/>
      <c r="L576" s="470"/>
      <c r="M576" s="470"/>
      <c r="N576" s="470"/>
      <c r="O576" s="457"/>
      <c r="P576" s="767">
        <f>MAX($P$5:P575)+1</f>
        <v>109</v>
      </c>
      <c r="Q576" s="80" t="s">
        <v>3243</v>
      </c>
    </row>
    <row r="577" spans="2:17" ht="15.2" customHeight="1">
      <c r="B577" s="766" t="s">
        <v>458</v>
      </c>
      <c r="C577" s="766"/>
      <c r="D577" s="84" t="s">
        <v>423</v>
      </c>
      <c r="E577" s="87">
        <v>1</v>
      </c>
      <c r="F577" s="86" t="s">
        <v>1168</v>
      </c>
      <c r="G577" s="470">
        <f>운반비!$L$237</f>
        <v>908</v>
      </c>
      <c r="H577" s="470">
        <f>TRUNC(E577*G577,0)</f>
        <v>908</v>
      </c>
      <c r="I577" s="470">
        <f>운반비!$L$239</f>
        <v>2890</v>
      </c>
      <c r="J577" s="470">
        <f>TRUNC(I577*E577,0)</f>
        <v>2890</v>
      </c>
      <c r="K577" s="470">
        <f>운반비!$L$241</f>
        <v>767</v>
      </c>
      <c r="L577" s="470">
        <f>TRUNC(K577*E577,0)</f>
        <v>767</v>
      </c>
      <c r="M577" s="470">
        <f>G577+I577+K577</f>
        <v>4565</v>
      </c>
      <c r="N577" s="470">
        <f>H577+J577+L577</f>
        <v>4565</v>
      </c>
      <c r="O577" s="457"/>
      <c r="P577" s="767"/>
    </row>
    <row r="578" spans="2:17" ht="15.2" customHeight="1">
      <c r="B578" s="766" t="s">
        <v>855</v>
      </c>
      <c r="C578" s="766"/>
      <c r="D578" s="84"/>
      <c r="E578" s="87"/>
      <c r="F578" s="86"/>
      <c r="G578" s="470"/>
      <c r="H578" s="470">
        <f>SUM(H577:H577)</f>
        <v>908</v>
      </c>
      <c r="I578" s="470"/>
      <c r="J578" s="470">
        <f>SUM(J577:J577)</f>
        <v>2890</v>
      </c>
      <c r="K578" s="470"/>
      <c r="L578" s="470">
        <f>SUM(L577:L577)</f>
        <v>767</v>
      </c>
      <c r="M578" s="470"/>
      <c r="N578" s="470">
        <f>SUM(N577:N577)</f>
        <v>4565</v>
      </c>
      <c r="O578" s="457"/>
      <c r="P578" s="767"/>
      <c r="Q578" s="80" t="s">
        <v>3244</v>
      </c>
    </row>
    <row r="579" spans="2:17" ht="15.2" customHeight="1">
      <c r="B579" s="83">
        <f>P579</f>
        <v>110</v>
      </c>
      <c r="C579" s="770" t="s">
        <v>1770</v>
      </c>
      <c r="D579" s="770"/>
      <c r="E579" s="770"/>
      <c r="F579" s="771"/>
      <c r="G579" s="470"/>
      <c r="H579" s="470"/>
      <c r="I579" s="470"/>
      <c r="J579" s="470"/>
      <c r="K579" s="470"/>
      <c r="L579" s="470"/>
      <c r="M579" s="470"/>
      <c r="N579" s="470"/>
      <c r="O579" s="457"/>
      <c r="P579" s="767">
        <f>MAX($P$5:P578)+1</f>
        <v>110</v>
      </c>
      <c r="Q579" s="80" t="s">
        <v>3243</v>
      </c>
    </row>
    <row r="580" spans="2:17" ht="15.2" customHeight="1">
      <c r="B580" s="766" t="s">
        <v>458</v>
      </c>
      <c r="C580" s="766"/>
      <c r="D580" s="84" t="s">
        <v>1771</v>
      </c>
      <c r="E580" s="87">
        <v>1</v>
      </c>
      <c r="F580" s="86" t="s">
        <v>1168</v>
      </c>
      <c r="G580" s="470">
        <f>운반비!$L$335</f>
        <v>4496</v>
      </c>
      <c r="H580" s="470">
        <f>TRUNC(E580*G580,0)</f>
        <v>4496</v>
      </c>
      <c r="I580" s="470">
        <f>운반비!$L$337</f>
        <v>4994</v>
      </c>
      <c r="J580" s="470">
        <f>TRUNC(I580*E580,0)</f>
        <v>4994</v>
      </c>
      <c r="K580" s="470">
        <f>운반비!$L$339</f>
        <v>3237</v>
      </c>
      <c r="L580" s="470">
        <f>TRUNC(K580*E580,0)</f>
        <v>3237</v>
      </c>
      <c r="M580" s="470">
        <f>G580+I580+K580</f>
        <v>12727</v>
      </c>
      <c r="N580" s="470">
        <f>H580+J580+L580</f>
        <v>12727</v>
      </c>
      <c r="O580" s="457"/>
      <c r="P580" s="767"/>
    </row>
    <row r="581" spans="2:17" ht="15.2" customHeight="1">
      <c r="B581" s="766" t="s">
        <v>855</v>
      </c>
      <c r="C581" s="766"/>
      <c r="D581" s="84"/>
      <c r="E581" s="87"/>
      <c r="F581" s="86"/>
      <c r="G581" s="470"/>
      <c r="H581" s="470">
        <f>SUM(H580:H580)</f>
        <v>4496</v>
      </c>
      <c r="I581" s="470"/>
      <c r="J581" s="470">
        <f>SUM(J580:J580)</f>
        <v>4994</v>
      </c>
      <c r="K581" s="470"/>
      <c r="L581" s="470">
        <f>SUM(L580:L580)</f>
        <v>3237</v>
      </c>
      <c r="M581" s="470"/>
      <c r="N581" s="470">
        <f>SUM(N580:N580)</f>
        <v>12727</v>
      </c>
      <c r="O581" s="457"/>
      <c r="P581" s="767"/>
      <c r="Q581" s="80" t="s">
        <v>3244</v>
      </c>
    </row>
    <row r="582" spans="2:17" ht="15.2" customHeight="1">
      <c r="B582" s="83">
        <f>P582</f>
        <v>111</v>
      </c>
      <c r="C582" s="770" t="s">
        <v>4082</v>
      </c>
      <c r="D582" s="770"/>
      <c r="E582" s="770"/>
      <c r="F582" s="771"/>
      <c r="G582" s="470"/>
      <c r="H582" s="470"/>
      <c r="I582" s="470"/>
      <c r="J582" s="470"/>
      <c r="K582" s="470"/>
      <c r="L582" s="470"/>
      <c r="M582" s="470"/>
      <c r="N582" s="470"/>
      <c r="O582" s="457"/>
      <c r="P582" s="767">
        <f>MAX($P$5:P581)+1</f>
        <v>111</v>
      </c>
      <c r="Q582" s="80" t="s">
        <v>3243</v>
      </c>
    </row>
    <row r="583" spans="2:17" ht="15.2" customHeight="1">
      <c r="B583" s="766" t="s">
        <v>458</v>
      </c>
      <c r="C583" s="766"/>
      <c r="D583" s="648" t="s">
        <v>4083</v>
      </c>
      <c r="E583" s="87">
        <v>1</v>
      </c>
      <c r="F583" s="86" t="s">
        <v>1168</v>
      </c>
      <c r="G583" s="470">
        <f>운반비!$L$384</f>
        <v>4139</v>
      </c>
      <c r="H583" s="470">
        <f>TRUNC(E583*G583,0)</f>
        <v>4139</v>
      </c>
      <c r="I583" s="470">
        <f>운반비!$L$386</f>
        <v>4596</v>
      </c>
      <c r="J583" s="470">
        <f>TRUNC(I583*E583,0)</f>
        <v>4596</v>
      </c>
      <c r="K583" s="470">
        <f>운반비!$L$388</f>
        <v>2980</v>
      </c>
      <c r="L583" s="470">
        <f>TRUNC(K583*E583,0)</f>
        <v>2980</v>
      </c>
      <c r="M583" s="470">
        <f>G583+I583+K583</f>
        <v>11715</v>
      </c>
      <c r="N583" s="470">
        <f>H583+J583+L583</f>
        <v>11715</v>
      </c>
      <c r="O583" s="653"/>
      <c r="P583" s="767"/>
    </row>
    <row r="584" spans="2:17" ht="15.2" customHeight="1">
      <c r="B584" s="766" t="s">
        <v>855</v>
      </c>
      <c r="C584" s="766"/>
      <c r="D584" s="84"/>
      <c r="E584" s="87"/>
      <c r="F584" s="86"/>
      <c r="G584" s="470"/>
      <c r="H584" s="470">
        <f>SUM(H583:H583)</f>
        <v>4139</v>
      </c>
      <c r="I584" s="470"/>
      <c r="J584" s="470">
        <f>SUM(J583:J583)</f>
        <v>4596</v>
      </c>
      <c r="K584" s="470"/>
      <c r="L584" s="470">
        <f>SUM(L583:L583)</f>
        <v>2980</v>
      </c>
      <c r="M584" s="470"/>
      <c r="N584" s="470">
        <f>SUM(N583:N583)</f>
        <v>11715</v>
      </c>
      <c r="O584" s="457"/>
      <c r="P584" s="767"/>
      <c r="Q584" s="80" t="s">
        <v>3244</v>
      </c>
    </row>
    <row r="585" spans="2:17" ht="15.2" customHeight="1">
      <c r="B585" s="83">
        <f>P585</f>
        <v>112</v>
      </c>
      <c r="C585" s="770" t="s">
        <v>1772</v>
      </c>
      <c r="D585" s="770"/>
      <c r="E585" s="770"/>
      <c r="F585" s="771"/>
      <c r="G585" s="470"/>
      <c r="H585" s="470"/>
      <c r="I585" s="470"/>
      <c r="J585" s="470"/>
      <c r="K585" s="470"/>
      <c r="L585" s="470"/>
      <c r="M585" s="470"/>
      <c r="N585" s="470"/>
      <c r="O585" s="457"/>
      <c r="P585" s="767">
        <f>MAX($P$5:P584)+1</f>
        <v>112</v>
      </c>
      <c r="Q585" s="80" t="s">
        <v>3243</v>
      </c>
    </row>
    <row r="586" spans="2:17" ht="15.2" customHeight="1">
      <c r="B586" s="766" t="s">
        <v>458</v>
      </c>
      <c r="C586" s="766"/>
      <c r="D586" s="84" t="s">
        <v>1773</v>
      </c>
      <c r="E586" s="87">
        <v>1</v>
      </c>
      <c r="F586" s="86" t="s">
        <v>1168</v>
      </c>
      <c r="G586" s="470">
        <f>운반비!$L$433</f>
        <v>4485</v>
      </c>
      <c r="H586" s="470">
        <f>TRUNC(E586*G586,0)</f>
        <v>4485</v>
      </c>
      <c r="I586" s="470">
        <f>운반비!$L$435</f>
        <v>3960</v>
      </c>
      <c r="J586" s="470">
        <f>TRUNC(I586*E586,0)</f>
        <v>3960</v>
      </c>
      <c r="K586" s="470">
        <f>운반비!$L$437</f>
        <v>3557</v>
      </c>
      <c r="L586" s="470">
        <f>TRUNC(K586*E586,0)</f>
        <v>3557</v>
      </c>
      <c r="M586" s="470">
        <f>G586+I586+K586</f>
        <v>12002</v>
      </c>
      <c r="N586" s="470">
        <f>H586+J586+L586</f>
        <v>12002</v>
      </c>
      <c r="O586" s="457"/>
      <c r="P586" s="767"/>
    </row>
    <row r="587" spans="2:17" ht="15.2" customHeight="1">
      <c r="B587" s="766" t="s">
        <v>855</v>
      </c>
      <c r="C587" s="766"/>
      <c r="D587" s="84"/>
      <c r="E587" s="87"/>
      <c r="F587" s="86"/>
      <c r="G587" s="470"/>
      <c r="H587" s="470">
        <f>SUM(H586:H586)</f>
        <v>4485</v>
      </c>
      <c r="I587" s="470"/>
      <c r="J587" s="470">
        <f>SUM(J586:J586)</f>
        <v>3960</v>
      </c>
      <c r="K587" s="470"/>
      <c r="L587" s="470">
        <f>SUM(L586:L586)</f>
        <v>3557</v>
      </c>
      <c r="M587" s="470"/>
      <c r="N587" s="470">
        <f>SUM(N586:N586)</f>
        <v>12002</v>
      </c>
      <c r="O587" s="457"/>
      <c r="P587" s="767"/>
      <c r="Q587" s="80" t="s">
        <v>3244</v>
      </c>
    </row>
    <row r="588" spans="2:17" ht="15.2" customHeight="1">
      <c r="B588" s="83">
        <f>P588</f>
        <v>113</v>
      </c>
      <c r="C588" s="770" t="s">
        <v>4085</v>
      </c>
      <c r="D588" s="770"/>
      <c r="E588" s="770"/>
      <c r="F588" s="771"/>
      <c r="G588" s="470"/>
      <c r="H588" s="470"/>
      <c r="I588" s="470"/>
      <c r="J588" s="470"/>
      <c r="K588" s="470"/>
      <c r="L588" s="470"/>
      <c r="M588" s="470"/>
      <c r="N588" s="470"/>
      <c r="O588" s="457"/>
      <c r="P588" s="767">
        <f>MAX($P$5:P587)+1</f>
        <v>113</v>
      </c>
      <c r="Q588" s="80" t="s">
        <v>3243</v>
      </c>
    </row>
    <row r="589" spans="2:17" ht="15.2" customHeight="1">
      <c r="B589" s="766" t="s">
        <v>458</v>
      </c>
      <c r="C589" s="766"/>
      <c r="D589" s="648" t="s">
        <v>4086</v>
      </c>
      <c r="E589" s="87">
        <v>1</v>
      </c>
      <c r="F589" s="86" t="s">
        <v>1168</v>
      </c>
      <c r="G589" s="470">
        <f>운반비!$L$482</f>
        <v>4038</v>
      </c>
      <c r="H589" s="470">
        <f>TRUNC(E589*G589,0)</f>
        <v>4038</v>
      </c>
      <c r="I589" s="470">
        <f>운반비!$L$484</f>
        <v>3565</v>
      </c>
      <c r="J589" s="470">
        <f>TRUNC(I589*E589,0)</f>
        <v>3565</v>
      </c>
      <c r="K589" s="470">
        <f>운반비!$L$486</f>
        <v>3202</v>
      </c>
      <c r="L589" s="470">
        <f>TRUNC(K589*E589,0)</f>
        <v>3202</v>
      </c>
      <c r="M589" s="470">
        <f>G589+I589+K589</f>
        <v>10805</v>
      </c>
      <c r="N589" s="470">
        <f>H589+J589+L589</f>
        <v>10805</v>
      </c>
      <c r="O589" s="457"/>
      <c r="P589" s="767"/>
    </row>
    <row r="590" spans="2:17" ht="15.2" customHeight="1">
      <c r="B590" s="766" t="s">
        <v>855</v>
      </c>
      <c r="C590" s="766"/>
      <c r="D590" s="84"/>
      <c r="E590" s="87"/>
      <c r="F590" s="86"/>
      <c r="G590" s="470"/>
      <c r="H590" s="470">
        <f>SUM(H589:H589)</f>
        <v>4038</v>
      </c>
      <c r="I590" s="470"/>
      <c r="J590" s="470">
        <f>SUM(J589:J589)</f>
        <v>3565</v>
      </c>
      <c r="K590" s="470"/>
      <c r="L590" s="470">
        <f>SUM(L589:L589)</f>
        <v>3202</v>
      </c>
      <c r="M590" s="470"/>
      <c r="N590" s="470">
        <f>SUM(N589:N589)</f>
        <v>10805</v>
      </c>
      <c r="O590" s="653"/>
      <c r="P590" s="767"/>
      <c r="Q590" s="80" t="s">
        <v>3244</v>
      </c>
    </row>
    <row r="591" spans="2:17" ht="15.2" customHeight="1">
      <c r="B591" s="83">
        <f>P591</f>
        <v>114</v>
      </c>
      <c r="C591" s="770" t="s">
        <v>1774</v>
      </c>
      <c r="D591" s="770"/>
      <c r="E591" s="770"/>
      <c r="F591" s="771"/>
      <c r="G591" s="470"/>
      <c r="H591" s="470"/>
      <c r="I591" s="470"/>
      <c r="J591" s="470"/>
      <c r="K591" s="470"/>
      <c r="L591" s="470"/>
      <c r="M591" s="470"/>
      <c r="N591" s="470"/>
      <c r="O591" s="457"/>
      <c r="P591" s="767">
        <f>MAX($P$5:P590)+1</f>
        <v>114</v>
      </c>
      <c r="Q591" s="80" t="s">
        <v>3243</v>
      </c>
    </row>
    <row r="592" spans="2:17" ht="15.2" customHeight="1">
      <c r="B592" s="766" t="s">
        <v>458</v>
      </c>
      <c r="C592" s="766"/>
      <c r="D592" s="84" t="s">
        <v>1775</v>
      </c>
      <c r="E592" s="87">
        <v>1</v>
      </c>
      <c r="F592" s="86" t="s">
        <v>1168</v>
      </c>
      <c r="G592" s="470">
        <f>운반비!$L$531</f>
        <v>4490</v>
      </c>
      <c r="H592" s="470">
        <f>TRUNC(E592*G592,0)</f>
        <v>4490</v>
      </c>
      <c r="I592" s="470">
        <f>운반비!$L$533</f>
        <v>3447</v>
      </c>
      <c r="J592" s="470">
        <f>TRUNC(I592*E592,0)</f>
        <v>3447</v>
      </c>
      <c r="K592" s="470">
        <f>운반비!$L$535</f>
        <v>3642</v>
      </c>
      <c r="L592" s="470">
        <f>TRUNC(K592*E592,0)</f>
        <v>3642</v>
      </c>
      <c r="M592" s="470">
        <f>G592+I592+K592</f>
        <v>11579</v>
      </c>
      <c r="N592" s="470">
        <f>H592+J592+L592</f>
        <v>11579</v>
      </c>
      <c r="O592" s="457"/>
      <c r="P592" s="767"/>
    </row>
    <row r="593" spans="2:17" ht="15.2" customHeight="1">
      <c r="B593" s="766" t="s">
        <v>855</v>
      </c>
      <c r="C593" s="766"/>
      <c r="D593" s="84"/>
      <c r="E593" s="87"/>
      <c r="F593" s="86"/>
      <c r="G593" s="470"/>
      <c r="H593" s="470">
        <f>SUM(H592:H592)</f>
        <v>4490</v>
      </c>
      <c r="I593" s="470"/>
      <c r="J593" s="470">
        <f>SUM(J592:J592)</f>
        <v>3447</v>
      </c>
      <c r="K593" s="470"/>
      <c r="L593" s="470">
        <f>SUM(L592:L592)</f>
        <v>3642</v>
      </c>
      <c r="M593" s="470"/>
      <c r="N593" s="470">
        <f>SUM(N592:N592)</f>
        <v>11579</v>
      </c>
      <c r="O593" s="457"/>
      <c r="P593" s="767"/>
      <c r="Q593" s="80" t="s">
        <v>3244</v>
      </c>
    </row>
    <row r="594" spans="2:17" ht="15.2" customHeight="1">
      <c r="B594" s="83">
        <f>P594</f>
        <v>115</v>
      </c>
      <c r="C594" s="770" t="s">
        <v>4088</v>
      </c>
      <c r="D594" s="770"/>
      <c r="E594" s="770"/>
      <c r="F594" s="771"/>
      <c r="G594" s="470"/>
      <c r="H594" s="470"/>
      <c r="I594" s="470"/>
      <c r="J594" s="470"/>
      <c r="K594" s="470"/>
      <c r="L594" s="470"/>
      <c r="M594" s="470"/>
      <c r="N594" s="470"/>
      <c r="O594" s="457"/>
      <c r="P594" s="767">
        <f>MAX($P$5:P593)+1</f>
        <v>115</v>
      </c>
      <c r="Q594" s="80" t="s">
        <v>3243</v>
      </c>
    </row>
    <row r="595" spans="2:17" ht="15.2" customHeight="1">
      <c r="B595" s="766" t="s">
        <v>458</v>
      </c>
      <c r="C595" s="766"/>
      <c r="D595" s="648" t="s">
        <v>4089</v>
      </c>
      <c r="E595" s="87">
        <v>1</v>
      </c>
      <c r="F595" s="86" t="s">
        <v>1168</v>
      </c>
      <c r="G595" s="470">
        <f>운반비!$L$580</f>
        <v>3971</v>
      </c>
      <c r="H595" s="470">
        <f>TRUNC(E595*G595,0)</f>
        <v>3971</v>
      </c>
      <c r="I595" s="470">
        <f>운반비!$L$582</f>
        <v>3049</v>
      </c>
      <c r="J595" s="470">
        <f>TRUNC(I595*E595,0)</f>
        <v>3049</v>
      </c>
      <c r="K595" s="470">
        <f>운반비!$L$584</f>
        <v>3221</v>
      </c>
      <c r="L595" s="470">
        <f>TRUNC(K595*E595,0)</f>
        <v>3221</v>
      </c>
      <c r="M595" s="470">
        <f>G595+I595+K595</f>
        <v>10241</v>
      </c>
      <c r="N595" s="470">
        <f>H595+J595+L595</f>
        <v>10241</v>
      </c>
      <c r="O595" s="457"/>
      <c r="P595" s="767"/>
    </row>
    <row r="596" spans="2:17" ht="15.2" customHeight="1">
      <c r="B596" s="766" t="s">
        <v>855</v>
      </c>
      <c r="C596" s="766"/>
      <c r="D596" s="84"/>
      <c r="E596" s="87"/>
      <c r="F596" s="86"/>
      <c r="G596" s="470"/>
      <c r="H596" s="470">
        <f>SUM(H595:H595)</f>
        <v>3971</v>
      </c>
      <c r="I596" s="470"/>
      <c r="J596" s="470">
        <f>SUM(J595:J595)</f>
        <v>3049</v>
      </c>
      <c r="K596" s="470"/>
      <c r="L596" s="470">
        <f>SUM(L595:L595)</f>
        <v>3221</v>
      </c>
      <c r="M596" s="470"/>
      <c r="N596" s="470">
        <f>SUM(N595:N595)</f>
        <v>10241</v>
      </c>
      <c r="O596" s="653"/>
      <c r="P596" s="767"/>
      <c r="Q596" s="80" t="s">
        <v>3244</v>
      </c>
    </row>
    <row r="597" spans="2:17" ht="15.2" customHeight="1">
      <c r="B597" s="83">
        <f>P597</f>
        <v>116</v>
      </c>
      <c r="C597" s="770" t="s">
        <v>2409</v>
      </c>
      <c r="D597" s="770"/>
      <c r="E597" s="770"/>
      <c r="F597" s="771"/>
      <c r="G597" s="470"/>
      <c r="H597" s="470"/>
      <c r="I597" s="470"/>
      <c r="J597" s="470"/>
      <c r="K597" s="470"/>
      <c r="L597" s="470"/>
      <c r="M597" s="470"/>
      <c r="N597" s="470"/>
      <c r="O597" s="457"/>
      <c r="P597" s="767">
        <f>MAX($P$5:P596)+1</f>
        <v>116</v>
      </c>
      <c r="Q597" s="80" t="s">
        <v>3243</v>
      </c>
    </row>
    <row r="598" spans="2:17" ht="15.2" customHeight="1">
      <c r="B598" s="766"/>
      <c r="C598" s="766"/>
      <c r="D598" s="84"/>
      <c r="E598" s="87"/>
      <c r="F598" s="86"/>
      <c r="G598" s="470"/>
      <c r="H598" s="470">
        <f>TRUNC(E598*G598,0)</f>
        <v>0</v>
      </c>
      <c r="I598" s="470"/>
      <c r="J598" s="470">
        <f>TRUNC(I598*E598,0)</f>
        <v>0</v>
      </c>
      <c r="K598" s="470"/>
      <c r="L598" s="470">
        <f>TRUNC(K598*E598,0)</f>
        <v>0</v>
      </c>
      <c r="M598" s="470"/>
      <c r="N598" s="470">
        <f>H598+J598+L598</f>
        <v>0</v>
      </c>
      <c r="O598" s="457"/>
      <c r="P598" s="767"/>
    </row>
    <row r="599" spans="2:17" ht="15.2" customHeight="1">
      <c r="B599" s="766" t="s">
        <v>977</v>
      </c>
      <c r="C599" s="766"/>
      <c r="D599" s="648" t="s">
        <v>182</v>
      </c>
      <c r="E599" s="85">
        <v>1</v>
      </c>
      <c r="F599" s="649" t="s">
        <v>1168</v>
      </c>
      <c r="G599" s="655">
        <f>운반비!$N$628</f>
        <v>1052.223933763358</v>
      </c>
      <c r="H599" s="470">
        <f>TRUNC(E599*G599,0)</f>
        <v>1052</v>
      </c>
      <c r="I599" s="655">
        <f>운반비!$N$630</f>
        <v>25394</v>
      </c>
      <c r="J599" s="470">
        <f>TRUNC(I599*E599,0)</f>
        <v>25394</v>
      </c>
      <c r="K599" s="655">
        <f>운반비!$L$632</f>
        <v>3058</v>
      </c>
      <c r="L599" s="470">
        <f>TRUNC(K599*E599,0)</f>
        <v>3058</v>
      </c>
      <c r="M599" s="470">
        <f>G599+I599+K599</f>
        <v>29504.223933763358</v>
      </c>
      <c r="N599" s="470">
        <f>H599+J599+L599</f>
        <v>29504</v>
      </c>
      <c r="O599" s="457"/>
      <c r="P599" s="767"/>
    </row>
    <row r="600" spans="2:17" ht="15.2" customHeight="1">
      <c r="B600" s="766" t="s">
        <v>855</v>
      </c>
      <c r="C600" s="766"/>
      <c r="D600" s="84"/>
      <c r="E600" s="87"/>
      <c r="F600" s="86"/>
      <c r="G600" s="470"/>
      <c r="H600" s="470">
        <f>SUM(H598:H599)</f>
        <v>1052</v>
      </c>
      <c r="I600" s="470"/>
      <c r="J600" s="470">
        <f>SUM(J598:J599)</f>
        <v>25394</v>
      </c>
      <c r="K600" s="470"/>
      <c r="L600" s="470">
        <f>SUM(L598:L599)</f>
        <v>3058</v>
      </c>
      <c r="M600" s="470"/>
      <c r="N600" s="470">
        <f>SUM(N598:N599)</f>
        <v>29504</v>
      </c>
      <c r="O600" s="457"/>
      <c r="P600" s="767"/>
      <c r="Q600" s="80" t="s">
        <v>3244</v>
      </c>
    </row>
    <row r="601" spans="2:17" ht="15.2" customHeight="1">
      <c r="B601" s="83">
        <f>P601</f>
        <v>117</v>
      </c>
      <c r="C601" s="770" t="s">
        <v>978</v>
      </c>
      <c r="D601" s="770"/>
      <c r="E601" s="770"/>
      <c r="F601" s="771"/>
      <c r="G601" s="470"/>
      <c r="H601" s="470"/>
      <c r="I601" s="470"/>
      <c r="J601" s="470"/>
      <c r="K601" s="470"/>
      <c r="L601" s="470"/>
      <c r="M601" s="470"/>
      <c r="N601" s="470"/>
      <c r="O601" s="457"/>
      <c r="P601" s="767">
        <f>MAX($P$5:P600)+1</f>
        <v>117</v>
      </c>
      <c r="Q601" s="80" t="s">
        <v>3243</v>
      </c>
    </row>
    <row r="602" spans="2:17" ht="15.2" customHeight="1">
      <c r="B602" s="766"/>
      <c r="C602" s="766"/>
      <c r="D602" s="84"/>
      <c r="E602" s="87"/>
      <c r="F602" s="86"/>
      <c r="G602" s="470"/>
      <c r="H602" s="470">
        <f>TRUNC(E602*G602,0)</f>
        <v>0</v>
      </c>
      <c r="I602" s="470"/>
      <c r="J602" s="470">
        <f>TRUNC(I602*E602,0)</f>
        <v>0</v>
      </c>
      <c r="K602" s="470"/>
      <c r="L602" s="470">
        <f>TRUNC(K602*E602,0)</f>
        <v>0</v>
      </c>
      <c r="M602" s="470"/>
      <c r="N602" s="470">
        <f>H602+J602+L602</f>
        <v>0</v>
      </c>
      <c r="O602" s="457"/>
      <c r="P602" s="767"/>
    </row>
    <row r="603" spans="2:17" ht="15.2" customHeight="1">
      <c r="B603" s="766" t="s">
        <v>977</v>
      </c>
      <c r="C603" s="766"/>
      <c r="D603" s="648" t="s">
        <v>184</v>
      </c>
      <c r="E603" s="85">
        <v>1</v>
      </c>
      <c r="F603" s="649" t="s">
        <v>1168</v>
      </c>
      <c r="G603" s="655">
        <f>운반비!$N$677</f>
        <v>1009.1244979919679</v>
      </c>
      <c r="H603" s="470">
        <f>TRUNC(E603*G603,0)</f>
        <v>1009</v>
      </c>
      <c r="I603" s="655">
        <f>운반비!$N$679</f>
        <v>20832</v>
      </c>
      <c r="J603" s="470">
        <f>TRUNC(I603*E603,0)</f>
        <v>20832</v>
      </c>
      <c r="K603" s="655">
        <f>운반비!$L$681</f>
        <v>2888</v>
      </c>
      <c r="L603" s="470">
        <f>TRUNC(K603*E603,0)</f>
        <v>2888</v>
      </c>
      <c r="M603" s="470">
        <f>G603+I603+K603</f>
        <v>24729.124497991968</v>
      </c>
      <c r="N603" s="470">
        <f>H603+J603+L603</f>
        <v>24729</v>
      </c>
      <c r="O603" s="457"/>
      <c r="P603" s="767"/>
    </row>
    <row r="604" spans="2:17" ht="15.2" customHeight="1">
      <c r="B604" s="766" t="s">
        <v>855</v>
      </c>
      <c r="C604" s="766"/>
      <c r="D604" s="84"/>
      <c r="E604" s="87"/>
      <c r="F604" s="86"/>
      <c r="G604" s="470"/>
      <c r="H604" s="470">
        <f>SUM(H602:H603)</f>
        <v>1009</v>
      </c>
      <c r="I604" s="470"/>
      <c r="J604" s="470">
        <f>SUM(J602:J603)</f>
        <v>20832</v>
      </c>
      <c r="K604" s="470"/>
      <c r="L604" s="470">
        <f>SUM(L602:L603)</f>
        <v>2888</v>
      </c>
      <c r="M604" s="470"/>
      <c r="N604" s="470">
        <f>SUM(N602:N603)</f>
        <v>24729</v>
      </c>
      <c r="O604" s="457"/>
      <c r="P604" s="767"/>
      <c r="Q604" s="80" t="s">
        <v>3244</v>
      </c>
    </row>
    <row r="605" spans="2:17" ht="15.2" customHeight="1">
      <c r="B605" s="83">
        <f>P605</f>
        <v>118</v>
      </c>
      <c r="C605" s="770" t="s">
        <v>979</v>
      </c>
      <c r="D605" s="770"/>
      <c r="E605" s="770"/>
      <c r="F605" s="771"/>
      <c r="G605" s="470"/>
      <c r="H605" s="470"/>
      <c r="I605" s="470"/>
      <c r="J605" s="470"/>
      <c r="K605" s="470"/>
      <c r="L605" s="470"/>
      <c r="M605" s="470"/>
      <c r="N605" s="470"/>
      <c r="O605" s="457"/>
      <c r="P605" s="767">
        <f>MAX($P$5:P604)+1</f>
        <v>118</v>
      </c>
      <c r="Q605" s="80" t="s">
        <v>3243</v>
      </c>
    </row>
    <row r="606" spans="2:17" ht="15.2" customHeight="1">
      <c r="B606" s="766"/>
      <c r="C606" s="766"/>
      <c r="D606" s="84"/>
      <c r="E606" s="87"/>
      <c r="F606" s="86"/>
      <c r="G606" s="470"/>
      <c r="H606" s="470">
        <f>TRUNC(E606*G606,0)</f>
        <v>0</v>
      </c>
      <c r="I606" s="470"/>
      <c r="J606" s="470">
        <f>TRUNC(I606*E606,0)</f>
        <v>0</v>
      </c>
      <c r="K606" s="470"/>
      <c r="L606" s="470">
        <f>TRUNC(K606*E606,0)</f>
        <v>0</v>
      </c>
      <c r="M606" s="470">
        <f>G606+I606+K606</f>
        <v>0</v>
      </c>
      <c r="N606" s="470">
        <f>H606+J606+L606</f>
        <v>0</v>
      </c>
      <c r="O606" s="457"/>
      <c r="P606" s="767"/>
    </row>
    <row r="607" spans="2:17" ht="15.2" customHeight="1">
      <c r="B607" s="766" t="s">
        <v>977</v>
      </c>
      <c r="C607" s="766"/>
      <c r="D607" s="648" t="s">
        <v>421</v>
      </c>
      <c r="E607" s="85">
        <v>1</v>
      </c>
      <c r="F607" s="649" t="s">
        <v>1168</v>
      </c>
      <c r="G607" s="655">
        <f>운반비!$L$727</f>
        <v>1756</v>
      </c>
      <c r="H607" s="470">
        <f>TRUNC(E607*G607,0)</f>
        <v>1756</v>
      </c>
      <c r="I607" s="655">
        <f>운반비!$L$729</f>
        <v>9638</v>
      </c>
      <c r="J607" s="470">
        <f>TRUNC(I607*E607,0)</f>
        <v>9638</v>
      </c>
      <c r="K607" s="655">
        <f>운반비!$L$731</f>
        <v>2191</v>
      </c>
      <c r="L607" s="470">
        <f>TRUNC(K607*E607,0)</f>
        <v>2191</v>
      </c>
      <c r="M607" s="470">
        <f>G607+I607+K607</f>
        <v>13585</v>
      </c>
      <c r="N607" s="470">
        <f>H607+J607+L607</f>
        <v>13585</v>
      </c>
      <c r="O607" s="457"/>
      <c r="P607" s="767"/>
    </row>
    <row r="608" spans="2:17" ht="15.2" customHeight="1">
      <c r="B608" s="766" t="s">
        <v>855</v>
      </c>
      <c r="C608" s="766"/>
      <c r="D608" s="84"/>
      <c r="E608" s="87"/>
      <c r="F608" s="86"/>
      <c r="G608" s="470"/>
      <c r="H608" s="470">
        <f>SUM(H606:H607)</f>
        <v>1756</v>
      </c>
      <c r="I608" s="470"/>
      <c r="J608" s="470">
        <f>SUM(J606:J607)</f>
        <v>9638</v>
      </c>
      <c r="K608" s="470"/>
      <c r="L608" s="470">
        <f>SUM(L606:L607)</f>
        <v>2191</v>
      </c>
      <c r="M608" s="470"/>
      <c r="N608" s="470">
        <f>SUM(N606:N607)</f>
        <v>13585</v>
      </c>
      <c r="O608" s="457"/>
      <c r="P608" s="767"/>
      <c r="Q608" s="80" t="s">
        <v>3244</v>
      </c>
    </row>
    <row r="609" spans="2:17" ht="15.2" customHeight="1">
      <c r="B609" s="96">
        <f>P609</f>
        <v>119</v>
      </c>
      <c r="C609" s="770" t="s">
        <v>980</v>
      </c>
      <c r="D609" s="770"/>
      <c r="E609" s="770"/>
      <c r="F609" s="771"/>
      <c r="G609" s="470"/>
      <c r="H609" s="470"/>
      <c r="I609" s="470"/>
      <c r="J609" s="470"/>
      <c r="K609" s="470"/>
      <c r="L609" s="470"/>
      <c r="M609" s="470"/>
      <c r="N609" s="470"/>
      <c r="O609" s="457"/>
      <c r="P609" s="767">
        <f>MAX($P$5:P608)+1</f>
        <v>119</v>
      </c>
      <c r="Q609" s="80" t="s">
        <v>3243</v>
      </c>
    </row>
    <row r="610" spans="2:17" ht="15.2" customHeight="1">
      <c r="B610" s="766"/>
      <c r="C610" s="766"/>
      <c r="D610" s="84"/>
      <c r="E610" s="87"/>
      <c r="F610" s="86"/>
      <c r="G610" s="470"/>
      <c r="H610" s="470">
        <f>TRUNC(E610*G610,0)</f>
        <v>0</v>
      </c>
      <c r="I610" s="470"/>
      <c r="J610" s="470">
        <f>TRUNC(I610*E610,0)</f>
        <v>0</v>
      </c>
      <c r="K610" s="470"/>
      <c r="L610" s="470">
        <f>TRUNC(K610*E610,0)</f>
        <v>0</v>
      </c>
      <c r="M610" s="470"/>
      <c r="N610" s="470">
        <f>H610+J610+L610</f>
        <v>0</v>
      </c>
      <c r="O610" s="457"/>
      <c r="P610" s="767"/>
    </row>
    <row r="611" spans="2:17" ht="15.2" customHeight="1">
      <c r="B611" s="766" t="s">
        <v>977</v>
      </c>
      <c r="C611" s="766"/>
      <c r="D611" s="648" t="s">
        <v>422</v>
      </c>
      <c r="E611" s="85">
        <v>1</v>
      </c>
      <c r="F611" s="649" t="s">
        <v>1168</v>
      </c>
      <c r="G611" s="655">
        <f>운반비!$L$776</f>
        <v>2229</v>
      </c>
      <c r="H611" s="470">
        <f>TRUNC(E611*G611,0)</f>
        <v>2229</v>
      </c>
      <c r="I611" s="655">
        <f>운반비!$L$778</f>
        <v>7096</v>
      </c>
      <c r="J611" s="470">
        <f>TRUNC(I611*E611,0)</f>
        <v>7096</v>
      </c>
      <c r="K611" s="655">
        <f>운반비!$L$780</f>
        <v>1883</v>
      </c>
      <c r="L611" s="470">
        <f>TRUNC(K611*E611,0)</f>
        <v>1883</v>
      </c>
      <c r="M611" s="470">
        <f>G611+I611+K611</f>
        <v>11208</v>
      </c>
      <c r="N611" s="470">
        <f>H611+J611+L611</f>
        <v>11208</v>
      </c>
      <c r="O611" s="457"/>
      <c r="P611" s="767"/>
    </row>
    <row r="612" spans="2:17" ht="15.2" customHeight="1">
      <c r="B612" s="766" t="s">
        <v>855</v>
      </c>
      <c r="C612" s="766"/>
      <c r="D612" s="84"/>
      <c r="E612" s="87"/>
      <c r="F612" s="86"/>
      <c r="G612" s="470"/>
      <c r="H612" s="470">
        <f>SUM(H610:H611)</f>
        <v>2229</v>
      </c>
      <c r="I612" s="470"/>
      <c r="J612" s="470">
        <f>SUM(J610:J611)</f>
        <v>7096</v>
      </c>
      <c r="K612" s="470"/>
      <c r="L612" s="470">
        <f>SUM(L610:L611)</f>
        <v>1883</v>
      </c>
      <c r="M612" s="470"/>
      <c r="N612" s="470">
        <f>SUM(N610:N611)</f>
        <v>11208</v>
      </c>
      <c r="O612" s="457"/>
      <c r="P612" s="767"/>
      <c r="Q612" s="80" t="s">
        <v>3244</v>
      </c>
    </row>
    <row r="613" spans="2:17" ht="15.2" customHeight="1">
      <c r="B613" s="96">
        <f>P613</f>
        <v>120</v>
      </c>
      <c r="C613" s="770" t="s">
        <v>981</v>
      </c>
      <c r="D613" s="770"/>
      <c r="E613" s="770"/>
      <c r="F613" s="771"/>
      <c r="G613" s="470"/>
      <c r="H613" s="470"/>
      <c r="I613" s="470"/>
      <c r="J613" s="470"/>
      <c r="K613" s="470"/>
      <c r="L613" s="470"/>
      <c r="M613" s="470"/>
      <c r="N613" s="470"/>
      <c r="O613" s="457"/>
      <c r="P613" s="767">
        <f>MAX($P$5:P612)+1</f>
        <v>120</v>
      </c>
      <c r="Q613" s="80" t="s">
        <v>3243</v>
      </c>
    </row>
    <row r="614" spans="2:17" ht="15.2" customHeight="1">
      <c r="B614" s="766"/>
      <c r="C614" s="766"/>
      <c r="D614" s="84"/>
      <c r="E614" s="87"/>
      <c r="F614" s="86"/>
      <c r="G614" s="470"/>
      <c r="H614" s="470"/>
      <c r="I614" s="470"/>
      <c r="J614" s="470"/>
      <c r="K614" s="470"/>
      <c r="L614" s="470"/>
      <c r="M614" s="470"/>
      <c r="N614" s="470">
        <f>H614+J614+L614</f>
        <v>0</v>
      </c>
      <c r="O614" s="457"/>
      <c r="P614" s="767"/>
    </row>
    <row r="615" spans="2:17" ht="15.2" customHeight="1">
      <c r="B615" s="766" t="s">
        <v>977</v>
      </c>
      <c r="C615" s="766"/>
      <c r="D615" s="648" t="s">
        <v>423</v>
      </c>
      <c r="E615" s="85">
        <v>1</v>
      </c>
      <c r="F615" s="649" t="s">
        <v>1168</v>
      </c>
      <c r="G615" s="655">
        <f>운반비!$L$825</f>
        <v>1615</v>
      </c>
      <c r="H615" s="470">
        <f>TRUNC(E615*G615,0)</f>
        <v>1615</v>
      </c>
      <c r="I615" s="655">
        <f>운반비!$L$827</f>
        <v>5143</v>
      </c>
      <c r="J615" s="470">
        <f>TRUNC(I615*E615,0)</f>
        <v>5143</v>
      </c>
      <c r="K615" s="655">
        <f>운반비!$L$829</f>
        <v>1365</v>
      </c>
      <c r="L615" s="470">
        <f>TRUNC(K615*E615,0)</f>
        <v>1365</v>
      </c>
      <c r="M615" s="470">
        <f>G615+I615+K615</f>
        <v>8123</v>
      </c>
      <c r="N615" s="470">
        <f>H615+J615+L615</f>
        <v>8123</v>
      </c>
      <c r="O615" s="457"/>
      <c r="P615" s="767"/>
    </row>
    <row r="616" spans="2:17" ht="15.2" customHeight="1">
      <c r="B616" s="766" t="s">
        <v>855</v>
      </c>
      <c r="C616" s="766"/>
      <c r="D616" s="84"/>
      <c r="E616" s="87"/>
      <c r="F616" s="86"/>
      <c r="G616" s="470"/>
      <c r="H616" s="470">
        <f>SUM(H614:H615)</f>
        <v>1615</v>
      </c>
      <c r="I616" s="470"/>
      <c r="J616" s="470">
        <f>SUM(J614:J615)</f>
        <v>5143</v>
      </c>
      <c r="K616" s="470"/>
      <c r="L616" s="470">
        <f>SUM(L614:L615)</f>
        <v>1365</v>
      </c>
      <c r="M616" s="470"/>
      <c r="N616" s="470">
        <f>SUM(N614:N615)</f>
        <v>8123</v>
      </c>
      <c r="O616" s="457"/>
      <c r="P616" s="767"/>
      <c r="Q616" s="80" t="s">
        <v>3244</v>
      </c>
    </row>
    <row r="617" spans="2:17" ht="15.2" customHeight="1">
      <c r="B617" s="96">
        <f>P617</f>
        <v>121</v>
      </c>
      <c r="C617" s="770" t="s">
        <v>4091</v>
      </c>
      <c r="D617" s="770"/>
      <c r="E617" s="770"/>
      <c r="F617" s="771"/>
      <c r="G617" s="470"/>
      <c r="H617" s="470"/>
      <c r="I617" s="470"/>
      <c r="J617" s="470"/>
      <c r="K617" s="470"/>
      <c r="L617" s="470"/>
      <c r="M617" s="470"/>
      <c r="N617" s="470"/>
      <c r="O617" s="457"/>
      <c r="P617" s="767">
        <f>MAX($P$5:P616)+1</f>
        <v>121</v>
      </c>
      <c r="Q617" s="80" t="s">
        <v>3243</v>
      </c>
    </row>
    <row r="618" spans="2:17" ht="15.2" customHeight="1">
      <c r="B618" s="766"/>
      <c r="C618" s="766"/>
      <c r="D618" s="84"/>
      <c r="E618" s="87"/>
      <c r="F618" s="86"/>
      <c r="G618" s="470"/>
      <c r="H618" s="470">
        <f>TRUNC(E618*G618,0)</f>
        <v>0</v>
      </c>
      <c r="I618" s="470"/>
      <c r="J618" s="470">
        <f>TRUNC(I618*E618,0)</f>
        <v>0</v>
      </c>
      <c r="K618" s="470"/>
      <c r="L618" s="470">
        <f>TRUNC(K618*E618,0)</f>
        <v>0</v>
      </c>
      <c r="M618" s="470">
        <f>G618+I618+K618</f>
        <v>0</v>
      </c>
      <c r="N618" s="470">
        <f>H618+J618+L618</f>
        <v>0</v>
      </c>
      <c r="O618" s="457"/>
      <c r="P618" s="767"/>
    </row>
    <row r="619" spans="2:17" ht="15.2" customHeight="1">
      <c r="B619" s="766" t="s">
        <v>977</v>
      </c>
      <c r="C619" s="766"/>
      <c r="D619" s="648" t="s">
        <v>3662</v>
      </c>
      <c r="E619" s="85">
        <v>1</v>
      </c>
      <c r="F619" s="649" t="s">
        <v>1168</v>
      </c>
      <c r="G619" s="655">
        <f>운반비!$L$923</f>
        <v>6115</v>
      </c>
      <c r="H619" s="470">
        <f>TRUNC(E619*G619,0)</f>
        <v>6115</v>
      </c>
      <c r="I619" s="655">
        <f>운반비!$L$925</f>
        <v>6792</v>
      </c>
      <c r="J619" s="470">
        <f>TRUNC(I619*E619,0)</f>
        <v>6792</v>
      </c>
      <c r="K619" s="655">
        <f>운반비!$L$927</f>
        <v>4403</v>
      </c>
      <c r="L619" s="470">
        <f>TRUNC(K619*E619,0)</f>
        <v>4403</v>
      </c>
      <c r="M619" s="470">
        <f>G619+I619+K619</f>
        <v>17310</v>
      </c>
      <c r="N619" s="470">
        <f>H619+J619+L619</f>
        <v>17310</v>
      </c>
      <c r="O619" s="457"/>
      <c r="P619" s="767"/>
    </row>
    <row r="620" spans="2:17" ht="15.2" customHeight="1">
      <c r="B620" s="766" t="s">
        <v>855</v>
      </c>
      <c r="C620" s="766"/>
      <c r="D620" s="84"/>
      <c r="E620" s="87"/>
      <c r="F620" s="86"/>
      <c r="G620" s="470"/>
      <c r="H620" s="470">
        <f>SUM(H618:H619)</f>
        <v>6115</v>
      </c>
      <c r="I620" s="470"/>
      <c r="J620" s="470">
        <f>SUM(J618:J619)</f>
        <v>6792</v>
      </c>
      <c r="K620" s="470"/>
      <c r="L620" s="470">
        <f>SUM(L618:L619)</f>
        <v>4403</v>
      </c>
      <c r="M620" s="470"/>
      <c r="N620" s="470">
        <f>SUM(N618:N619)</f>
        <v>17310</v>
      </c>
      <c r="O620" s="653"/>
      <c r="P620" s="767"/>
      <c r="Q620" s="80" t="s">
        <v>3244</v>
      </c>
    </row>
    <row r="621" spans="2:17" ht="15.2" customHeight="1">
      <c r="B621" s="96">
        <f>P621</f>
        <v>122</v>
      </c>
      <c r="C621" s="770" t="s">
        <v>4092</v>
      </c>
      <c r="D621" s="770"/>
      <c r="E621" s="770"/>
      <c r="F621" s="771"/>
      <c r="G621" s="470"/>
      <c r="H621" s="470"/>
      <c r="I621" s="470"/>
      <c r="J621" s="470"/>
      <c r="K621" s="470"/>
      <c r="L621" s="470"/>
      <c r="M621" s="470"/>
      <c r="N621" s="470"/>
      <c r="O621" s="457"/>
      <c r="P621" s="767">
        <f>MAX($P$5:P620)+1</f>
        <v>122</v>
      </c>
      <c r="Q621" s="80" t="s">
        <v>3243</v>
      </c>
    </row>
    <row r="622" spans="2:17" ht="15.2" customHeight="1">
      <c r="B622" s="766"/>
      <c r="C622" s="766"/>
      <c r="D622" s="84"/>
      <c r="E622" s="87"/>
      <c r="F622" s="86"/>
      <c r="G622" s="470"/>
      <c r="H622" s="470"/>
      <c r="I622" s="470"/>
      <c r="J622" s="470"/>
      <c r="K622" s="470"/>
      <c r="L622" s="470"/>
      <c r="M622" s="470"/>
      <c r="N622" s="470">
        <f>H622+J622+L622</f>
        <v>0</v>
      </c>
      <c r="O622" s="457"/>
      <c r="P622" s="767"/>
    </row>
    <row r="623" spans="2:17" ht="15.2" customHeight="1">
      <c r="B623" s="766" t="s">
        <v>977</v>
      </c>
      <c r="C623" s="766"/>
      <c r="D623" s="648" t="s">
        <v>3662</v>
      </c>
      <c r="E623" s="85">
        <v>1</v>
      </c>
      <c r="F623" s="649" t="s">
        <v>1168</v>
      </c>
      <c r="G623" s="655">
        <f>운반비!$L$972</f>
        <v>6009</v>
      </c>
      <c r="H623" s="470">
        <f>TRUNC(E623*G623,0)</f>
        <v>6009</v>
      </c>
      <c r="I623" s="655">
        <f>운반비!$L$974</f>
        <v>5306</v>
      </c>
      <c r="J623" s="470">
        <f>TRUNC(I623*E623,0)</f>
        <v>5306</v>
      </c>
      <c r="K623" s="655">
        <f>운반비!$L$976</f>
        <v>4766</v>
      </c>
      <c r="L623" s="470">
        <f>TRUNC(K623*E623,0)</f>
        <v>4766</v>
      </c>
      <c r="M623" s="470">
        <f>G623+I623+K623</f>
        <v>16081</v>
      </c>
      <c r="N623" s="470">
        <f>H623+J623+L623</f>
        <v>16081</v>
      </c>
      <c r="O623" s="457"/>
      <c r="P623" s="767"/>
    </row>
    <row r="624" spans="2:17" ht="15.2" customHeight="1">
      <c r="B624" s="766" t="s">
        <v>855</v>
      </c>
      <c r="C624" s="766"/>
      <c r="D624" s="84"/>
      <c r="E624" s="87"/>
      <c r="F624" s="86"/>
      <c r="G624" s="470"/>
      <c r="H624" s="470">
        <f>SUM(H622:H623)</f>
        <v>6009</v>
      </c>
      <c r="I624" s="470"/>
      <c r="J624" s="470">
        <f>SUM(J622:J623)</f>
        <v>5306</v>
      </c>
      <c r="K624" s="470"/>
      <c r="L624" s="470">
        <f>SUM(L622:L623)</f>
        <v>4766</v>
      </c>
      <c r="M624" s="470"/>
      <c r="N624" s="470">
        <f>SUM(N622:N623)</f>
        <v>16081</v>
      </c>
      <c r="O624" s="653"/>
      <c r="P624" s="767"/>
      <c r="Q624" s="80" t="s">
        <v>3244</v>
      </c>
    </row>
    <row r="625" spans="2:17" ht="15.2" customHeight="1">
      <c r="B625" s="96">
        <f>P625</f>
        <v>123</v>
      </c>
      <c r="C625" s="770" t="s">
        <v>4093</v>
      </c>
      <c r="D625" s="770"/>
      <c r="E625" s="770"/>
      <c r="F625" s="771"/>
      <c r="G625" s="470"/>
      <c r="H625" s="470"/>
      <c r="I625" s="470"/>
      <c r="J625" s="470"/>
      <c r="K625" s="470"/>
      <c r="L625" s="470"/>
      <c r="M625" s="470"/>
      <c r="N625" s="470"/>
      <c r="O625" s="457"/>
      <c r="P625" s="767">
        <f>MAX($P$5:P624)+1</f>
        <v>123</v>
      </c>
      <c r="Q625" s="80" t="s">
        <v>3243</v>
      </c>
    </row>
    <row r="626" spans="2:17" ht="15.2" customHeight="1">
      <c r="B626" s="766"/>
      <c r="C626" s="766"/>
      <c r="D626" s="84"/>
      <c r="E626" s="87"/>
      <c r="F626" s="86"/>
      <c r="G626" s="470"/>
      <c r="H626" s="470"/>
      <c r="I626" s="470"/>
      <c r="J626" s="470"/>
      <c r="K626" s="470"/>
      <c r="L626" s="470"/>
      <c r="M626" s="470"/>
      <c r="N626" s="470">
        <f>H626+J626+L626</f>
        <v>0</v>
      </c>
      <c r="O626" s="457"/>
      <c r="P626" s="767"/>
    </row>
    <row r="627" spans="2:17" ht="15.2" customHeight="1">
      <c r="B627" s="766" t="s">
        <v>977</v>
      </c>
      <c r="C627" s="766"/>
      <c r="D627" s="648" t="s">
        <v>3662</v>
      </c>
      <c r="E627" s="85">
        <v>1</v>
      </c>
      <c r="F627" s="649" t="s">
        <v>1168</v>
      </c>
      <c r="G627" s="655">
        <f>운반비!$L$1021</f>
        <v>5937</v>
      </c>
      <c r="H627" s="470">
        <f>TRUNC(E627*G627,0)</f>
        <v>5937</v>
      </c>
      <c r="I627" s="655">
        <f>운반비!$L$1023</f>
        <v>4558</v>
      </c>
      <c r="J627" s="470">
        <f>TRUNC(I627*E627,0)</f>
        <v>4558</v>
      </c>
      <c r="K627" s="655">
        <f>운반비!$L$1025</f>
        <v>4815</v>
      </c>
      <c r="L627" s="470">
        <f>TRUNC(K627*E627,0)</f>
        <v>4815</v>
      </c>
      <c r="M627" s="470">
        <f>G627+I627+K627</f>
        <v>15310</v>
      </c>
      <c r="N627" s="470">
        <f>H627+J627+L627</f>
        <v>15310</v>
      </c>
      <c r="O627" s="457"/>
      <c r="P627" s="767"/>
    </row>
    <row r="628" spans="2:17" ht="15.2" customHeight="1">
      <c r="B628" s="766" t="s">
        <v>855</v>
      </c>
      <c r="C628" s="766"/>
      <c r="D628" s="84"/>
      <c r="E628" s="87"/>
      <c r="F628" s="86"/>
      <c r="G628" s="470"/>
      <c r="H628" s="470">
        <f>SUM(H626:H627)</f>
        <v>5937</v>
      </c>
      <c r="I628" s="470"/>
      <c r="J628" s="470">
        <f>SUM(J626:J627)</f>
        <v>4558</v>
      </c>
      <c r="K628" s="470"/>
      <c r="L628" s="470">
        <f>SUM(L626:L627)</f>
        <v>4815</v>
      </c>
      <c r="M628" s="470"/>
      <c r="N628" s="470">
        <f>SUM(N626:N627)</f>
        <v>15310</v>
      </c>
      <c r="O628" s="653"/>
      <c r="P628" s="767"/>
      <c r="Q628" s="80" t="s">
        <v>3244</v>
      </c>
    </row>
    <row r="629" spans="2:17" ht="15.2" customHeight="1">
      <c r="B629" s="96">
        <f>P629</f>
        <v>124</v>
      </c>
      <c r="C629" s="770" t="s">
        <v>188</v>
      </c>
      <c r="D629" s="770"/>
      <c r="E629" s="770"/>
      <c r="F629" s="771"/>
      <c r="G629" s="470"/>
      <c r="H629" s="470"/>
      <c r="I629" s="470"/>
      <c r="J629" s="470"/>
      <c r="K629" s="470"/>
      <c r="L629" s="470"/>
      <c r="M629" s="470"/>
      <c r="N629" s="470"/>
      <c r="O629" s="457"/>
      <c r="P629" s="767">
        <f>MAX($P$5:P628)+1</f>
        <v>124</v>
      </c>
      <c r="Q629" s="80" t="s">
        <v>3243</v>
      </c>
    </row>
    <row r="630" spans="2:17" ht="15.2" customHeight="1">
      <c r="B630" s="766" t="s">
        <v>189</v>
      </c>
      <c r="C630" s="766"/>
      <c r="D630" s="84"/>
      <c r="E630" s="87">
        <v>4.4000000000000004</v>
      </c>
      <c r="F630" s="86" t="s">
        <v>1190</v>
      </c>
      <c r="G630" s="470">
        <f>$H$321</f>
        <v>754</v>
      </c>
      <c r="H630" s="470">
        <f t="shared" ref="H630:H635" si="131">TRUNC(E630*G630,0)</f>
        <v>3317</v>
      </c>
      <c r="I630" s="470">
        <f>$J$321</f>
        <v>1253</v>
      </c>
      <c r="J630" s="470">
        <f t="shared" ref="J630:J635" si="132">TRUNC(I630*E630,0)</f>
        <v>5513</v>
      </c>
      <c r="K630" s="470">
        <f>$L$321</f>
        <v>33</v>
      </c>
      <c r="L630" s="470">
        <f t="shared" ref="L630:L635" si="133">TRUNC(K630*E630,0)</f>
        <v>145</v>
      </c>
      <c r="M630" s="470">
        <f t="shared" ref="M630:N635" si="134">G630+I630+K630</f>
        <v>2040</v>
      </c>
      <c r="N630" s="470">
        <f t="shared" si="134"/>
        <v>8975</v>
      </c>
      <c r="O630" s="462">
        <f>$P$315</f>
        <v>47</v>
      </c>
      <c r="P630" s="767"/>
    </row>
    <row r="631" spans="2:17" ht="15.2" customHeight="1">
      <c r="B631" s="766" t="s">
        <v>190</v>
      </c>
      <c r="C631" s="766"/>
      <c r="D631" s="84" t="s">
        <v>191</v>
      </c>
      <c r="E631" s="88">
        <v>0.32600000000000001</v>
      </c>
      <c r="F631" s="86" t="s">
        <v>1168</v>
      </c>
      <c r="G631" s="470">
        <f>$H$433</f>
        <v>12427</v>
      </c>
      <c r="H631" s="470">
        <f t="shared" si="131"/>
        <v>4051</v>
      </c>
      <c r="I631" s="470">
        <f>$J$433</f>
        <v>248546</v>
      </c>
      <c r="J631" s="470">
        <f t="shared" si="132"/>
        <v>81025</v>
      </c>
      <c r="K631" s="470">
        <f>$L$433</f>
        <v>0</v>
      </c>
      <c r="L631" s="470">
        <f t="shared" si="133"/>
        <v>0</v>
      </c>
      <c r="M631" s="470">
        <f t="shared" si="134"/>
        <v>260973</v>
      </c>
      <c r="N631" s="470">
        <f t="shared" si="134"/>
        <v>85076</v>
      </c>
      <c r="O631" s="462">
        <f>$P$430</f>
        <v>70</v>
      </c>
      <c r="P631" s="767"/>
    </row>
    <row r="632" spans="2:17" ht="15.2" customHeight="1">
      <c r="B632" s="766" t="s">
        <v>1423</v>
      </c>
      <c r="C632" s="766"/>
      <c r="D632" s="84" t="s">
        <v>192</v>
      </c>
      <c r="E632" s="88">
        <v>0.32600000000000001</v>
      </c>
      <c r="F632" s="86" t="s">
        <v>1168</v>
      </c>
      <c r="G632" s="470"/>
      <c r="H632" s="470">
        <f t="shared" si="131"/>
        <v>0</v>
      </c>
      <c r="I632" s="470">
        <f>운반비!$I$8</f>
        <v>9951</v>
      </c>
      <c r="J632" s="470">
        <f t="shared" si="132"/>
        <v>3244</v>
      </c>
      <c r="K632" s="470"/>
      <c r="L632" s="470">
        <f t="shared" si="133"/>
        <v>0</v>
      </c>
      <c r="M632" s="470">
        <f t="shared" si="134"/>
        <v>9951</v>
      </c>
      <c r="N632" s="470">
        <f t="shared" si="134"/>
        <v>3244</v>
      </c>
      <c r="O632" s="457"/>
      <c r="P632" s="767"/>
    </row>
    <row r="633" spans="2:17" ht="15.2" customHeight="1">
      <c r="B633" s="766" t="s">
        <v>1796</v>
      </c>
      <c r="C633" s="766"/>
      <c r="D633" s="84" t="s">
        <v>193</v>
      </c>
      <c r="E633" s="88">
        <v>0.32600000000000001</v>
      </c>
      <c r="F633" s="86" t="s">
        <v>1168</v>
      </c>
      <c r="G633" s="470">
        <f>$H$40</f>
        <v>302610</v>
      </c>
      <c r="H633" s="470">
        <f t="shared" si="131"/>
        <v>98650</v>
      </c>
      <c r="I633" s="470">
        <f>$J$40</f>
        <v>305706</v>
      </c>
      <c r="J633" s="470">
        <f t="shared" si="132"/>
        <v>99660</v>
      </c>
      <c r="K633" s="470">
        <f>$L$40</f>
        <v>8398</v>
      </c>
      <c r="L633" s="470">
        <f t="shared" si="133"/>
        <v>2737</v>
      </c>
      <c r="M633" s="470">
        <f>G633+I633+K633</f>
        <v>616714</v>
      </c>
      <c r="N633" s="470">
        <f>H633+J633+L633</f>
        <v>201047</v>
      </c>
      <c r="O633" s="462">
        <f>$P$34</f>
        <v>6</v>
      </c>
      <c r="P633" s="767"/>
    </row>
    <row r="634" spans="2:17" s="520" customFormat="1" ht="15.2" customHeight="1">
      <c r="B634" s="766" t="s">
        <v>3342</v>
      </c>
      <c r="C634" s="766"/>
      <c r="D634" s="84"/>
      <c r="E634" s="88">
        <v>1.3169999999999999</v>
      </c>
      <c r="F634" s="86" t="s">
        <v>3343</v>
      </c>
      <c r="G634" s="470">
        <f>$H$2253</f>
        <v>23200</v>
      </c>
      <c r="H634" s="470">
        <f t="shared" si="131"/>
        <v>30554</v>
      </c>
      <c r="I634" s="470">
        <f>$J$2253</f>
        <v>13412</v>
      </c>
      <c r="J634" s="470">
        <f t="shared" si="132"/>
        <v>17663</v>
      </c>
      <c r="K634" s="470">
        <f>$L$2253</f>
        <v>0</v>
      </c>
      <c r="L634" s="470">
        <f t="shared" si="133"/>
        <v>0</v>
      </c>
      <c r="M634" s="470">
        <f t="shared" si="134"/>
        <v>36612</v>
      </c>
      <c r="N634" s="470">
        <f t="shared" si="134"/>
        <v>48217</v>
      </c>
      <c r="O634" s="457"/>
      <c r="P634" s="767"/>
    </row>
    <row r="635" spans="2:17" ht="15.2" customHeight="1">
      <c r="B635" s="766" t="s">
        <v>1162</v>
      </c>
      <c r="C635" s="766"/>
      <c r="D635" s="84"/>
      <c r="E635" s="87">
        <v>1</v>
      </c>
      <c r="F635" s="86" t="s">
        <v>1163</v>
      </c>
      <c r="G635" s="470"/>
      <c r="H635" s="470">
        <f t="shared" si="131"/>
        <v>0</v>
      </c>
      <c r="I635" s="470">
        <f>SUMIF('노임(2015)'!$B$4:$B$87,B635,'노임(2015)'!$C$4:$C$87)+SUMIF('노임(2015)'!$E$4:$E$87,B635,'노임(2015)'!$F$4:$F$87)</f>
        <v>89566</v>
      </c>
      <c r="J635" s="470">
        <f t="shared" si="132"/>
        <v>89566</v>
      </c>
      <c r="K635" s="470"/>
      <c r="L635" s="470">
        <f t="shared" si="133"/>
        <v>0</v>
      </c>
      <c r="M635" s="470">
        <f t="shared" si="134"/>
        <v>89566</v>
      </c>
      <c r="N635" s="470">
        <f t="shared" si="134"/>
        <v>89566</v>
      </c>
      <c r="O635" s="457"/>
      <c r="P635" s="767"/>
    </row>
    <row r="636" spans="2:17" ht="15.2" customHeight="1">
      <c r="B636" s="766" t="s">
        <v>855</v>
      </c>
      <c r="C636" s="766"/>
      <c r="D636" s="84"/>
      <c r="E636" s="87"/>
      <c r="F636" s="86"/>
      <c r="G636" s="470"/>
      <c r="H636" s="470">
        <f>SUM(H630:H635)</f>
        <v>136572</v>
      </c>
      <c r="I636" s="470"/>
      <c r="J636" s="470">
        <f>SUM(J630:J635)</f>
        <v>296671</v>
      </c>
      <c r="K636" s="470"/>
      <c r="L636" s="470">
        <f>SUM(L630:L635)</f>
        <v>2882</v>
      </c>
      <c r="M636" s="470"/>
      <c r="N636" s="470">
        <f>SUM(N630:N635)</f>
        <v>436125</v>
      </c>
      <c r="O636" s="457"/>
      <c r="P636" s="767"/>
      <c r="Q636" s="80" t="s">
        <v>3244</v>
      </c>
    </row>
    <row r="637" spans="2:17" ht="15.2" customHeight="1">
      <c r="B637" s="96">
        <f>P637</f>
        <v>125</v>
      </c>
      <c r="C637" s="770" t="s">
        <v>4016</v>
      </c>
      <c r="D637" s="770"/>
      <c r="E637" s="770"/>
      <c r="F637" s="771"/>
      <c r="G637" s="470"/>
      <c r="H637" s="470"/>
      <c r="I637" s="470"/>
      <c r="J637" s="470"/>
      <c r="K637" s="470"/>
      <c r="L637" s="470"/>
      <c r="M637" s="470"/>
      <c r="N637" s="470"/>
      <c r="O637" s="457"/>
      <c r="P637" s="767">
        <f>MAX($P$5:P636)+1</f>
        <v>125</v>
      </c>
      <c r="Q637" s="80" t="s">
        <v>3243</v>
      </c>
    </row>
    <row r="638" spans="2:17" ht="15.2" customHeight="1">
      <c r="B638" s="766" t="s">
        <v>189</v>
      </c>
      <c r="C638" s="766"/>
      <c r="D638" s="84"/>
      <c r="E638" s="87">
        <v>4.4000000000000004</v>
      </c>
      <c r="F638" s="86" t="s">
        <v>1190</v>
      </c>
      <c r="G638" s="470">
        <f>$H$321</f>
        <v>754</v>
      </c>
      <c r="H638" s="470">
        <f t="shared" ref="H638:H643" si="135">TRUNC(E638*G638,0)</f>
        <v>3317</v>
      </c>
      <c r="I638" s="470">
        <f>$J$321</f>
        <v>1253</v>
      </c>
      <c r="J638" s="470">
        <f t="shared" ref="J638:J643" si="136">TRUNC(I638*E638,0)</f>
        <v>5513</v>
      </c>
      <c r="K638" s="470">
        <f>$L$321</f>
        <v>33</v>
      </c>
      <c r="L638" s="470">
        <f t="shared" ref="L638:L643" si="137">TRUNC(K638*E638,0)</f>
        <v>145</v>
      </c>
      <c r="M638" s="470">
        <f t="shared" ref="M638:N643" si="138">G638+I638+K638</f>
        <v>2040</v>
      </c>
      <c r="N638" s="470">
        <f t="shared" si="138"/>
        <v>8975</v>
      </c>
      <c r="O638" s="462">
        <f>$P$315</f>
        <v>47</v>
      </c>
      <c r="P638" s="767"/>
    </row>
    <row r="639" spans="2:17" ht="15.2" customHeight="1">
      <c r="B639" s="766" t="s">
        <v>190</v>
      </c>
      <c r="C639" s="766"/>
      <c r="D639" s="84" t="s">
        <v>191</v>
      </c>
      <c r="E639" s="87">
        <v>0.24</v>
      </c>
      <c r="F639" s="86" t="s">
        <v>1168</v>
      </c>
      <c r="G639" s="470">
        <f>$H$433</f>
        <v>12427</v>
      </c>
      <c r="H639" s="470">
        <f t="shared" si="135"/>
        <v>2982</v>
      </c>
      <c r="I639" s="470">
        <f>$J$433</f>
        <v>248546</v>
      </c>
      <c r="J639" s="470">
        <f t="shared" si="136"/>
        <v>59651</v>
      </c>
      <c r="K639" s="470">
        <f>$L$433</f>
        <v>0</v>
      </c>
      <c r="L639" s="470">
        <f t="shared" si="137"/>
        <v>0</v>
      </c>
      <c r="M639" s="470">
        <f t="shared" si="138"/>
        <v>260973</v>
      </c>
      <c r="N639" s="470">
        <f t="shared" si="138"/>
        <v>62633</v>
      </c>
      <c r="O639" s="462">
        <f>$P$430</f>
        <v>70</v>
      </c>
      <c r="P639" s="767"/>
    </row>
    <row r="640" spans="2:17" ht="15.2" customHeight="1">
      <c r="B640" s="766" t="s">
        <v>1423</v>
      </c>
      <c r="C640" s="766"/>
      <c r="D640" s="84" t="s">
        <v>192</v>
      </c>
      <c r="E640" s="87">
        <v>0.24</v>
      </c>
      <c r="F640" s="86" t="s">
        <v>1168</v>
      </c>
      <c r="G640" s="470"/>
      <c r="H640" s="470">
        <f t="shared" si="135"/>
        <v>0</v>
      </c>
      <c r="I640" s="470">
        <f>운반비!$I$8</f>
        <v>9951</v>
      </c>
      <c r="J640" s="470">
        <f t="shared" si="136"/>
        <v>2388</v>
      </c>
      <c r="K640" s="470"/>
      <c r="L640" s="470">
        <f t="shared" si="137"/>
        <v>0</v>
      </c>
      <c r="M640" s="470">
        <f t="shared" si="138"/>
        <v>9951</v>
      </c>
      <c r="N640" s="470">
        <f t="shared" si="138"/>
        <v>2388</v>
      </c>
      <c r="O640" s="457"/>
      <c r="P640" s="767"/>
    </row>
    <row r="641" spans="2:17" ht="15.2" customHeight="1">
      <c r="B641" s="768" t="s">
        <v>1796</v>
      </c>
      <c r="C641" s="769"/>
      <c r="D641" s="84" t="s">
        <v>193</v>
      </c>
      <c r="E641" s="87">
        <v>0.24</v>
      </c>
      <c r="F641" s="86" t="s">
        <v>1168</v>
      </c>
      <c r="G641" s="470">
        <f>$H$40</f>
        <v>302610</v>
      </c>
      <c r="H641" s="470">
        <f t="shared" si="135"/>
        <v>72626</v>
      </c>
      <c r="I641" s="470">
        <f>$J$40</f>
        <v>305706</v>
      </c>
      <c r="J641" s="470">
        <f t="shared" si="136"/>
        <v>73369</v>
      </c>
      <c r="K641" s="470">
        <f>$L$40</f>
        <v>8398</v>
      </c>
      <c r="L641" s="470">
        <f t="shared" si="137"/>
        <v>2015</v>
      </c>
      <c r="M641" s="470">
        <f t="shared" si="138"/>
        <v>616714</v>
      </c>
      <c r="N641" s="470">
        <f t="shared" si="138"/>
        <v>148010</v>
      </c>
      <c r="O641" s="462">
        <f>$P$34</f>
        <v>6</v>
      </c>
      <c r="P641" s="767"/>
    </row>
    <row r="642" spans="2:17" ht="15.2" customHeight="1">
      <c r="B642" s="766" t="s">
        <v>3342</v>
      </c>
      <c r="C642" s="766"/>
      <c r="D642" s="84"/>
      <c r="E642" s="88">
        <v>1.3</v>
      </c>
      <c r="F642" s="86" t="s">
        <v>3343</v>
      </c>
      <c r="G642" s="470">
        <f>$H$2253</f>
        <v>23200</v>
      </c>
      <c r="H642" s="470">
        <f t="shared" si="135"/>
        <v>30160</v>
      </c>
      <c r="I642" s="470">
        <f>$J$2253</f>
        <v>13412</v>
      </c>
      <c r="J642" s="470">
        <f t="shared" si="136"/>
        <v>17435</v>
      </c>
      <c r="K642" s="470">
        <f>$L$2253</f>
        <v>0</v>
      </c>
      <c r="L642" s="470">
        <f t="shared" si="137"/>
        <v>0</v>
      </c>
      <c r="M642" s="470">
        <f t="shared" si="138"/>
        <v>36612</v>
      </c>
      <c r="N642" s="470">
        <f t="shared" si="138"/>
        <v>47595</v>
      </c>
      <c r="O642" s="457"/>
      <c r="P642" s="767"/>
    </row>
    <row r="643" spans="2:17" ht="15.2" customHeight="1">
      <c r="B643" s="766" t="s">
        <v>1162</v>
      </c>
      <c r="C643" s="766"/>
      <c r="D643" s="84"/>
      <c r="E643" s="87">
        <v>1</v>
      </c>
      <c r="F643" s="86" t="s">
        <v>1163</v>
      </c>
      <c r="G643" s="470"/>
      <c r="H643" s="470">
        <f t="shared" si="135"/>
        <v>0</v>
      </c>
      <c r="I643" s="470">
        <f>SUMIF('노임(2015)'!$B$4:$B$87,B643,'노임(2015)'!$C$4:$C$87)+SUMIF('노임(2015)'!$E$4:$E$87,B643,'노임(2015)'!$F$4:$F$87)</f>
        <v>89566</v>
      </c>
      <c r="J643" s="470">
        <f t="shared" si="136"/>
        <v>89566</v>
      </c>
      <c r="K643" s="470"/>
      <c r="L643" s="470">
        <f t="shared" si="137"/>
        <v>0</v>
      </c>
      <c r="M643" s="470">
        <f t="shared" si="138"/>
        <v>89566</v>
      </c>
      <c r="N643" s="470">
        <f t="shared" si="138"/>
        <v>89566</v>
      </c>
      <c r="O643" s="457"/>
      <c r="P643" s="767"/>
    </row>
    <row r="644" spans="2:17" ht="15.2" customHeight="1">
      <c r="B644" s="766" t="s">
        <v>855</v>
      </c>
      <c r="C644" s="766"/>
      <c r="D644" s="84"/>
      <c r="E644" s="87"/>
      <c r="F644" s="86"/>
      <c r="G644" s="470"/>
      <c r="H644" s="470">
        <f>SUM(H638:H643)</f>
        <v>109085</v>
      </c>
      <c r="I644" s="470"/>
      <c r="J644" s="470">
        <f>SUM(J638:J643)</f>
        <v>247922</v>
      </c>
      <c r="K644" s="470"/>
      <c r="L644" s="470">
        <f>SUM(L638:L643)</f>
        <v>2160</v>
      </c>
      <c r="M644" s="470"/>
      <c r="N644" s="470">
        <f>SUM(N638:N643)</f>
        <v>359167</v>
      </c>
      <c r="O644" s="457"/>
      <c r="P644" s="767"/>
      <c r="Q644" s="80" t="s">
        <v>3244</v>
      </c>
    </row>
    <row r="645" spans="2:17" ht="15.2" customHeight="1">
      <c r="B645" s="96">
        <f>P645</f>
        <v>126</v>
      </c>
      <c r="C645" s="770" t="s">
        <v>194</v>
      </c>
      <c r="D645" s="770"/>
      <c r="E645" s="770"/>
      <c r="F645" s="771"/>
      <c r="G645" s="470"/>
      <c r="H645" s="470"/>
      <c r="I645" s="470"/>
      <c r="J645" s="470"/>
      <c r="K645" s="470"/>
      <c r="L645" s="470"/>
      <c r="M645" s="470"/>
      <c r="N645" s="470"/>
      <c r="O645" s="457"/>
      <c r="P645" s="767">
        <f>MAX($P$5:P644)+1</f>
        <v>126</v>
      </c>
      <c r="Q645" s="80" t="s">
        <v>3243</v>
      </c>
    </row>
    <row r="646" spans="2:17" ht="15.2" customHeight="1">
      <c r="B646" s="766" t="s">
        <v>189</v>
      </c>
      <c r="C646" s="766"/>
      <c r="D646" s="84"/>
      <c r="E646" s="87">
        <v>2</v>
      </c>
      <c r="F646" s="86" t="s">
        <v>1190</v>
      </c>
      <c r="G646" s="470">
        <f>$H$321</f>
        <v>754</v>
      </c>
      <c r="H646" s="470">
        <f t="shared" ref="H646:H651" si="139">TRUNC(E646*G646,0)</f>
        <v>1508</v>
      </c>
      <c r="I646" s="470">
        <f>$J$321</f>
        <v>1253</v>
      </c>
      <c r="J646" s="470">
        <f t="shared" ref="J646:J651" si="140">TRUNC(I646*E646,0)</f>
        <v>2506</v>
      </c>
      <c r="K646" s="470">
        <f>$L$321</f>
        <v>33</v>
      </c>
      <c r="L646" s="470">
        <f t="shared" ref="L646:L651" si="141">TRUNC(K646*E646,0)</f>
        <v>66</v>
      </c>
      <c r="M646" s="470">
        <f t="shared" ref="M646:N651" si="142">G646+I646+K646</f>
        <v>2040</v>
      </c>
      <c r="N646" s="470">
        <f t="shared" si="142"/>
        <v>4080</v>
      </c>
      <c r="O646" s="462">
        <f>$P$315</f>
        <v>47</v>
      </c>
      <c r="P646" s="767"/>
    </row>
    <row r="647" spans="2:17" ht="15.2" customHeight="1">
      <c r="B647" s="766" t="s">
        <v>190</v>
      </c>
      <c r="C647" s="766"/>
      <c r="D647" s="84" t="s">
        <v>191</v>
      </c>
      <c r="E647" s="88">
        <v>4.2999999999999997E-2</v>
      </c>
      <c r="F647" s="86" t="s">
        <v>1168</v>
      </c>
      <c r="G647" s="470">
        <f>$H$433</f>
        <v>12427</v>
      </c>
      <c r="H647" s="470">
        <f t="shared" si="139"/>
        <v>534</v>
      </c>
      <c r="I647" s="470">
        <f>$J$433</f>
        <v>248546</v>
      </c>
      <c r="J647" s="470">
        <f t="shared" si="140"/>
        <v>10687</v>
      </c>
      <c r="K647" s="470">
        <f>$L$433</f>
        <v>0</v>
      </c>
      <c r="L647" s="470">
        <f t="shared" si="141"/>
        <v>0</v>
      </c>
      <c r="M647" s="470">
        <f t="shared" si="142"/>
        <v>260973</v>
      </c>
      <c r="N647" s="470">
        <f t="shared" si="142"/>
        <v>11221</v>
      </c>
      <c r="O647" s="462">
        <f>$P$430</f>
        <v>70</v>
      </c>
      <c r="P647" s="767"/>
    </row>
    <row r="648" spans="2:17" ht="15.2" customHeight="1">
      <c r="B648" s="766" t="s">
        <v>1423</v>
      </c>
      <c r="C648" s="766"/>
      <c r="D648" s="84" t="s">
        <v>192</v>
      </c>
      <c r="E648" s="88">
        <v>4.2999999999999997E-2</v>
      </c>
      <c r="F648" s="86" t="s">
        <v>1168</v>
      </c>
      <c r="G648" s="470"/>
      <c r="H648" s="470">
        <f t="shared" si="139"/>
        <v>0</v>
      </c>
      <c r="I648" s="470">
        <f>운반비!$I$8</f>
        <v>9951</v>
      </c>
      <c r="J648" s="470">
        <f t="shared" si="140"/>
        <v>427</v>
      </c>
      <c r="K648" s="470"/>
      <c r="L648" s="470">
        <f t="shared" si="141"/>
        <v>0</v>
      </c>
      <c r="M648" s="470">
        <f t="shared" si="142"/>
        <v>9951</v>
      </c>
      <c r="N648" s="470">
        <f t="shared" si="142"/>
        <v>427</v>
      </c>
      <c r="O648" s="457"/>
      <c r="P648" s="767"/>
    </row>
    <row r="649" spans="2:17" ht="15.2" customHeight="1">
      <c r="B649" s="768" t="s">
        <v>1796</v>
      </c>
      <c r="C649" s="769"/>
      <c r="D649" s="84" t="s">
        <v>193</v>
      </c>
      <c r="E649" s="88">
        <v>4.2999999999999997E-2</v>
      </c>
      <c r="F649" s="86" t="s">
        <v>1168</v>
      </c>
      <c r="G649" s="470">
        <f>$H$40</f>
        <v>302610</v>
      </c>
      <c r="H649" s="470">
        <f t="shared" si="139"/>
        <v>13012</v>
      </c>
      <c r="I649" s="470">
        <f>$J$40</f>
        <v>305706</v>
      </c>
      <c r="J649" s="470">
        <f t="shared" si="140"/>
        <v>13145</v>
      </c>
      <c r="K649" s="470">
        <f>$L$40</f>
        <v>8398</v>
      </c>
      <c r="L649" s="470">
        <f t="shared" si="141"/>
        <v>361</v>
      </c>
      <c r="M649" s="470">
        <f t="shared" si="142"/>
        <v>616714</v>
      </c>
      <c r="N649" s="470">
        <f t="shared" si="142"/>
        <v>26518</v>
      </c>
      <c r="O649" s="462">
        <f>$P$34</f>
        <v>6</v>
      </c>
      <c r="P649" s="767"/>
    </row>
    <row r="650" spans="2:17" ht="15.2" customHeight="1">
      <c r="B650" s="766" t="s">
        <v>3342</v>
      </c>
      <c r="C650" s="766"/>
      <c r="D650" s="84"/>
      <c r="E650" s="88">
        <v>0.17</v>
      </c>
      <c r="F650" s="86" t="s">
        <v>3343</v>
      </c>
      <c r="G650" s="470">
        <f>$H$2253</f>
        <v>23200</v>
      </c>
      <c r="H650" s="470">
        <f t="shared" si="139"/>
        <v>3944</v>
      </c>
      <c r="I650" s="470">
        <f>$J$2253</f>
        <v>13412</v>
      </c>
      <c r="J650" s="470">
        <f t="shared" si="140"/>
        <v>2280</v>
      </c>
      <c r="K650" s="470">
        <f>$L$2253</f>
        <v>0</v>
      </c>
      <c r="L650" s="470">
        <f t="shared" si="141"/>
        <v>0</v>
      </c>
      <c r="M650" s="470">
        <f t="shared" si="142"/>
        <v>36612</v>
      </c>
      <c r="N650" s="470">
        <f t="shared" si="142"/>
        <v>6224</v>
      </c>
      <c r="O650" s="457"/>
      <c r="P650" s="767"/>
    </row>
    <row r="651" spans="2:17" ht="15.2" customHeight="1">
      <c r="B651" s="766" t="s">
        <v>1162</v>
      </c>
      <c r="C651" s="766"/>
      <c r="D651" s="84"/>
      <c r="E651" s="87">
        <v>1</v>
      </c>
      <c r="F651" s="86" t="s">
        <v>1163</v>
      </c>
      <c r="G651" s="470"/>
      <c r="H651" s="470">
        <f t="shared" si="139"/>
        <v>0</v>
      </c>
      <c r="I651" s="470">
        <f>SUMIF('노임(2015)'!$B$4:$B$87,B651,'노임(2015)'!$C$4:$C$87)+SUMIF('노임(2015)'!$E$4:$E$87,B651,'노임(2015)'!$F$4:$F$87)</f>
        <v>89566</v>
      </c>
      <c r="J651" s="470">
        <f t="shared" si="140"/>
        <v>89566</v>
      </c>
      <c r="K651" s="470"/>
      <c r="L651" s="470">
        <f t="shared" si="141"/>
        <v>0</v>
      </c>
      <c r="M651" s="470">
        <f t="shared" si="142"/>
        <v>89566</v>
      </c>
      <c r="N651" s="470">
        <f t="shared" si="142"/>
        <v>89566</v>
      </c>
      <c r="O651" s="457"/>
      <c r="P651" s="767"/>
    </row>
    <row r="652" spans="2:17" ht="15.2" customHeight="1">
      <c r="B652" s="766" t="s">
        <v>855</v>
      </c>
      <c r="C652" s="766"/>
      <c r="D652" s="84"/>
      <c r="E652" s="87"/>
      <c r="F652" s="86"/>
      <c r="G652" s="470"/>
      <c r="H652" s="470">
        <f>SUM(H646:H651)</f>
        <v>18998</v>
      </c>
      <c r="I652" s="470"/>
      <c r="J652" s="470">
        <f>SUM(J646:J651)</f>
        <v>118611</v>
      </c>
      <c r="K652" s="470"/>
      <c r="L652" s="470">
        <f>SUM(L646:L651)</f>
        <v>427</v>
      </c>
      <c r="M652" s="470"/>
      <c r="N652" s="470">
        <f>SUM(N646:N651)</f>
        <v>138036</v>
      </c>
      <c r="O652" s="457"/>
      <c r="P652" s="767"/>
      <c r="Q652" s="80" t="s">
        <v>3244</v>
      </c>
    </row>
    <row r="653" spans="2:17" ht="15.2" customHeight="1">
      <c r="B653" s="96">
        <f>P653</f>
        <v>127</v>
      </c>
      <c r="C653" s="770" t="s">
        <v>195</v>
      </c>
      <c r="D653" s="770"/>
      <c r="E653" s="770"/>
      <c r="F653" s="771"/>
      <c r="G653" s="470"/>
      <c r="H653" s="470"/>
      <c r="I653" s="470"/>
      <c r="J653" s="470"/>
      <c r="K653" s="470"/>
      <c r="L653" s="470"/>
      <c r="M653" s="470"/>
      <c r="N653" s="470"/>
      <c r="O653" s="457"/>
      <c r="P653" s="767">
        <f>MAX($P$5:P652)+1</f>
        <v>127</v>
      </c>
      <c r="Q653" s="80" t="s">
        <v>3243</v>
      </c>
    </row>
    <row r="654" spans="2:17" ht="15.2" customHeight="1">
      <c r="B654" s="766" t="s">
        <v>189</v>
      </c>
      <c r="C654" s="766"/>
      <c r="D654" s="84"/>
      <c r="E654" s="87">
        <v>6.4</v>
      </c>
      <c r="F654" s="86" t="s">
        <v>1190</v>
      </c>
      <c r="G654" s="470">
        <f>$H$321</f>
        <v>754</v>
      </c>
      <c r="H654" s="470">
        <f t="shared" ref="H654:H659" si="143">TRUNC(E654*G654,0)</f>
        <v>4825</v>
      </c>
      <c r="I654" s="470">
        <f>$J$321</f>
        <v>1253</v>
      </c>
      <c r="J654" s="470">
        <f t="shared" ref="J654:J659" si="144">TRUNC(I654*E654,0)</f>
        <v>8019</v>
      </c>
      <c r="K654" s="470">
        <f>$L$321</f>
        <v>33</v>
      </c>
      <c r="L654" s="470">
        <f t="shared" ref="L654:L659" si="145">TRUNC(K654*E654,0)</f>
        <v>211</v>
      </c>
      <c r="M654" s="470">
        <f t="shared" ref="M654:N659" si="146">G654+I654+K654</f>
        <v>2040</v>
      </c>
      <c r="N654" s="470">
        <f t="shared" si="146"/>
        <v>13055</v>
      </c>
      <c r="O654" s="462">
        <f>$P$315</f>
        <v>47</v>
      </c>
      <c r="P654" s="767"/>
    </row>
    <row r="655" spans="2:17" ht="15.2" customHeight="1">
      <c r="B655" s="766" t="s">
        <v>190</v>
      </c>
      <c r="C655" s="766"/>
      <c r="D655" s="84" t="s">
        <v>191</v>
      </c>
      <c r="E655" s="88">
        <v>0.35399999999999998</v>
      </c>
      <c r="F655" s="86" t="s">
        <v>1168</v>
      </c>
      <c r="G655" s="470">
        <f>$H$433</f>
        <v>12427</v>
      </c>
      <c r="H655" s="470">
        <f t="shared" si="143"/>
        <v>4399</v>
      </c>
      <c r="I655" s="470">
        <f>$J$433</f>
        <v>248546</v>
      </c>
      <c r="J655" s="470">
        <f t="shared" si="144"/>
        <v>87985</v>
      </c>
      <c r="K655" s="470">
        <f>$L$433</f>
        <v>0</v>
      </c>
      <c r="L655" s="470">
        <f t="shared" si="145"/>
        <v>0</v>
      </c>
      <c r="M655" s="470">
        <f t="shared" si="146"/>
        <v>260973</v>
      </c>
      <c r="N655" s="470">
        <f t="shared" si="146"/>
        <v>92384</v>
      </c>
      <c r="O655" s="462">
        <f>$P$430</f>
        <v>70</v>
      </c>
      <c r="P655" s="767"/>
    </row>
    <row r="656" spans="2:17" ht="15.2" customHeight="1">
      <c r="B656" s="766" t="s">
        <v>1423</v>
      </c>
      <c r="C656" s="766"/>
      <c r="D656" s="84" t="s">
        <v>192</v>
      </c>
      <c r="E656" s="88">
        <v>0.35399999999999998</v>
      </c>
      <c r="F656" s="86" t="s">
        <v>1168</v>
      </c>
      <c r="G656" s="470"/>
      <c r="H656" s="470">
        <f t="shared" si="143"/>
        <v>0</v>
      </c>
      <c r="I656" s="470">
        <f>운반비!$I$8</f>
        <v>9951</v>
      </c>
      <c r="J656" s="470">
        <f t="shared" si="144"/>
        <v>3522</v>
      </c>
      <c r="K656" s="470"/>
      <c r="L656" s="470">
        <f t="shared" si="145"/>
        <v>0</v>
      </c>
      <c r="M656" s="470">
        <f t="shared" si="146"/>
        <v>9951</v>
      </c>
      <c r="N656" s="470">
        <f t="shared" si="146"/>
        <v>3522</v>
      </c>
      <c r="O656" s="457"/>
      <c r="P656" s="767"/>
    </row>
    <row r="657" spans="2:17" ht="15.2" customHeight="1">
      <c r="B657" s="768" t="s">
        <v>1796</v>
      </c>
      <c r="C657" s="769"/>
      <c r="D657" s="84" t="s">
        <v>193</v>
      </c>
      <c r="E657" s="88">
        <v>0.35399999999999998</v>
      </c>
      <c r="F657" s="86" t="s">
        <v>1168</v>
      </c>
      <c r="G657" s="470">
        <f>$H$40</f>
        <v>302610</v>
      </c>
      <c r="H657" s="470">
        <f t="shared" si="143"/>
        <v>107123</v>
      </c>
      <c r="I657" s="470">
        <f>$J$40</f>
        <v>305706</v>
      </c>
      <c r="J657" s="470">
        <f t="shared" si="144"/>
        <v>108219</v>
      </c>
      <c r="K657" s="470">
        <f>$L$40</f>
        <v>8398</v>
      </c>
      <c r="L657" s="470">
        <f t="shared" si="145"/>
        <v>2972</v>
      </c>
      <c r="M657" s="470">
        <f t="shared" si="146"/>
        <v>616714</v>
      </c>
      <c r="N657" s="470">
        <f t="shared" si="146"/>
        <v>218314</v>
      </c>
      <c r="O657" s="462">
        <f>$P$34</f>
        <v>6</v>
      </c>
      <c r="P657" s="767"/>
    </row>
    <row r="658" spans="2:17" ht="15.2" customHeight="1">
      <c r="B658" s="766" t="s">
        <v>3342</v>
      </c>
      <c r="C658" s="766"/>
      <c r="D658" s="84"/>
      <c r="E658" s="88">
        <v>1.4970000000000001</v>
      </c>
      <c r="F658" s="86" t="s">
        <v>3343</v>
      </c>
      <c r="G658" s="470">
        <f>$H$2253</f>
        <v>23200</v>
      </c>
      <c r="H658" s="470">
        <f t="shared" si="143"/>
        <v>34730</v>
      </c>
      <c r="I658" s="470">
        <f>$J$2253</f>
        <v>13412</v>
      </c>
      <c r="J658" s="470">
        <f t="shared" si="144"/>
        <v>20077</v>
      </c>
      <c r="K658" s="470">
        <f>$L$2253</f>
        <v>0</v>
      </c>
      <c r="L658" s="470">
        <f t="shared" si="145"/>
        <v>0</v>
      </c>
      <c r="M658" s="470">
        <f t="shared" si="146"/>
        <v>36612</v>
      </c>
      <c r="N658" s="470">
        <f t="shared" si="146"/>
        <v>54807</v>
      </c>
      <c r="O658" s="457"/>
      <c r="P658" s="767"/>
    </row>
    <row r="659" spans="2:17" ht="15.2" customHeight="1">
      <c r="B659" s="766" t="s">
        <v>1162</v>
      </c>
      <c r="C659" s="766"/>
      <c r="D659" s="84"/>
      <c r="E659" s="87">
        <v>1</v>
      </c>
      <c r="F659" s="86" t="s">
        <v>1163</v>
      </c>
      <c r="G659" s="470"/>
      <c r="H659" s="470">
        <f t="shared" si="143"/>
        <v>0</v>
      </c>
      <c r="I659" s="470">
        <f>SUMIF('노임(2015)'!$B$4:$B$87,B659,'노임(2015)'!$C$4:$C$87)+SUMIF('노임(2015)'!$E$4:$E$87,B659,'노임(2015)'!$F$4:$F$87)</f>
        <v>89566</v>
      </c>
      <c r="J659" s="470">
        <f t="shared" si="144"/>
        <v>89566</v>
      </c>
      <c r="K659" s="470"/>
      <c r="L659" s="470">
        <f t="shared" si="145"/>
        <v>0</v>
      </c>
      <c r="M659" s="470">
        <f t="shared" si="146"/>
        <v>89566</v>
      </c>
      <c r="N659" s="470">
        <f t="shared" si="146"/>
        <v>89566</v>
      </c>
      <c r="O659" s="457"/>
      <c r="P659" s="767"/>
    </row>
    <row r="660" spans="2:17" ht="15.2" customHeight="1">
      <c r="B660" s="766" t="s">
        <v>855</v>
      </c>
      <c r="C660" s="766"/>
      <c r="D660" s="84"/>
      <c r="E660" s="87"/>
      <c r="F660" s="86"/>
      <c r="G660" s="470"/>
      <c r="H660" s="470">
        <f>SUM(H654:H659)</f>
        <v>151077</v>
      </c>
      <c r="I660" s="470"/>
      <c r="J660" s="470">
        <f>SUM(J654:J659)</f>
        <v>317388</v>
      </c>
      <c r="K660" s="470"/>
      <c r="L660" s="470">
        <f>SUM(L654:L659)</f>
        <v>3183</v>
      </c>
      <c r="M660" s="470"/>
      <c r="N660" s="470">
        <f>SUM(N654:N659)</f>
        <v>471648</v>
      </c>
      <c r="O660" s="457"/>
      <c r="P660" s="767"/>
      <c r="Q660" s="80" t="s">
        <v>3244</v>
      </c>
    </row>
    <row r="661" spans="2:17" ht="15.2" customHeight="1">
      <c r="B661" s="96">
        <f>P661</f>
        <v>128</v>
      </c>
      <c r="C661" s="770" t="s">
        <v>196</v>
      </c>
      <c r="D661" s="770"/>
      <c r="E661" s="770"/>
      <c r="F661" s="771"/>
      <c r="G661" s="470"/>
      <c r="H661" s="470"/>
      <c r="I661" s="470"/>
      <c r="J661" s="470"/>
      <c r="K661" s="470"/>
      <c r="L661" s="470"/>
      <c r="M661" s="470"/>
      <c r="N661" s="470"/>
      <c r="O661" s="457"/>
      <c r="P661" s="767">
        <f>MAX($P$5:P660)+1</f>
        <v>128</v>
      </c>
      <c r="Q661" s="80" t="s">
        <v>3243</v>
      </c>
    </row>
    <row r="662" spans="2:17" ht="15.2" customHeight="1">
      <c r="B662" s="766" t="s">
        <v>189</v>
      </c>
      <c r="C662" s="766"/>
      <c r="D662" s="84"/>
      <c r="E662" s="87">
        <v>4.4000000000000004</v>
      </c>
      <c r="F662" s="86" t="s">
        <v>1190</v>
      </c>
      <c r="G662" s="470">
        <f>$H$321</f>
        <v>754</v>
      </c>
      <c r="H662" s="470">
        <f t="shared" ref="H662:H667" si="147">TRUNC(E662*G662,0)</f>
        <v>3317</v>
      </c>
      <c r="I662" s="470">
        <f>$J$321</f>
        <v>1253</v>
      </c>
      <c r="J662" s="470">
        <f t="shared" ref="J662:J667" si="148">TRUNC(I662*E662,0)</f>
        <v>5513</v>
      </c>
      <c r="K662" s="470">
        <f>$L$321</f>
        <v>33</v>
      </c>
      <c r="L662" s="470">
        <f t="shared" ref="L662:L667" si="149">TRUNC(K662*E662,0)</f>
        <v>145</v>
      </c>
      <c r="M662" s="470">
        <f t="shared" ref="M662:N667" si="150">G662+I662+K662</f>
        <v>2040</v>
      </c>
      <c r="N662" s="470">
        <f t="shared" si="150"/>
        <v>8975</v>
      </c>
      <c r="O662" s="462">
        <f>$P$315</f>
        <v>47</v>
      </c>
      <c r="P662" s="767"/>
    </row>
    <row r="663" spans="2:17" ht="15.2" customHeight="1">
      <c r="B663" s="766" t="s">
        <v>190</v>
      </c>
      <c r="C663" s="766"/>
      <c r="D663" s="84" t="s">
        <v>191</v>
      </c>
      <c r="E663" s="88">
        <v>0.16400000000000001</v>
      </c>
      <c r="F663" s="86" t="s">
        <v>1168</v>
      </c>
      <c r="G663" s="470">
        <f>$H$433</f>
        <v>12427</v>
      </c>
      <c r="H663" s="470">
        <f t="shared" si="147"/>
        <v>2038</v>
      </c>
      <c r="I663" s="470">
        <f>$J$433</f>
        <v>248546</v>
      </c>
      <c r="J663" s="470">
        <f t="shared" si="148"/>
        <v>40761</v>
      </c>
      <c r="K663" s="470">
        <f>$L$433</f>
        <v>0</v>
      </c>
      <c r="L663" s="470">
        <f t="shared" si="149"/>
        <v>0</v>
      </c>
      <c r="M663" s="470">
        <f t="shared" si="150"/>
        <v>260973</v>
      </c>
      <c r="N663" s="470">
        <f t="shared" si="150"/>
        <v>42799</v>
      </c>
      <c r="O663" s="462">
        <f>$P$430</f>
        <v>70</v>
      </c>
      <c r="P663" s="767"/>
    </row>
    <row r="664" spans="2:17" ht="15.2" customHeight="1">
      <c r="B664" s="766" t="s">
        <v>1423</v>
      </c>
      <c r="C664" s="766"/>
      <c r="D664" s="84" t="s">
        <v>192</v>
      </c>
      <c r="E664" s="88">
        <v>0.16400000000000001</v>
      </c>
      <c r="F664" s="86" t="s">
        <v>1168</v>
      </c>
      <c r="G664" s="470"/>
      <c r="H664" s="470">
        <f t="shared" si="147"/>
        <v>0</v>
      </c>
      <c r="I664" s="470">
        <f>운반비!$I$8</f>
        <v>9951</v>
      </c>
      <c r="J664" s="470">
        <f t="shared" si="148"/>
        <v>1631</v>
      </c>
      <c r="K664" s="470"/>
      <c r="L664" s="470">
        <f t="shared" si="149"/>
        <v>0</v>
      </c>
      <c r="M664" s="470">
        <f t="shared" si="150"/>
        <v>9951</v>
      </c>
      <c r="N664" s="470">
        <f t="shared" si="150"/>
        <v>1631</v>
      </c>
      <c r="O664" s="457"/>
      <c r="P664" s="767"/>
    </row>
    <row r="665" spans="2:17" ht="15.2" customHeight="1">
      <c r="B665" s="766" t="s">
        <v>1796</v>
      </c>
      <c r="C665" s="766"/>
      <c r="D665" s="84" t="s">
        <v>193</v>
      </c>
      <c r="E665" s="88">
        <v>0.16400000000000001</v>
      </c>
      <c r="F665" s="86" t="s">
        <v>1168</v>
      </c>
      <c r="G665" s="470">
        <f>$H$40</f>
        <v>302610</v>
      </c>
      <c r="H665" s="470">
        <f t="shared" si="147"/>
        <v>49628</v>
      </c>
      <c r="I665" s="470">
        <f>$J$40</f>
        <v>305706</v>
      </c>
      <c r="J665" s="470">
        <f t="shared" si="148"/>
        <v>50135</v>
      </c>
      <c r="K665" s="470">
        <f>$L$40</f>
        <v>8398</v>
      </c>
      <c r="L665" s="470">
        <f t="shared" si="149"/>
        <v>1377</v>
      </c>
      <c r="M665" s="470">
        <f t="shared" si="150"/>
        <v>616714</v>
      </c>
      <c r="N665" s="470">
        <f t="shared" si="150"/>
        <v>101140</v>
      </c>
      <c r="O665" s="462">
        <f>$P$34</f>
        <v>6</v>
      </c>
      <c r="P665" s="767"/>
    </row>
    <row r="666" spans="2:17" ht="15.2" customHeight="1">
      <c r="B666" s="766" t="s">
        <v>3342</v>
      </c>
      <c r="C666" s="766"/>
      <c r="D666" s="84"/>
      <c r="E666" s="88">
        <v>1.3049999999999999</v>
      </c>
      <c r="F666" s="86" t="s">
        <v>3343</v>
      </c>
      <c r="G666" s="470">
        <f>$H$2253</f>
        <v>23200</v>
      </c>
      <c r="H666" s="470">
        <f t="shared" si="147"/>
        <v>30276</v>
      </c>
      <c r="I666" s="470">
        <f>$J$2253</f>
        <v>13412</v>
      </c>
      <c r="J666" s="470">
        <f t="shared" si="148"/>
        <v>17502</v>
      </c>
      <c r="K666" s="470">
        <f>$L$2253</f>
        <v>0</v>
      </c>
      <c r="L666" s="470">
        <f t="shared" si="149"/>
        <v>0</v>
      </c>
      <c r="M666" s="470">
        <f t="shared" si="150"/>
        <v>36612</v>
      </c>
      <c r="N666" s="470">
        <f t="shared" si="150"/>
        <v>47778</v>
      </c>
      <c r="O666" s="457"/>
      <c r="P666" s="767"/>
    </row>
    <row r="667" spans="2:17" ht="15.2" customHeight="1">
      <c r="B667" s="766" t="s">
        <v>1162</v>
      </c>
      <c r="C667" s="766"/>
      <c r="D667" s="84"/>
      <c r="E667" s="87">
        <v>1</v>
      </c>
      <c r="F667" s="86" t="s">
        <v>1163</v>
      </c>
      <c r="G667" s="470"/>
      <c r="H667" s="470">
        <f t="shared" si="147"/>
        <v>0</v>
      </c>
      <c r="I667" s="470">
        <f>SUMIF('노임(2015)'!$B$4:$B$87,B667,'노임(2015)'!$C$4:$C$87)+SUMIF('노임(2015)'!$E$4:$E$87,B667,'노임(2015)'!$F$4:$F$87)</f>
        <v>89566</v>
      </c>
      <c r="J667" s="470">
        <f t="shared" si="148"/>
        <v>89566</v>
      </c>
      <c r="K667" s="470"/>
      <c r="L667" s="470">
        <f t="shared" si="149"/>
        <v>0</v>
      </c>
      <c r="M667" s="470">
        <f t="shared" si="150"/>
        <v>89566</v>
      </c>
      <c r="N667" s="470">
        <f t="shared" si="150"/>
        <v>89566</v>
      </c>
      <c r="O667" s="457"/>
      <c r="P667" s="767"/>
    </row>
    <row r="668" spans="2:17" ht="15.2" customHeight="1">
      <c r="B668" s="766" t="s">
        <v>855</v>
      </c>
      <c r="C668" s="766"/>
      <c r="D668" s="84"/>
      <c r="E668" s="87"/>
      <c r="F668" s="86"/>
      <c r="G668" s="470"/>
      <c r="H668" s="470">
        <f>SUM(H662:H667)</f>
        <v>85259</v>
      </c>
      <c r="I668" s="470"/>
      <c r="J668" s="470">
        <f>SUM(J662:J667)</f>
        <v>205108</v>
      </c>
      <c r="K668" s="470"/>
      <c r="L668" s="470">
        <f>SUM(L662:L667)</f>
        <v>1522</v>
      </c>
      <c r="M668" s="470"/>
      <c r="N668" s="470">
        <f>SUM(N662:N667)</f>
        <v>291889</v>
      </c>
      <c r="O668" s="457"/>
      <c r="P668" s="767"/>
      <c r="Q668" s="80" t="s">
        <v>3244</v>
      </c>
    </row>
    <row r="669" spans="2:17" ht="15.2" customHeight="1">
      <c r="B669" s="96">
        <f>P669</f>
        <v>129</v>
      </c>
      <c r="C669" s="770" t="s">
        <v>197</v>
      </c>
      <c r="D669" s="770"/>
      <c r="E669" s="770"/>
      <c r="F669" s="771"/>
      <c r="G669" s="470"/>
      <c r="H669" s="470"/>
      <c r="I669" s="470"/>
      <c r="J669" s="470"/>
      <c r="K669" s="470"/>
      <c r="L669" s="470"/>
      <c r="M669" s="470"/>
      <c r="N669" s="470"/>
      <c r="O669" s="457"/>
      <c r="P669" s="767">
        <f>MAX($P$5:P668)+1</f>
        <v>129</v>
      </c>
      <c r="Q669" s="80" t="s">
        <v>3243</v>
      </c>
    </row>
    <row r="670" spans="2:17" ht="15.2" customHeight="1">
      <c r="B670" s="766" t="s">
        <v>189</v>
      </c>
      <c r="C670" s="766"/>
      <c r="D670" s="84"/>
      <c r="E670" s="87">
        <v>6.4</v>
      </c>
      <c r="F670" s="86" t="s">
        <v>1190</v>
      </c>
      <c r="G670" s="470">
        <f>$H$321</f>
        <v>754</v>
      </c>
      <c r="H670" s="470">
        <f t="shared" ref="H670:H675" si="151">TRUNC(E670*G670,0)</f>
        <v>4825</v>
      </c>
      <c r="I670" s="470">
        <f>$J$321</f>
        <v>1253</v>
      </c>
      <c r="J670" s="470">
        <f t="shared" ref="J670:J675" si="152">TRUNC(I670*E670,0)</f>
        <v>8019</v>
      </c>
      <c r="K670" s="470">
        <f>$L$321</f>
        <v>33</v>
      </c>
      <c r="L670" s="470">
        <f t="shared" ref="L670:L675" si="153">TRUNC(K670*E670,0)</f>
        <v>211</v>
      </c>
      <c r="M670" s="470">
        <f t="shared" ref="M670:N675" si="154">G670+I670+K670</f>
        <v>2040</v>
      </c>
      <c r="N670" s="470">
        <f t="shared" si="154"/>
        <v>13055</v>
      </c>
      <c r="O670" s="462">
        <f>$P$315</f>
        <v>47</v>
      </c>
      <c r="P670" s="767"/>
    </row>
    <row r="671" spans="2:17" ht="15.2" customHeight="1">
      <c r="B671" s="766" t="s">
        <v>190</v>
      </c>
      <c r="C671" s="766"/>
      <c r="D671" s="84" t="s">
        <v>191</v>
      </c>
      <c r="E671" s="87">
        <v>0.24</v>
      </c>
      <c r="F671" s="86" t="s">
        <v>1168</v>
      </c>
      <c r="G671" s="470">
        <f>$H$433</f>
        <v>12427</v>
      </c>
      <c r="H671" s="470">
        <f t="shared" si="151"/>
        <v>2982</v>
      </c>
      <c r="I671" s="470">
        <f>$J$433</f>
        <v>248546</v>
      </c>
      <c r="J671" s="470">
        <f t="shared" si="152"/>
        <v>59651</v>
      </c>
      <c r="K671" s="470">
        <f>$L$433</f>
        <v>0</v>
      </c>
      <c r="L671" s="470">
        <f t="shared" si="153"/>
        <v>0</v>
      </c>
      <c r="M671" s="470">
        <f t="shared" si="154"/>
        <v>260973</v>
      </c>
      <c r="N671" s="470">
        <f t="shared" si="154"/>
        <v>62633</v>
      </c>
      <c r="O671" s="462">
        <f>$P$430</f>
        <v>70</v>
      </c>
      <c r="P671" s="767"/>
    </row>
    <row r="672" spans="2:17" ht="15.2" customHeight="1">
      <c r="B672" s="766" t="s">
        <v>1423</v>
      </c>
      <c r="C672" s="766"/>
      <c r="D672" s="84" t="s">
        <v>192</v>
      </c>
      <c r="E672" s="87">
        <v>0.24</v>
      </c>
      <c r="F672" s="86" t="s">
        <v>1168</v>
      </c>
      <c r="G672" s="470"/>
      <c r="H672" s="470">
        <f t="shared" si="151"/>
        <v>0</v>
      </c>
      <c r="I672" s="470">
        <f>운반비!$I$8</f>
        <v>9951</v>
      </c>
      <c r="J672" s="470">
        <f t="shared" si="152"/>
        <v>2388</v>
      </c>
      <c r="K672" s="470"/>
      <c r="L672" s="470">
        <f t="shared" si="153"/>
        <v>0</v>
      </c>
      <c r="M672" s="470">
        <f t="shared" si="154"/>
        <v>9951</v>
      </c>
      <c r="N672" s="470">
        <f t="shared" si="154"/>
        <v>2388</v>
      </c>
      <c r="O672" s="457"/>
      <c r="P672" s="767"/>
    </row>
    <row r="673" spans="2:17" ht="15.2" customHeight="1">
      <c r="B673" s="766" t="s">
        <v>1796</v>
      </c>
      <c r="C673" s="766"/>
      <c r="D673" s="84" t="s">
        <v>193</v>
      </c>
      <c r="E673" s="87">
        <v>0.24</v>
      </c>
      <c r="F673" s="86" t="s">
        <v>1168</v>
      </c>
      <c r="G673" s="470">
        <f>$H$40</f>
        <v>302610</v>
      </c>
      <c r="H673" s="470">
        <f t="shared" si="151"/>
        <v>72626</v>
      </c>
      <c r="I673" s="470">
        <f>$J$40</f>
        <v>305706</v>
      </c>
      <c r="J673" s="470">
        <f t="shared" si="152"/>
        <v>73369</v>
      </c>
      <c r="K673" s="470">
        <f>$L$40</f>
        <v>8398</v>
      </c>
      <c r="L673" s="470">
        <f t="shared" si="153"/>
        <v>2015</v>
      </c>
      <c r="M673" s="470">
        <f t="shared" si="154"/>
        <v>616714</v>
      </c>
      <c r="N673" s="470">
        <f t="shared" si="154"/>
        <v>148010</v>
      </c>
      <c r="O673" s="462">
        <f>$P$34</f>
        <v>6</v>
      </c>
      <c r="P673" s="767"/>
    </row>
    <row r="674" spans="2:17" ht="15.2" customHeight="1">
      <c r="B674" s="766" t="s">
        <v>3342</v>
      </c>
      <c r="C674" s="766"/>
      <c r="D674" s="84"/>
      <c r="E674" s="88">
        <v>1.0149999999999999</v>
      </c>
      <c r="F674" s="86" t="s">
        <v>3343</v>
      </c>
      <c r="G674" s="470">
        <f>$H$2253</f>
        <v>23200</v>
      </c>
      <c r="H674" s="470">
        <f t="shared" si="151"/>
        <v>23548</v>
      </c>
      <c r="I674" s="470">
        <f>$J$2253</f>
        <v>13412</v>
      </c>
      <c r="J674" s="470">
        <f t="shared" si="152"/>
        <v>13613</v>
      </c>
      <c r="K674" s="470">
        <f>$L$2253</f>
        <v>0</v>
      </c>
      <c r="L674" s="470">
        <f t="shared" si="153"/>
        <v>0</v>
      </c>
      <c r="M674" s="470">
        <f t="shared" si="154"/>
        <v>36612</v>
      </c>
      <c r="N674" s="470">
        <f t="shared" si="154"/>
        <v>37161</v>
      </c>
      <c r="O674" s="457"/>
      <c r="P674" s="767"/>
    </row>
    <row r="675" spans="2:17" ht="15.2" customHeight="1">
      <c r="B675" s="766" t="s">
        <v>1162</v>
      </c>
      <c r="C675" s="766"/>
      <c r="D675" s="84"/>
      <c r="E675" s="87">
        <v>1.5</v>
      </c>
      <c r="F675" s="86" t="s">
        <v>1163</v>
      </c>
      <c r="G675" s="470"/>
      <c r="H675" s="470">
        <f t="shared" si="151"/>
        <v>0</v>
      </c>
      <c r="I675" s="470">
        <f>SUMIF('노임(2015)'!$B$4:$B$87,B675,'노임(2015)'!$C$4:$C$87)+SUMIF('노임(2015)'!$E$4:$E$87,B675,'노임(2015)'!$F$4:$F$87)</f>
        <v>89566</v>
      </c>
      <c r="J675" s="470">
        <f t="shared" si="152"/>
        <v>134349</v>
      </c>
      <c r="K675" s="470"/>
      <c r="L675" s="470">
        <f t="shared" si="153"/>
        <v>0</v>
      </c>
      <c r="M675" s="470">
        <f t="shared" si="154"/>
        <v>89566</v>
      </c>
      <c r="N675" s="470">
        <f t="shared" si="154"/>
        <v>134349</v>
      </c>
      <c r="O675" s="457"/>
      <c r="P675" s="767"/>
    </row>
    <row r="676" spans="2:17" ht="15.2" customHeight="1">
      <c r="B676" s="766" t="s">
        <v>855</v>
      </c>
      <c r="C676" s="766"/>
      <c r="D676" s="84"/>
      <c r="E676" s="87"/>
      <c r="F676" s="86"/>
      <c r="G676" s="470"/>
      <c r="H676" s="470">
        <f>SUM(H670:H675)</f>
        <v>103981</v>
      </c>
      <c r="I676" s="470"/>
      <c r="J676" s="470">
        <f>SUM(J670:J675)</f>
        <v>291389</v>
      </c>
      <c r="K676" s="470"/>
      <c r="L676" s="470">
        <f>SUM(L670:L675)</f>
        <v>2226</v>
      </c>
      <c r="M676" s="470"/>
      <c r="N676" s="470">
        <f>SUM(N670:N675)</f>
        <v>397596</v>
      </c>
      <c r="O676" s="457"/>
      <c r="P676" s="767"/>
      <c r="Q676" s="80" t="s">
        <v>3244</v>
      </c>
    </row>
    <row r="677" spans="2:17" ht="15.2" customHeight="1">
      <c r="B677" s="96">
        <f>P677</f>
        <v>130</v>
      </c>
      <c r="C677" s="770" t="s">
        <v>198</v>
      </c>
      <c r="D677" s="770"/>
      <c r="E677" s="770"/>
      <c r="F677" s="771"/>
      <c r="G677" s="470"/>
      <c r="H677" s="470"/>
      <c r="I677" s="470"/>
      <c r="J677" s="470"/>
      <c r="K677" s="470"/>
      <c r="L677" s="470"/>
      <c r="M677" s="470"/>
      <c r="N677" s="470"/>
      <c r="O677" s="457"/>
      <c r="P677" s="767">
        <f>MAX($P$5:P676)+1</f>
        <v>130</v>
      </c>
      <c r="Q677" s="80" t="s">
        <v>3243</v>
      </c>
    </row>
    <row r="678" spans="2:17" ht="15.2" customHeight="1">
      <c r="B678" s="766" t="s">
        <v>199</v>
      </c>
      <c r="C678" s="766"/>
      <c r="D678" s="84" t="s">
        <v>919</v>
      </c>
      <c r="E678" s="87">
        <v>1</v>
      </c>
      <c r="F678" s="86" t="s">
        <v>971</v>
      </c>
      <c r="G678" s="470"/>
      <c r="H678" s="470">
        <f t="shared" ref="H678:H684" si="155">TRUNC(E678*G678,0)</f>
        <v>0</v>
      </c>
      <c r="I678" s="470"/>
      <c r="J678" s="470">
        <f t="shared" ref="J678:J684" si="156">TRUNC(I678*E678,0)</f>
        <v>0</v>
      </c>
      <c r="K678" s="470"/>
      <c r="L678" s="470">
        <f t="shared" ref="L678:L684" si="157">TRUNC(K678*E678,0)</f>
        <v>0</v>
      </c>
      <c r="M678" s="470">
        <f t="shared" ref="M678:N684" si="158">G678+I678+K678</f>
        <v>0</v>
      </c>
      <c r="N678" s="470">
        <f t="shared" si="158"/>
        <v>0</v>
      </c>
      <c r="O678" s="457"/>
      <c r="P678" s="767"/>
    </row>
    <row r="679" spans="2:17" ht="15.2" customHeight="1">
      <c r="B679" s="766" t="s">
        <v>189</v>
      </c>
      <c r="C679" s="766"/>
      <c r="D679" s="84"/>
      <c r="E679" s="87">
        <v>4.4000000000000004</v>
      </c>
      <c r="F679" s="86" t="s">
        <v>1190</v>
      </c>
      <c r="G679" s="470">
        <f>$H$321</f>
        <v>754</v>
      </c>
      <c r="H679" s="470">
        <f t="shared" si="155"/>
        <v>3317</v>
      </c>
      <c r="I679" s="470">
        <f>$J$321</f>
        <v>1253</v>
      </c>
      <c r="J679" s="470">
        <f t="shared" si="156"/>
        <v>5513</v>
      </c>
      <c r="K679" s="470">
        <f>$L$321</f>
        <v>33</v>
      </c>
      <c r="L679" s="470">
        <f t="shared" si="157"/>
        <v>145</v>
      </c>
      <c r="M679" s="470">
        <f t="shared" si="158"/>
        <v>2040</v>
      </c>
      <c r="N679" s="470">
        <f t="shared" si="158"/>
        <v>8975</v>
      </c>
      <c r="O679" s="462">
        <f>$P$315</f>
        <v>47</v>
      </c>
      <c r="P679" s="767"/>
    </row>
    <row r="680" spans="2:17" ht="15.2" customHeight="1">
      <c r="B680" s="766" t="s">
        <v>190</v>
      </c>
      <c r="C680" s="766"/>
      <c r="D680" s="84" t="s">
        <v>191</v>
      </c>
      <c r="E680" s="88">
        <v>0.16400000000000001</v>
      </c>
      <c r="F680" s="86" t="s">
        <v>1168</v>
      </c>
      <c r="G680" s="470">
        <f>$H$433</f>
        <v>12427</v>
      </c>
      <c r="H680" s="470">
        <f t="shared" si="155"/>
        <v>2038</v>
      </c>
      <c r="I680" s="470">
        <f>$J$433</f>
        <v>248546</v>
      </c>
      <c r="J680" s="470">
        <f t="shared" si="156"/>
        <v>40761</v>
      </c>
      <c r="K680" s="470">
        <f>$L$433</f>
        <v>0</v>
      </c>
      <c r="L680" s="470">
        <f t="shared" si="157"/>
        <v>0</v>
      </c>
      <c r="M680" s="470">
        <f t="shared" si="158"/>
        <v>260973</v>
      </c>
      <c r="N680" s="470">
        <f t="shared" si="158"/>
        <v>42799</v>
      </c>
      <c r="O680" s="462">
        <f>$P$430</f>
        <v>70</v>
      </c>
      <c r="P680" s="767"/>
    </row>
    <row r="681" spans="2:17" ht="15.2" customHeight="1">
      <c r="B681" s="766" t="s">
        <v>1423</v>
      </c>
      <c r="C681" s="766"/>
      <c r="D681" s="84" t="s">
        <v>192</v>
      </c>
      <c r="E681" s="88">
        <v>0.16400000000000001</v>
      </c>
      <c r="F681" s="86" t="s">
        <v>1168</v>
      </c>
      <c r="G681" s="470"/>
      <c r="H681" s="470">
        <f t="shared" si="155"/>
        <v>0</v>
      </c>
      <c r="I681" s="470">
        <f>운반비!$I$8</f>
        <v>9951</v>
      </c>
      <c r="J681" s="470">
        <f t="shared" si="156"/>
        <v>1631</v>
      </c>
      <c r="K681" s="470"/>
      <c r="L681" s="470">
        <f t="shared" si="157"/>
        <v>0</v>
      </c>
      <c r="M681" s="470">
        <f t="shared" si="158"/>
        <v>9951</v>
      </c>
      <c r="N681" s="470">
        <f t="shared" si="158"/>
        <v>1631</v>
      </c>
      <c r="O681" s="457"/>
      <c r="P681" s="767"/>
    </row>
    <row r="682" spans="2:17" ht="15.2" customHeight="1">
      <c r="B682" s="766" t="s">
        <v>1796</v>
      </c>
      <c r="C682" s="766"/>
      <c r="D682" s="84" t="s">
        <v>193</v>
      </c>
      <c r="E682" s="88">
        <v>0.16400000000000001</v>
      </c>
      <c r="F682" s="86" t="s">
        <v>1168</v>
      </c>
      <c r="G682" s="470">
        <f>$H$40</f>
        <v>302610</v>
      </c>
      <c r="H682" s="470">
        <f t="shared" si="155"/>
        <v>49628</v>
      </c>
      <c r="I682" s="470">
        <f>$J$40</f>
        <v>305706</v>
      </c>
      <c r="J682" s="470">
        <f t="shared" si="156"/>
        <v>50135</v>
      </c>
      <c r="K682" s="470">
        <f>$L$40</f>
        <v>8398</v>
      </c>
      <c r="L682" s="470">
        <f t="shared" si="157"/>
        <v>1377</v>
      </c>
      <c r="M682" s="470">
        <f t="shared" si="158"/>
        <v>616714</v>
      </c>
      <c r="N682" s="470">
        <f t="shared" si="158"/>
        <v>101140</v>
      </c>
      <c r="O682" s="462">
        <f>$P$34</f>
        <v>6</v>
      </c>
      <c r="P682" s="767"/>
    </row>
    <row r="683" spans="2:17" ht="15.2" customHeight="1">
      <c r="B683" s="766" t="s">
        <v>3342</v>
      </c>
      <c r="C683" s="766"/>
      <c r="D683" s="84"/>
      <c r="E683" s="88">
        <v>1.3049999999999999</v>
      </c>
      <c r="F683" s="86" t="s">
        <v>3343</v>
      </c>
      <c r="G683" s="470">
        <f>$H$2253</f>
        <v>23200</v>
      </c>
      <c r="H683" s="470">
        <f t="shared" si="155"/>
        <v>30276</v>
      </c>
      <c r="I683" s="470">
        <f>$J$2253</f>
        <v>13412</v>
      </c>
      <c r="J683" s="470">
        <f t="shared" si="156"/>
        <v>17502</v>
      </c>
      <c r="K683" s="470">
        <f>$L$2253</f>
        <v>0</v>
      </c>
      <c r="L683" s="470">
        <f t="shared" si="157"/>
        <v>0</v>
      </c>
      <c r="M683" s="470">
        <f t="shared" si="158"/>
        <v>36612</v>
      </c>
      <c r="N683" s="470">
        <f t="shared" si="158"/>
        <v>47778</v>
      </c>
      <c r="O683" s="457"/>
      <c r="P683" s="767"/>
    </row>
    <row r="684" spans="2:17" ht="15.2" customHeight="1">
      <c r="B684" s="766" t="s">
        <v>1162</v>
      </c>
      <c r="C684" s="766"/>
      <c r="D684" s="84"/>
      <c r="E684" s="87">
        <v>1</v>
      </c>
      <c r="F684" s="86" t="s">
        <v>1163</v>
      </c>
      <c r="G684" s="470"/>
      <c r="H684" s="470">
        <f t="shared" si="155"/>
        <v>0</v>
      </c>
      <c r="I684" s="470">
        <f>SUMIF('노임(2015)'!$B$4:$B$87,B684,'노임(2015)'!$C$4:$C$87)+SUMIF('노임(2015)'!$E$4:$E$87,B684,'노임(2015)'!$F$4:$F$87)</f>
        <v>89566</v>
      </c>
      <c r="J684" s="470">
        <f t="shared" si="156"/>
        <v>89566</v>
      </c>
      <c r="K684" s="470"/>
      <c r="L684" s="470">
        <f t="shared" si="157"/>
        <v>0</v>
      </c>
      <c r="M684" s="470">
        <f t="shared" si="158"/>
        <v>89566</v>
      </c>
      <c r="N684" s="470">
        <f t="shared" si="158"/>
        <v>89566</v>
      </c>
      <c r="O684" s="457"/>
      <c r="P684" s="767"/>
    </row>
    <row r="685" spans="2:17" ht="15.2" customHeight="1">
      <c r="B685" s="766" t="s">
        <v>855</v>
      </c>
      <c r="C685" s="766"/>
      <c r="D685" s="84"/>
      <c r="E685" s="87"/>
      <c r="F685" s="86"/>
      <c r="G685" s="470"/>
      <c r="H685" s="470">
        <f>SUM(H678:H684)</f>
        <v>85259</v>
      </c>
      <c r="I685" s="470"/>
      <c r="J685" s="470">
        <f>SUM(J678:J684)</f>
        <v>205108</v>
      </c>
      <c r="K685" s="470"/>
      <c r="L685" s="470">
        <f>SUM(L678:L684)</f>
        <v>1522</v>
      </c>
      <c r="M685" s="470"/>
      <c r="N685" s="470">
        <f>SUM(N678:N684)</f>
        <v>291889</v>
      </c>
      <c r="O685" s="457"/>
      <c r="P685" s="767"/>
      <c r="Q685" s="80" t="s">
        <v>3244</v>
      </c>
    </row>
    <row r="686" spans="2:17" ht="15.2" customHeight="1">
      <c r="B686" s="96">
        <f>P686</f>
        <v>131</v>
      </c>
      <c r="C686" s="770" t="s">
        <v>1610</v>
      </c>
      <c r="D686" s="770"/>
      <c r="E686" s="770"/>
      <c r="F686" s="771"/>
      <c r="G686" s="470"/>
      <c r="H686" s="470"/>
      <c r="I686" s="470"/>
      <c r="J686" s="470"/>
      <c r="K686" s="470"/>
      <c r="L686" s="470"/>
      <c r="M686" s="470"/>
      <c r="N686" s="470"/>
      <c r="O686" s="457"/>
      <c r="P686" s="767">
        <f>MAX($P$5:P685)+1</f>
        <v>131</v>
      </c>
      <c r="Q686" s="80" t="s">
        <v>3243</v>
      </c>
    </row>
    <row r="687" spans="2:17" ht="15.2" customHeight="1">
      <c r="B687" s="766" t="s">
        <v>1424</v>
      </c>
      <c r="C687" s="766"/>
      <c r="D687" s="84" t="s">
        <v>1730</v>
      </c>
      <c r="E687" s="87">
        <v>1.03</v>
      </c>
      <c r="F687" s="86" t="s">
        <v>1190</v>
      </c>
      <c r="G687" s="470">
        <f>사급자재!$M$137</f>
        <v>2600</v>
      </c>
      <c r="H687" s="470">
        <f>TRUNC(E687*G687,0)</f>
        <v>2678</v>
      </c>
      <c r="I687" s="470"/>
      <c r="J687" s="470">
        <f>TRUNC(I687*E687,0)</f>
        <v>0</v>
      </c>
      <c r="K687" s="470"/>
      <c r="L687" s="470">
        <f>TRUNC(K687*E687,0)</f>
        <v>0</v>
      </c>
      <c r="M687" s="470">
        <f t="shared" ref="M687:N689" si="159">G687+I687+K687</f>
        <v>2600</v>
      </c>
      <c r="N687" s="470">
        <f t="shared" si="159"/>
        <v>2678</v>
      </c>
      <c r="O687" s="457"/>
      <c r="P687" s="767"/>
    </row>
    <row r="688" spans="2:17" ht="15.2" customHeight="1">
      <c r="B688" s="766" t="s">
        <v>1611</v>
      </c>
      <c r="C688" s="766"/>
      <c r="D688" s="84" t="s">
        <v>1731</v>
      </c>
      <c r="E688" s="87">
        <v>3.3</v>
      </c>
      <c r="F688" s="86" t="s">
        <v>1161</v>
      </c>
      <c r="G688" s="470">
        <f>사급자재!$M$196</f>
        <v>2.8</v>
      </c>
      <c r="H688" s="470">
        <f>TRUNC(E688*G688,0)</f>
        <v>9</v>
      </c>
      <c r="I688" s="470"/>
      <c r="J688" s="470">
        <f>TRUNC(I688*E688,0)</f>
        <v>0</v>
      </c>
      <c r="K688" s="470"/>
      <c r="L688" s="470">
        <f>TRUNC(K688*E688,0)</f>
        <v>0</v>
      </c>
      <c r="M688" s="470">
        <f t="shared" si="159"/>
        <v>2.8</v>
      </c>
      <c r="N688" s="470">
        <f t="shared" si="159"/>
        <v>9</v>
      </c>
      <c r="O688" s="457"/>
      <c r="P688" s="767"/>
    </row>
    <row r="689" spans="2:17" ht="15.2" customHeight="1">
      <c r="B689" s="766" t="s">
        <v>1732</v>
      </c>
      <c r="C689" s="766"/>
      <c r="D689" s="84" t="s">
        <v>1612</v>
      </c>
      <c r="E689" s="87">
        <v>0.05</v>
      </c>
      <c r="F689" s="86" t="s">
        <v>933</v>
      </c>
      <c r="G689" s="470"/>
      <c r="H689" s="470">
        <f>TRUNC(E689*G689,0)</f>
        <v>0</v>
      </c>
      <c r="I689" s="470"/>
      <c r="J689" s="470">
        <f>TRUNC(I689*E689,0)</f>
        <v>0</v>
      </c>
      <c r="K689" s="470">
        <f>H687+H688</f>
        <v>2687</v>
      </c>
      <c r="L689" s="470">
        <f>TRUNC(K689*E689,0)</f>
        <v>134</v>
      </c>
      <c r="M689" s="470">
        <f t="shared" si="159"/>
        <v>2687</v>
      </c>
      <c r="N689" s="470">
        <f t="shared" si="159"/>
        <v>134</v>
      </c>
      <c r="O689" s="457"/>
      <c r="P689" s="767"/>
    </row>
    <row r="690" spans="2:17" ht="15.2" customHeight="1">
      <c r="B690" s="766" t="s">
        <v>855</v>
      </c>
      <c r="C690" s="766"/>
      <c r="D690" s="84"/>
      <c r="E690" s="87"/>
      <c r="F690" s="86"/>
      <c r="G690" s="470"/>
      <c r="H690" s="470">
        <f>SUM(H687:H689)</f>
        <v>2687</v>
      </c>
      <c r="I690" s="470"/>
      <c r="J690" s="470">
        <f>SUM(J687:J689)</f>
        <v>0</v>
      </c>
      <c r="K690" s="470"/>
      <c r="L690" s="470">
        <f>SUM(L687:L689)</f>
        <v>134</v>
      </c>
      <c r="M690" s="470"/>
      <c r="N690" s="470">
        <f>SUM(N687:N689)</f>
        <v>2821</v>
      </c>
      <c r="O690" s="457"/>
      <c r="P690" s="767"/>
      <c r="Q690" s="80" t="s">
        <v>3244</v>
      </c>
    </row>
    <row r="691" spans="2:17" ht="15.2" customHeight="1">
      <c r="B691" s="96">
        <f>P691</f>
        <v>132</v>
      </c>
      <c r="C691" s="770" t="s">
        <v>1613</v>
      </c>
      <c r="D691" s="770"/>
      <c r="E691" s="770"/>
      <c r="F691" s="771"/>
      <c r="G691" s="470"/>
      <c r="H691" s="470"/>
      <c r="I691" s="470"/>
      <c r="J691" s="470"/>
      <c r="K691" s="470"/>
      <c r="L691" s="470"/>
      <c r="M691" s="470"/>
      <c r="N691" s="470"/>
      <c r="O691" s="457"/>
      <c r="P691" s="767">
        <f>MAX($P$5:P690)+1</f>
        <v>132</v>
      </c>
      <c r="Q691" s="80" t="s">
        <v>3243</v>
      </c>
    </row>
    <row r="692" spans="2:17" ht="15.2" customHeight="1">
      <c r="B692" s="766" t="s">
        <v>1614</v>
      </c>
      <c r="C692" s="766"/>
      <c r="D692" s="84" t="s">
        <v>1733</v>
      </c>
      <c r="E692" s="87">
        <v>1</v>
      </c>
      <c r="F692" s="86" t="s">
        <v>1190</v>
      </c>
      <c r="G692" s="470"/>
      <c r="H692" s="470">
        <f t="shared" ref="H692:H698" si="160">TRUNC(E692*G692,0)</f>
        <v>0</v>
      </c>
      <c r="I692" s="470"/>
      <c r="J692" s="470">
        <f t="shared" ref="J692:J698" si="161">TRUNC(I692*E692,0)</f>
        <v>0</v>
      </c>
      <c r="K692" s="470">
        <f>자재운반비!$AS$5</f>
        <v>877</v>
      </c>
      <c r="L692" s="470">
        <f t="shared" ref="L692:L698" si="162">TRUNC(K692*E692,0)</f>
        <v>877</v>
      </c>
      <c r="M692" s="470">
        <f t="shared" ref="M692:N698" si="163">G692+I692+K692</f>
        <v>877</v>
      </c>
      <c r="N692" s="470">
        <f t="shared" si="163"/>
        <v>877</v>
      </c>
      <c r="O692" s="457"/>
      <c r="P692" s="767"/>
    </row>
    <row r="693" spans="2:17" ht="15.2" customHeight="1">
      <c r="B693" s="766" t="s">
        <v>2427</v>
      </c>
      <c r="C693" s="766"/>
      <c r="D693" s="84" t="s">
        <v>1769</v>
      </c>
      <c r="E693" s="88">
        <v>2.9000000000000001E-2</v>
      </c>
      <c r="F693" s="86" t="s">
        <v>1168</v>
      </c>
      <c r="G693" s="470">
        <f>$H$26</f>
        <v>64236</v>
      </c>
      <c r="H693" s="470">
        <f t="shared" si="160"/>
        <v>1862</v>
      </c>
      <c r="I693" s="470">
        <f>$J$26</f>
        <v>194616</v>
      </c>
      <c r="J693" s="470">
        <f t="shared" si="161"/>
        <v>5643</v>
      </c>
      <c r="K693" s="470">
        <f>$L$26</f>
        <v>8398</v>
      </c>
      <c r="L693" s="470">
        <f t="shared" si="162"/>
        <v>243</v>
      </c>
      <c r="M693" s="470">
        <f t="shared" si="163"/>
        <v>267250</v>
      </c>
      <c r="N693" s="470">
        <f t="shared" si="163"/>
        <v>7748</v>
      </c>
      <c r="O693" s="462">
        <f>$P$20</f>
        <v>4</v>
      </c>
      <c r="P693" s="767"/>
    </row>
    <row r="694" spans="2:17" ht="15.2" customHeight="1">
      <c r="B694" s="766" t="s">
        <v>1964</v>
      </c>
      <c r="C694" s="766"/>
      <c r="D694" s="84" t="s">
        <v>1966</v>
      </c>
      <c r="E694" s="97">
        <v>1E-4</v>
      </c>
      <c r="F694" s="86" t="s">
        <v>1168</v>
      </c>
      <c r="G694" s="470">
        <f>$H$14</f>
        <v>82420</v>
      </c>
      <c r="H694" s="470">
        <f t="shared" si="160"/>
        <v>8</v>
      </c>
      <c r="I694" s="470">
        <f>$J$14</f>
        <v>59113</v>
      </c>
      <c r="J694" s="470">
        <f t="shared" si="161"/>
        <v>5</v>
      </c>
      <c r="K694" s="470">
        <f>$L$14</f>
        <v>13260</v>
      </c>
      <c r="L694" s="470">
        <f t="shared" si="162"/>
        <v>1</v>
      </c>
      <c r="M694" s="470">
        <f t="shared" si="163"/>
        <v>154793</v>
      </c>
      <c r="N694" s="470">
        <f t="shared" si="163"/>
        <v>14</v>
      </c>
      <c r="O694" s="462">
        <f>$P$10</f>
        <v>2</v>
      </c>
      <c r="P694" s="767"/>
    </row>
    <row r="695" spans="2:17" ht="15.2" customHeight="1">
      <c r="B695" s="766" t="s">
        <v>1615</v>
      </c>
      <c r="C695" s="766"/>
      <c r="D695" s="84" t="s">
        <v>1616</v>
      </c>
      <c r="E695" s="92">
        <v>6.6000000000000003E-2</v>
      </c>
      <c r="F695" s="86" t="s">
        <v>453</v>
      </c>
      <c r="G695" s="470">
        <f>중기사용료!$M$1081</f>
        <v>6823</v>
      </c>
      <c r="H695" s="470">
        <f t="shared" si="160"/>
        <v>450</v>
      </c>
      <c r="I695" s="470">
        <f>중기사용료!$M$1075</f>
        <v>24483</v>
      </c>
      <c r="J695" s="470">
        <f t="shared" si="161"/>
        <v>1615</v>
      </c>
      <c r="K695" s="470">
        <f>중기사용료!$M$1069</f>
        <v>8500</v>
      </c>
      <c r="L695" s="470">
        <f t="shared" si="162"/>
        <v>561</v>
      </c>
      <c r="M695" s="470">
        <f t="shared" si="163"/>
        <v>39806</v>
      </c>
      <c r="N695" s="470">
        <f t="shared" si="163"/>
        <v>2626</v>
      </c>
      <c r="O695" s="460">
        <f>중기사용료!$A$1066</f>
        <v>57</v>
      </c>
      <c r="P695" s="767"/>
    </row>
    <row r="696" spans="2:17" ht="15.2" customHeight="1">
      <c r="B696" s="766" t="s">
        <v>1162</v>
      </c>
      <c r="C696" s="766"/>
      <c r="D696" s="84"/>
      <c r="E696" s="92">
        <v>8.3000000000000001E-3</v>
      </c>
      <c r="F696" s="86" t="s">
        <v>1163</v>
      </c>
      <c r="G696" s="470"/>
      <c r="H696" s="470">
        <f t="shared" si="160"/>
        <v>0</v>
      </c>
      <c r="I696" s="470">
        <f>SUMIF('노임(2015)'!$B$4:$B$87,B696,'노임(2015)'!$C$4:$C$87)+SUMIF('노임(2015)'!$E$4:$E$87,B696,'노임(2015)'!$F$4:$F$87)</f>
        <v>89566</v>
      </c>
      <c r="J696" s="470">
        <f t="shared" si="161"/>
        <v>743</v>
      </c>
      <c r="K696" s="470"/>
      <c r="L696" s="470">
        <f t="shared" si="162"/>
        <v>0</v>
      </c>
      <c r="M696" s="470">
        <f t="shared" si="163"/>
        <v>89566</v>
      </c>
      <c r="N696" s="470">
        <f t="shared" si="163"/>
        <v>743</v>
      </c>
      <c r="O696" s="457"/>
      <c r="P696" s="767"/>
    </row>
    <row r="697" spans="2:17" ht="15.2" customHeight="1">
      <c r="B697" s="766" t="s">
        <v>1165</v>
      </c>
      <c r="C697" s="766"/>
      <c r="D697" s="84"/>
      <c r="E697" s="92">
        <v>1.6E-2</v>
      </c>
      <c r="F697" s="86" t="s">
        <v>1163</v>
      </c>
      <c r="G697" s="470"/>
      <c r="H697" s="470">
        <f>TRUNC(E697*G697,0)</f>
        <v>0</v>
      </c>
      <c r="I697" s="470">
        <f>SUMIF('노임(2015)'!$B$4:$B$87,B697,'노임(2015)'!$C$4:$C$87)+SUMIF('노임(2015)'!$E$4:$E$87,B697,'노임(2015)'!$F$4:$F$87)</f>
        <v>111771</v>
      </c>
      <c r="J697" s="470">
        <f>TRUNC(I697*E697,0)</f>
        <v>1788</v>
      </c>
      <c r="K697" s="470"/>
      <c r="L697" s="470">
        <f>TRUNC(K697*E697,0)</f>
        <v>0</v>
      </c>
      <c r="M697" s="470">
        <f>G697+I697+K697</f>
        <v>111771</v>
      </c>
      <c r="N697" s="470">
        <f>H697+J697+L697</f>
        <v>1788</v>
      </c>
      <c r="O697" s="457"/>
      <c r="P697" s="767"/>
    </row>
    <row r="698" spans="2:17" ht="15.2" customHeight="1">
      <c r="B698" s="766" t="s">
        <v>1965</v>
      </c>
      <c r="C698" s="766"/>
      <c r="D698" s="84" t="s">
        <v>1617</v>
      </c>
      <c r="E698" s="87">
        <v>0.31</v>
      </c>
      <c r="F698" s="86" t="s">
        <v>1352</v>
      </c>
      <c r="G698" s="470">
        <f>$H$187</f>
        <v>6841</v>
      </c>
      <c r="H698" s="470">
        <f t="shared" si="160"/>
        <v>2120</v>
      </c>
      <c r="I698" s="470">
        <f>$J$187</f>
        <v>14198</v>
      </c>
      <c r="J698" s="470">
        <f t="shared" si="161"/>
        <v>4401</v>
      </c>
      <c r="K698" s="470">
        <f>$L$187</f>
        <v>0</v>
      </c>
      <c r="L698" s="470">
        <f t="shared" si="162"/>
        <v>0</v>
      </c>
      <c r="M698" s="470">
        <f t="shared" si="163"/>
        <v>21039</v>
      </c>
      <c r="N698" s="470">
        <f t="shared" si="163"/>
        <v>6521</v>
      </c>
      <c r="O698" s="462">
        <f>$P$183</f>
        <v>27</v>
      </c>
      <c r="P698" s="767"/>
    </row>
    <row r="699" spans="2:17" ht="15.2" customHeight="1">
      <c r="B699" s="766" t="s">
        <v>855</v>
      </c>
      <c r="C699" s="766"/>
      <c r="D699" s="84"/>
      <c r="E699" s="87"/>
      <c r="F699" s="86"/>
      <c r="G699" s="470"/>
      <c r="H699" s="470">
        <f>SUM(H692:H698)</f>
        <v>4440</v>
      </c>
      <c r="I699" s="470"/>
      <c r="J699" s="470">
        <f>SUM(J692:J698)</f>
        <v>14195</v>
      </c>
      <c r="K699" s="470"/>
      <c r="L699" s="470">
        <f>SUM(L692:L698)</f>
        <v>1682</v>
      </c>
      <c r="M699" s="470"/>
      <c r="N699" s="470">
        <f>SUM(N692:N698)</f>
        <v>20317</v>
      </c>
      <c r="O699" s="457"/>
      <c r="P699" s="767"/>
      <c r="Q699" s="80" t="s">
        <v>3244</v>
      </c>
    </row>
    <row r="700" spans="2:17" ht="15.2" customHeight="1">
      <c r="B700" s="96">
        <f>P700</f>
        <v>133</v>
      </c>
      <c r="C700" s="770" t="s">
        <v>1618</v>
      </c>
      <c r="D700" s="770"/>
      <c r="E700" s="770"/>
      <c r="F700" s="771"/>
      <c r="G700" s="470"/>
      <c r="H700" s="470"/>
      <c r="I700" s="470"/>
      <c r="J700" s="470"/>
      <c r="K700" s="470"/>
      <c r="L700" s="470"/>
      <c r="M700" s="470"/>
      <c r="N700" s="470"/>
      <c r="O700" s="457"/>
      <c r="P700" s="767">
        <f>MAX($P$5:P699)+1</f>
        <v>133</v>
      </c>
      <c r="Q700" s="80" t="s">
        <v>3243</v>
      </c>
    </row>
    <row r="701" spans="2:17" ht="15.2" customHeight="1">
      <c r="B701" s="766" t="s">
        <v>1619</v>
      </c>
      <c r="C701" s="766"/>
      <c r="D701" s="84" t="s">
        <v>1733</v>
      </c>
      <c r="E701" s="87">
        <v>1</v>
      </c>
      <c r="F701" s="86" t="s">
        <v>1190</v>
      </c>
      <c r="G701" s="470"/>
      <c r="H701" s="470">
        <f t="shared" ref="H701:H707" si="164">TRUNC(E701*G701,0)</f>
        <v>0</v>
      </c>
      <c r="I701" s="470"/>
      <c r="J701" s="470">
        <f t="shared" ref="J701:J707" si="165">TRUNC(I701*E701,0)</f>
        <v>0</v>
      </c>
      <c r="K701" s="470"/>
      <c r="L701" s="470">
        <f t="shared" ref="L701:L707" si="166">TRUNC(K701*E701,0)</f>
        <v>0</v>
      </c>
      <c r="M701" s="470">
        <f t="shared" ref="M701:N707" si="167">G701+I701+K701</f>
        <v>0</v>
      </c>
      <c r="N701" s="470">
        <f t="shared" si="167"/>
        <v>0</v>
      </c>
      <c r="O701" s="457"/>
      <c r="P701" s="767"/>
    </row>
    <row r="702" spans="2:17" ht="15.2" customHeight="1">
      <c r="B702" s="766" t="s">
        <v>2427</v>
      </c>
      <c r="C702" s="766"/>
      <c r="D702" s="84" t="s">
        <v>1769</v>
      </c>
      <c r="E702" s="88">
        <v>2.9000000000000001E-2</v>
      </c>
      <c r="F702" s="86" t="s">
        <v>1168</v>
      </c>
      <c r="G702" s="470">
        <f>$H$26</f>
        <v>64236</v>
      </c>
      <c r="H702" s="470">
        <f t="shared" si="164"/>
        <v>1862</v>
      </c>
      <c r="I702" s="470">
        <f>$J$26</f>
        <v>194616</v>
      </c>
      <c r="J702" s="470">
        <f t="shared" si="165"/>
        <v>5643</v>
      </c>
      <c r="K702" s="470">
        <f>$L$26</f>
        <v>8398</v>
      </c>
      <c r="L702" s="470">
        <f t="shared" si="166"/>
        <v>243</v>
      </c>
      <c r="M702" s="470">
        <f t="shared" si="167"/>
        <v>267250</v>
      </c>
      <c r="N702" s="470">
        <f t="shared" si="167"/>
        <v>7748</v>
      </c>
      <c r="O702" s="462">
        <f>$P$20</f>
        <v>4</v>
      </c>
      <c r="P702" s="767"/>
    </row>
    <row r="703" spans="2:17" ht="15.2" customHeight="1">
      <c r="B703" s="766" t="s">
        <v>1964</v>
      </c>
      <c r="C703" s="766"/>
      <c r="D703" s="84" t="s">
        <v>1966</v>
      </c>
      <c r="E703" s="97">
        <v>1E-4</v>
      </c>
      <c r="F703" s="86" t="s">
        <v>1168</v>
      </c>
      <c r="G703" s="470">
        <f>$H$14</f>
        <v>82420</v>
      </c>
      <c r="H703" s="470">
        <f t="shared" si="164"/>
        <v>8</v>
      </c>
      <c r="I703" s="470">
        <f>$J$14</f>
        <v>59113</v>
      </c>
      <c r="J703" s="470">
        <f t="shared" si="165"/>
        <v>5</v>
      </c>
      <c r="K703" s="470">
        <f>$L$14</f>
        <v>13260</v>
      </c>
      <c r="L703" s="470">
        <f t="shared" si="166"/>
        <v>1</v>
      </c>
      <c r="M703" s="470">
        <f t="shared" si="167"/>
        <v>154793</v>
      </c>
      <c r="N703" s="470">
        <f t="shared" si="167"/>
        <v>14</v>
      </c>
      <c r="O703" s="462">
        <f>$P$10</f>
        <v>2</v>
      </c>
      <c r="P703" s="767"/>
    </row>
    <row r="704" spans="2:17" ht="15.2" customHeight="1">
      <c r="B704" s="766" t="s">
        <v>1615</v>
      </c>
      <c r="C704" s="766"/>
      <c r="D704" s="84" t="s">
        <v>1616</v>
      </c>
      <c r="E704" s="92">
        <v>7.1999999999999995E-2</v>
      </c>
      <c r="F704" s="86" t="s">
        <v>453</v>
      </c>
      <c r="G704" s="470">
        <f>중기사용료!$M$1081</f>
        <v>6823</v>
      </c>
      <c r="H704" s="470">
        <f t="shared" si="164"/>
        <v>491</v>
      </c>
      <c r="I704" s="470">
        <f>중기사용료!$M$1075</f>
        <v>24483</v>
      </c>
      <c r="J704" s="470">
        <f t="shared" si="165"/>
        <v>1762</v>
      </c>
      <c r="K704" s="470">
        <f>중기사용료!$M$1069</f>
        <v>8500</v>
      </c>
      <c r="L704" s="470">
        <f t="shared" si="166"/>
        <v>612</v>
      </c>
      <c r="M704" s="470">
        <f t="shared" si="167"/>
        <v>39806</v>
      </c>
      <c r="N704" s="470">
        <f t="shared" si="167"/>
        <v>2865</v>
      </c>
      <c r="O704" s="460">
        <f>중기사용료!$A$1066</f>
        <v>57</v>
      </c>
      <c r="P704" s="767"/>
    </row>
    <row r="705" spans="2:17" ht="15.2" customHeight="1">
      <c r="B705" s="766" t="s">
        <v>1162</v>
      </c>
      <c r="C705" s="766"/>
      <c r="D705" s="84"/>
      <c r="E705" s="92">
        <v>8.9999999999999993E-3</v>
      </c>
      <c r="F705" s="86" t="s">
        <v>1163</v>
      </c>
      <c r="G705" s="470"/>
      <c r="H705" s="470">
        <f t="shared" si="164"/>
        <v>0</v>
      </c>
      <c r="I705" s="470">
        <f>SUMIF('노임(2015)'!$B$4:$B$87,B705,'노임(2015)'!$C$4:$C$87)+SUMIF('노임(2015)'!$E$4:$E$87,B705,'노임(2015)'!$F$4:$F$87)</f>
        <v>89566</v>
      </c>
      <c r="J705" s="470">
        <f t="shared" si="165"/>
        <v>806</v>
      </c>
      <c r="K705" s="470"/>
      <c r="L705" s="470">
        <f t="shared" si="166"/>
        <v>0</v>
      </c>
      <c r="M705" s="470">
        <f t="shared" si="167"/>
        <v>89566</v>
      </c>
      <c r="N705" s="470">
        <f t="shared" si="167"/>
        <v>806</v>
      </c>
      <c r="O705" s="457"/>
      <c r="P705" s="767"/>
    </row>
    <row r="706" spans="2:17" ht="15.2" customHeight="1">
      <c r="B706" s="766" t="s">
        <v>1165</v>
      </c>
      <c r="C706" s="766"/>
      <c r="D706" s="84"/>
      <c r="E706" s="92">
        <v>2.7E-2</v>
      </c>
      <c r="F706" s="86" t="s">
        <v>1163</v>
      </c>
      <c r="G706" s="470"/>
      <c r="H706" s="470">
        <f>TRUNC(E706*G706,0)</f>
        <v>0</v>
      </c>
      <c r="I706" s="470">
        <f>SUMIF('노임(2015)'!$B$4:$B$87,B706,'노임(2015)'!$C$4:$C$87)+SUMIF('노임(2015)'!$E$4:$E$87,B706,'노임(2015)'!$F$4:$F$87)</f>
        <v>111771</v>
      </c>
      <c r="J706" s="470">
        <f>TRUNC(I706*E706,0)</f>
        <v>3017</v>
      </c>
      <c r="K706" s="470"/>
      <c r="L706" s="470">
        <f>TRUNC(K706*E706,0)</f>
        <v>0</v>
      </c>
      <c r="M706" s="470">
        <f>G706+I706+K706</f>
        <v>111771</v>
      </c>
      <c r="N706" s="470">
        <f>H706+J706+L706</f>
        <v>3017</v>
      </c>
      <c r="O706" s="457"/>
      <c r="P706" s="767"/>
    </row>
    <row r="707" spans="2:17" ht="15.2" customHeight="1">
      <c r="B707" s="766" t="s">
        <v>1965</v>
      </c>
      <c r="C707" s="766"/>
      <c r="D707" s="84" t="s">
        <v>1617</v>
      </c>
      <c r="E707" s="87">
        <v>0.31</v>
      </c>
      <c r="F707" s="86" t="s">
        <v>1352</v>
      </c>
      <c r="G707" s="470">
        <f>$H$187</f>
        <v>6841</v>
      </c>
      <c r="H707" s="470">
        <f t="shared" si="164"/>
        <v>2120</v>
      </c>
      <c r="I707" s="470">
        <f>$J$187</f>
        <v>14198</v>
      </c>
      <c r="J707" s="470">
        <f t="shared" si="165"/>
        <v>4401</v>
      </c>
      <c r="K707" s="470">
        <f>$L$187</f>
        <v>0</v>
      </c>
      <c r="L707" s="470">
        <f t="shared" si="166"/>
        <v>0</v>
      </c>
      <c r="M707" s="470">
        <f t="shared" si="167"/>
        <v>21039</v>
      </c>
      <c r="N707" s="470">
        <f t="shared" si="167"/>
        <v>6521</v>
      </c>
      <c r="O707" s="462">
        <f>$P$183</f>
        <v>27</v>
      </c>
      <c r="P707" s="767"/>
    </row>
    <row r="708" spans="2:17" ht="15.2" customHeight="1">
      <c r="B708" s="766" t="s">
        <v>855</v>
      </c>
      <c r="C708" s="766"/>
      <c r="D708" s="84"/>
      <c r="E708" s="87"/>
      <c r="F708" s="86"/>
      <c r="G708" s="470"/>
      <c r="H708" s="470">
        <f>SUM(H701:H707)</f>
        <v>4481</v>
      </c>
      <c r="I708" s="470"/>
      <c r="J708" s="470">
        <f>SUM(J701:J707)</f>
        <v>15634</v>
      </c>
      <c r="K708" s="470"/>
      <c r="L708" s="470">
        <f>SUM(L701:L707)</f>
        <v>856</v>
      </c>
      <c r="M708" s="470"/>
      <c r="N708" s="470">
        <f>SUM(N701:N707)</f>
        <v>20971</v>
      </c>
      <c r="O708" s="457"/>
      <c r="P708" s="767"/>
      <c r="Q708" s="80" t="s">
        <v>3244</v>
      </c>
    </row>
    <row r="709" spans="2:17" ht="15.2" customHeight="1">
      <c r="B709" s="96">
        <f>P709</f>
        <v>134</v>
      </c>
      <c r="C709" s="770" t="s">
        <v>1620</v>
      </c>
      <c r="D709" s="770"/>
      <c r="E709" s="770"/>
      <c r="F709" s="771"/>
      <c r="G709" s="470"/>
      <c r="H709" s="470"/>
      <c r="I709" s="470"/>
      <c r="J709" s="470"/>
      <c r="K709" s="470"/>
      <c r="L709" s="470"/>
      <c r="M709" s="470"/>
      <c r="N709" s="470"/>
      <c r="O709" s="457"/>
      <c r="P709" s="767">
        <f>MAX($P$5:P708)+1</f>
        <v>134</v>
      </c>
      <c r="Q709" s="80" t="s">
        <v>3243</v>
      </c>
    </row>
    <row r="710" spans="2:17" ht="15.2" customHeight="1">
      <c r="B710" s="766" t="s">
        <v>1621</v>
      </c>
      <c r="C710" s="766"/>
      <c r="D710" s="84" t="s">
        <v>1453</v>
      </c>
      <c r="E710" s="87">
        <v>1</v>
      </c>
      <c r="F710" s="86" t="s">
        <v>1190</v>
      </c>
      <c r="G710" s="470"/>
      <c r="H710" s="470">
        <f t="shared" ref="H710:H716" si="168">TRUNC(E710*G710,0)</f>
        <v>0</v>
      </c>
      <c r="I710" s="470"/>
      <c r="J710" s="470">
        <f t="shared" ref="J710:J716" si="169">TRUNC(I710*E710,0)</f>
        <v>0</v>
      </c>
      <c r="K710" s="470">
        <f>자재운반비!$AS$7</f>
        <v>1972</v>
      </c>
      <c r="L710" s="470">
        <f t="shared" ref="L710:L716" si="170">TRUNC(K710*E710,0)</f>
        <v>1972</v>
      </c>
      <c r="M710" s="470">
        <f t="shared" ref="M710:N716" si="171">G710+I710+K710</f>
        <v>1972</v>
      </c>
      <c r="N710" s="470">
        <f t="shared" si="171"/>
        <v>1972</v>
      </c>
      <c r="O710" s="457"/>
      <c r="P710" s="767"/>
    </row>
    <row r="711" spans="2:17" ht="15.2" customHeight="1">
      <c r="B711" s="766" t="s">
        <v>2427</v>
      </c>
      <c r="C711" s="766"/>
      <c r="D711" s="84" t="s">
        <v>1769</v>
      </c>
      <c r="E711" s="88">
        <v>3.5999999999999997E-2</v>
      </c>
      <c r="F711" s="86" t="s">
        <v>1168</v>
      </c>
      <c r="G711" s="470">
        <f>$H$26</f>
        <v>64236</v>
      </c>
      <c r="H711" s="470">
        <f t="shared" si="168"/>
        <v>2312</v>
      </c>
      <c r="I711" s="470">
        <f>$J$26</f>
        <v>194616</v>
      </c>
      <c r="J711" s="470">
        <f t="shared" si="169"/>
        <v>7006</v>
      </c>
      <c r="K711" s="470">
        <f>$L$26</f>
        <v>8398</v>
      </c>
      <c r="L711" s="470">
        <f t="shared" si="170"/>
        <v>302</v>
      </c>
      <c r="M711" s="470">
        <f t="shared" si="171"/>
        <v>267250</v>
      </c>
      <c r="N711" s="470">
        <f t="shared" si="171"/>
        <v>9620</v>
      </c>
      <c r="O711" s="462">
        <f>$P$20</f>
        <v>4</v>
      </c>
      <c r="P711" s="767"/>
    </row>
    <row r="712" spans="2:17" ht="15.2" customHeight="1">
      <c r="B712" s="766" t="s">
        <v>1964</v>
      </c>
      <c r="C712" s="766"/>
      <c r="D712" s="84" t="s">
        <v>1966</v>
      </c>
      <c r="E712" s="97">
        <v>1E-4</v>
      </c>
      <c r="F712" s="86" t="s">
        <v>1168</v>
      </c>
      <c r="G712" s="470">
        <f>$H$14</f>
        <v>82420</v>
      </c>
      <c r="H712" s="470">
        <f t="shared" si="168"/>
        <v>8</v>
      </c>
      <c r="I712" s="470">
        <f>$J$14</f>
        <v>59113</v>
      </c>
      <c r="J712" s="470">
        <f t="shared" si="169"/>
        <v>5</v>
      </c>
      <c r="K712" s="470">
        <f>$L$14</f>
        <v>13260</v>
      </c>
      <c r="L712" s="470">
        <f t="shared" si="170"/>
        <v>1</v>
      </c>
      <c r="M712" s="470">
        <f t="shared" si="171"/>
        <v>154793</v>
      </c>
      <c r="N712" s="470">
        <f t="shared" si="171"/>
        <v>14</v>
      </c>
      <c r="O712" s="462">
        <f>$P$10</f>
        <v>2</v>
      </c>
      <c r="P712" s="767"/>
    </row>
    <row r="713" spans="2:17" ht="15.2" customHeight="1">
      <c r="B713" s="766" t="s">
        <v>1615</v>
      </c>
      <c r="C713" s="766"/>
      <c r="D713" s="84" t="s">
        <v>1616</v>
      </c>
      <c r="E713" s="92">
        <v>0.1</v>
      </c>
      <c r="F713" s="86" t="s">
        <v>453</v>
      </c>
      <c r="G713" s="470">
        <f>중기사용료!$M$1081</f>
        <v>6823</v>
      </c>
      <c r="H713" s="470">
        <f t="shared" si="168"/>
        <v>682</v>
      </c>
      <c r="I713" s="470">
        <f>중기사용료!$M$1075</f>
        <v>24483</v>
      </c>
      <c r="J713" s="470">
        <f t="shared" si="169"/>
        <v>2448</v>
      </c>
      <c r="K713" s="470">
        <f>중기사용료!$M$1069</f>
        <v>8500</v>
      </c>
      <c r="L713" s="470">
        <f t="shared" si="170"/>
        <v>850</v>
      </c>
      <c r="M713" s="470">
        <f t="shared" si="171"/>
        <v>39806</v>
      </c>
      <c r="N713" s="470">
        <f t="shared" si="171"/>
        <v>3980</v>
      </c>
      <c r="O713" s="460">
        <f>중기사용료!$A$1066</f>
        <v>57</v>
      </c>
      <c r="P713" s="767"/>
    </row>
    <row r="714" spans="2:17" ht="15.2" customHeight="1">
      <c r="B714" s="766" t="s">
        <v>1162</v>
      </c>
      <c r="C714" s="766"/>
      <c r="D714" s="84"/>
      <c r="E714" s="92">
        <v>1.2500000000000001E-2</v>
      </c>
      <c r="F714" s="86" t="s">
        <v>1163</v>
      </c>
      <c r="G714" s="470"/>
      <c r="H714" s="470">
        <f t="shared" si="168"/>
        <v>0</v>
      </c>
      <c r="I714" s="470">
        <f>SUMIF('노임(2015)'!$B$4:$B$87,B714,'노임(2015)'!$C$4:$C$87)+SUMIF('노임(2015)'!$E$4:$E$87,B714,'노임(2015)'!$F$4:$F$87)</f>
        <v>89566</v>
      </c>
      <c r="J714" s="470">
        <f t="shared" si="169"/>
        <v>1119</v>
      </c>
      <c r="K714" s="470"/>
      <c r="L714" s="470">
        <f t="shared" si="170"/>
        <v>0</v>
      </c>
      <c r="M714" s="470">
        <f t="shared" si="171"/>
        <v>89566</v>
      </c>
      <c r="N714" s="470">
        <f t="shared" si="171"/>
        <v>1119</v>
      </c>
      <c r="O714" s="457"/>
      <c r="P714" s="767"/>
    </row>
    <row r="715" spans="2:17" ht="15.2" customHeight="1">
      <c r="B715" s="766" t="s">
        <v>1165</v>
      </c>
      <c r="C715" s="766"/>
      <c r="D715" s="84"/>
      <c r="E715" s="92">
        <v>2.5000000000000001E-2</v>
      </c>
      <c r="F715" s="86" t="s">
        <v>1163</v>
      </c>
      <c r="G715" s="470"/>
      <c r="H715" s="470">
        <f>TRUNC(E715*G715,0)</f>
        <v>0</v>
      </c>
      <c r="I715" s="470">
        <f>SUMIF('노임(2015)'!$B$4:$B$87,B715,'노임(2015)'!$C$4:$C$87)+SUMIF('노임(2015)'!$E$4:$E$87,B715,'노임(2015)'!$F$4:$F$87)</f>
        <v>111771</v>
      </c>
      <c r="J715" s="470">
        <f>TRUNC(I715*E715,0)</f>
        <v>2794</v>
      </c>
      <c r="K715" s="470"/>
      <c r="L715" s="470">
        <f>TRUNC(K715*E715,0)</f>
        <v>0</v>
      </c>
      <c r="M715" s="470">
        <f>G715+I715+K715</f>
        <v>111771</v>
      </c>
      <c r="N715" s="470">
        <f>H715+J715+L715</f>
        <v>2794</v>
      </c>
      <c r="O715" s="457"/>
      <c r="P715" s="767"/>
    </row>
    <row r="716" spans="2:17" ht="15.2" customHeight="1">
      <c r="B716" s="766" t="s">
        <v>1965</v>
      </c>
      <c r="C716" s="766"/>
      <c r="D716" s="84" t="s">
        <v>1617</v>
      </c>
      <c r="E716" s="87">
        <v>0.31</v>
      </c>
      <c r="F716" s="86" t="s">
        <v>1352</v>
      </c>
      <c r="G716" s="470">
        <f>$H$187</f>
        <v>6841</v>
      </c>
      <c r="H716" s="470">
        <f t="shared" si="168"/>
        <v>2120</v>
      </c>
      <c r="I716" s="470">
        <f>$J$187</f>
        <v>14198</v>
      </c>
      <c r="J716" s="470">
        <f t="shared" si="169"/>
        <v>4401</v>
      </c>
      <c r="K716" s="470">
        <f>$L$187</f>
        <v>0</v>
      </c>
      <c r="L716" s="470">
        <f t="shared" si="170"/>
        <v>0</v>
      </c>
      <c r="M716" s="470">
        <f t="shared" si="171"/>
        <v>21039</v>
      </c>
      <c r="N716" s="470">
        <f t="shared" si="171"/>
        <v>6521</v>
      </c>
      <c r="O716" s="462">
        <f>$P$183</f>
        <v>27</v>
      </c>
      <c r="P716" s="767"/>
    </row>
    <row r="717" spans="2:17" ht="15.2" customHeight="1">
      <c r="B717" s="766" t="s">
        <v>855</v>
      </c>
      <c r="C717" s="766"/>
      <c r="D717" s="84"/>
      <c r="E717" s="87"/>
      <c r="F717" s="86"/>
      <c r="G717" s="470"/>
      <c r="H717" s="470">
        <f>SUM(H710:H716)</f>
        <v>5122</v>
      </c>
      <c r="I717" s="470"/>
      <c r="J717" s="470">
        <f>SUM(J710:J716)</f>
        <v>17773</v>
      </c>
      <c r="K717" s="470"/>
      <c r="L717" s="470">
        <f>SUM(L710:L716)</f>
        <v>3125</v>
      </c>
      <c r="M717" s="470"/>
      <c r="N717" s="470">
        <f>SUM(N710:N716)</f>
        <v>26020</v>
      </c>
      <c r="O717" s="457"/>
      <c r="P717" s="767"/>
      <c r="Q717" s="80" t="s">
        <v>3244</v>
      </c>
    </row>
    <row r="718" spans="2:17" ht="15.2" customHeight="1">
      <c r="B718" s="96">
        <f>P718</f>
        <v>135</v>
      </c>
      <c r="C718" s="770" t="s">
        <v>232</v>
      </c>
      <c r="D718" s="770"/>
      <c r="E718" s="770"/>
      <c r="F718" s="771"/>
      <c r="G718" s="470"/>
      <c r="H718" s="470"/>
      <c r="I718" s="470"/>
      <c r="J718" s="470"/>
      <c r="K718" s="470"/>
      <c r="L718" s="470"/>
      <c r="M718" s="470"/>
      <c r="N718" s="470"/>
      <c r="O718" s="457"/>
      <c r="P718" s="767">
        <f>MAX($P$5:P717)+1</f>
        <v>135</v>
      </c>
      <c r="Q718" s="80" t="s">
        <v>3243</v>
      </c>
    </row>
    <row r="719" spans="2:17" ht="15.2" customHeight="1">
      <c r="B719" s="766" t="s">
        <v>233</v>
      </c>
      <c r="C719" s="766"/>
      <c r="D719" s="84" t="s">
        <v>424</v>
      </c>
      <c r="E719" s="87">
        <v>1</v>
      </c>
      <c r="F719" s="86" t="s">
        <v>1190</v>
      </c>
      <c r="G719" s="470"/>
      <c r="H719" s="470">
        <f t="shared" ref="H719:H725" si="172">TRUNC(E719*G719,0)</f>
        <v>0</v>
      </c>
      <c r="I719" s="470"/>
      <c r="J719" s="470">
        <f t="shared" ref="J719:J725" si="173">TRUNC(I719*E719,0)</f>
        <v>0</v>
      </c>
      <c r="K719" s="470"/>
      <c r="L719" s="470">
        <f t="shared" ref="L719:L725" si="174">TRUNC(K719*E719,0)</f>
        <v>0</v>
      </c>
      <c r="M719" s="470">
        <f t="shared" ref="M719:N725" si="175">G719+I719+K719</f>
        <v>0</v>
      </c>
      <c r="N719" s="470">
        <f t="shared" si="175"/>
        <v>0</v>
      </c>
      <c r="O719" s="457"/>
      <c r="P719" s="767"/>
    </row>
    <row r="720" spans="2:17" ht="15.2" customHeight="1">
      <c r="B720" s="766" t="s">
        <v>2427</v>
      </c>
      <c r="C720" s="766"/>
      <c r="D720" s="84" t="s">
        <v>1769</v>
      </c>
      <c r="E720" s="88">
        <v>3.5999999999999997E-2</v>
      </c>
      <c r="F720" s="86" t="s">
        <v>1168</v>
      </c>
      <c r="G720" s="470">
        <f>$H$26</f>
        <v>64236</v>
      </c>
      <c r="H720" s="470">
        <f t="shared" si="172"/>
        <v>2312</v>
      </c>
      <c r="I720" s="470">
        <f>$J$26</f>
        <v>194616</v>
      </c>
      <c r="J720" s="470">
        <f t="shared" si="173"/>
        <v>7006</v>
      </c>
      <c r="K720" s="470">
        <f>$L$26</f>
        <v>8398</v>
      </c>
      <c r="L720" s="470">
        <f t="shared" si="174"/>
        <v>302</v>
      </c>
      <c r="M720" s="470">
        <f t="shared" si="175"/>
        <v>267250</v>
      </c>
      <c r="N720" s="470">
        <f t="shared" si="175"/>
        <v>9620</v>
      </c>
      <c r="O720" s="462">
        <f>$P$20</f>
        <v>4</v>
      </c>
      <c r="P720" s="767"/>
    </row>
    <row r="721" spans="2:17" ht="15.2" customHeight="1">
      <c r="B721" s="766" t="s">
        <v>1964</v>
      </c>
      <c r="C721" s="766"/>
      <c r="D721" s="84" t="s">
        <v>1966</v>
      </c>
      <c r="E721" s="97">
        <v>1E-4</v>
      </c>
      <c r="F721" s="86" t="s">
        <v>1168</v>
      </c>
      <c r="G721" s="470">
        <f>$H$14</f>
        <v>82420</v>
      </c>
      <c r="H721" s="470">
        <f t="shared" si="172"/>
        <v>8</v>
      </c>
      <c r="I721" s="470">
        <f>$J$14</f>
        <v>59113</v>
      </c>
      <c r="J721" s="470">
        <f t="shared" si="173"/>
        <v>5</v>
      </c>
      <c r="K721" s="470">
        <f>$L$14</f>
        <v>13260</v>
      </c>
      <c r="L721" s="470">
        <f t="shared" si="174"/>
        <v>1</v>
      </c>
      <c r="M721" s="470">
        <f t="shared" si="175"/>
        <v>154793</v>
      </c>
      <c r="N721" s="470">
        <f t="shared" si="175"/>
        <v>14</v>
      </c>
      <c r="O721" s="462">
        <f>$P$10</f>
        <v>2</v>
      </c>
      <c r="P721" s="767"/>
    </row>
    <row r="722" spans="2:17" ht="15.2" customHeight="1">
      <c r="B722" s="766" t="s">
        <v>1615</v>
      </c>
      <c r="C722" s="766"/>
      <c r="D722" s="84" t="s">
        <v>1616</v>
      </c>
      <c r="E722" s="92">
        <v>0.1</v>
      </c>
      <c r="F722" s="86" t="s">
        <v>453</v>
      </c>
      <c r="G722" s="470">
        <f>중기사용료!$M$1081</f>
        <v>6823</v>
      </c>
      <c r="H722" s="470">
        <f t="shared" si="172"/>
        <v>682</v>
      </c>
      <c r="I722" s="470">
        <f>중기사용료!$M$1075</f>
        <v>24483</v>
      </c>
      <c r="J722" s="470">
        <f t="shared" si="173"/>
        <v>2448</v>
      </c>
      <c r="K722" s="470">
        <f>중기사용료!$M$1069</f>
        <v>8500</v>
      </c>
      <c r="L722" s="470">
        <f t="shared" si="174"/>
        <v>850</v>
      </c>
      <c r="M722" s="470">
        <f t="shared" si="175"/>
        <v>39806</v>
      </c>
      <c r="N722" s="470">
        <f t="shared" si="175"/>
        <v>3980</v>
      </c>
      <c r="O722" s="460">
        <f>중기사용료!$A$1066</f>
        <v>57</v>
      </c>
      <c r="P722" s="767"/>
    </row>
    <row r="723" spans="2:17" ht="15.2" customHeight="1">
      <c r="B723" s="766" t="s">
        <v>1162</v>
      </c>
      <c r="C723" s="766"/>
      <c r="D723" s="84"/>
      <c r="E723" s="92">
        <v>1.2500000000000001E-2</v>
      </c>
      <c r="F723" s="86" t="s">
        <v>1163</v>
      </c>
      <c r="G723" s="470"/>
      <c r="H723" s="470">
        <f t="shared" si="172"/>
        <v>0</v>
      </c>
      <c r="I723" s="470">
        <f>SUMIF('노임(2015)'!$B$4:$B$87,B723,'노임(2015)'!$C$4:$C$87)+SUMIF('노임(2015)'!$E$4:$E$87,B723,'노임(2015)'!$F$4:$F$87)</f>
        <v>89566</v>
      </c>
      <c r="J723" s="470">
        <f t="shared" si="173"/>
        <v>1119</v>
      </c>
      <c r="K723" s="470"/>
      <c r="L723" s="470">
        <f t="shared" si="174"/>
        <v>0</v>
      </c>
      <c r="M723" s="470">
        <f t="shared" si="175"/>
        <v>89566</v>
      </c>
      <c r="N723" s="470">
        <f t="shared" si="175"/>
        <v>1119</v>
      </c>
      <c r="O723" s="457"/>
      <c r="P723" s="767"/>
    </row>
    <row r="724" spans="2:17" ht="15.2" customHeight="1">
      <c r="B724" s="766" t="s">
        <v>1165</v>
      </c>
      <c r="C724" s="766"/>
      <c r="D724" s="84"/>
      <c r="E724" s="92">
        <v>3.7499999999999999E-2</v>
      </c>
      <c r="F724" s="86" t="s">
        <v>1163</v>
      </c>
      <c r="G724" s="470"/>
      <c r="H724" s="470">
        <f>TRUNC(E724*G724,0)</f>
        <v>0</v>
      </c>
      <c r="I724" s="470">
        <f>SUMIF('노임(2015)'!$B$4:$B$87,B724,'노임(2015)'!$C$4:$C$87)+SUMIF('노임(2015)'!$E$4:$E$87,B724,'노임(2015)'!$F$4:$F$87)</f>
        <v>111771</v>
      </c>
      <c r="J724" s="470">
        <f>TRUNC(I724*E724,0)</f>
        <v>4191</v>
      </c>
      <c r="K724" s="470"/>
      <c r="L724" s="470">
        <f>TRUNC(K724*E724,0)</f>
        <v>0</v>
      </c>
      <c r="M724" s="470">
        <f>G724+I724+K724</f>
        <v>111771</v>
      </c>
      <c r="N724" s="470">
        <f>H724+J724+L724</f>
        <v>4191</v>
      </c>
      <c r="O724" s="457"/>
      <c r="P724" s="767"/>
    </row>
    <row r="725" spans="2:17" ht="15.2" customHeight="1">
      <c r="B725" s="766" t="s">
        <v>1965</v>
      </c>
      <c r="C725" s="766"/>
      <c r="D725" s="84" t="s">
        <v>1617</v>
      </c>
      <c r="E725" s="87">
        <v>0.31</v>
      </c>
      <c r="F725" s="86" t="s">
        <v>1352</v>
      </c>
      <c r="G725" s="470">
        <f>$H$187</f>
        <v>6841</v>
      </c>
      <c r="H725" s="470">
        <f t="shared" si="172"/>
        <v>2120</v>
      </c>
      <c r="I725" s="470">
        <f>$J$187</f>
        <v>14198</v>
      </c>
      <c r="J725" s="470">
        <f t="shared" si="173"/>
        <v>4401</v>
      </c>
      <c r="K725" s="470">
        <f>$L$187</f>
        <v>0</v>
      </c>
      <c r="L725" s="470">
        <f t="shared" si="174"/>
        <v>0</v>
      </c>
      <c r="M725" s="470">
        <f t="shared" si="175"/>
        <v>21039</v>
      </c>
      <c r="N725" s="470">
        <f t="shared" si="175"/>
        <v>6521</v>
      </c>
      <c r="O725" s="462">
        <f>$P$183</f>
        <v>27</v>
      </c>
      <c r="P725" s="767"/>
    </row>
    <row r="726" spans="2:17" ht="15.2" customHeight="1">
      <c r="B726" s="766" t="s">
        <v>855</v>
      </c>
      <c r="C726" s="766"/>
      <c r="D726" s="84"/>
      <c r="E726" s="87"/>
      <c r="F726" s="86"/>
      <c r="G726" s="470"/>
      <c r="H726" s="470">
        <f>SUM(H719:H725)</f>
        <v>5122</v>
      </c>
      <c r="I726" s="470"/>
      <c r="J726" s="470">
        <f>SUM(J719:J725)</f>
        <v>19170</v>
      </c>
      <c r="K726" s="470"/>
      <c r="L726" s="470">
        <f>SUM(L719:L725)</f>
        <v>1153</v>
      </c>
      <c r="M726" s="470"/>
      <c r="N726" s="470">
        <f>SUM(N719:N725)</f>
        <v>25445</v>
      </c>
      <c r="O726" s="457"/>
      <c r="P726" s="767"/>
      <c r="Q726" s="80" t="s">
        <v>3244</v>
      </c>
    </row>
    <row r="727" spans="2:17" ht="15.2" customHeight="1">
      <c r="B727" s="96">
        <f>P727</f>
        <v>136</v>
      </c>
      <c r="C727" s="770" t="s">
        <v>1053</v>
      </c>
      <c r="D727" s="770"/>
      <c r="E727" s="770"/>
      <c r="F727" s="771"/>
      <c r="G727" s="470"/>
      <c r="H727" s="470"/>
      <c r="I727" s="470"/>
      <c r="J727" s="470"/>
      <c r="K727" s="470"/>
      <c r="L727" s="470"/>
      <c r="M727" s="470"/>
      <c r="N727" s="470"/>
      <c r="O727" s="457"/>
      <c r="P727" s="767">
        <f>MAX($P$5:P726)+1</f>
        <v>136</v>
      </c>
      <c r="Q727" s="80" t="s">
        <v>3243</v>
      </c>
    </row>
    <row r="728" spans="2:17" ht="15.2" customHeight="1">
      <c r="B728" s="766" t="s">
        <v>1054</v>
      </c>
      <c r="C728" s="766"/>
      <c r="D728" s="84" t="s">
        <v>1967</v>
      </c>
      <c r="E728" s="88">
        <v>8.5000000000000006E-2</v>
      </c>
      <c r="F728" s="86" t="s">
        <v>1168</v>
      </c>
      <c r="G728" s="470">
        <f>$H$26</f>
        <v>64236</v>
      </c>
      <c r="H728" s="470">
        <f>TRUNC(E728*G728,0)</f>
        <v>5460</v>
      </c>
      <c r="I728" s="470">
        <f>$J$26</f>
        <v>194616</v>
      </c>
      <c r="J728" s="470">
        <f>TRUNC(I728*E728,0)</f>
        <v>16542</v>
      </c>
      <c r="K728" s="470">
        <f>$L$26</f>
        <v>8398</v>
      </c>
      <c r="L728" s="470">
        <f>TRUNC(K728*E728,0)</f>
        <v>713</v>
      </c>
      <c r="M728" s="470">
        <f t="shared" ref="M728:N730" si="176">G728+I728+K728</f>
        <v>267250</v>
      </c>
      <c r="N728" s="470">
        <f t="shared" si="176"/>
        <v>22715</v>
      </c>
      <c r="O728" s="462">
        <f>$P$20</f>
        <v>4</v>
      </c>
      <c r="P728" s="767"/>
    </row>
    <row r="729" spans="2:17" ht="15.2" customHeight="1">
      <c r="B729" s="766" t="s">
        <v>1165</v>
      </c>
      <c r="C729" s="766"/>
      <c r="D729" s="84" t="s">
        <v>3206</v>
      </c>
      <c r="E729" s="87">
        <v>0.02</v>
      </c>
      <c r="F729" s="86" t="s">
        <v>1163</v>
      </c>
      <c r="G729" s="470"/>
      <c r="H729" s="470">
        <f>TRUNC(E729*G729,0)</f>
        <v>0</v>
      </c>
      <c r="I729" s="470">
        <f>SUMIF('노임(2015)'!$B$4:$B$87,일위대가!B729,'노임(2015)'!$C$4:$C$87)+SUMIF('노임(2015)'!$E$4:$E$87,일위대가!B729,'노임(2015)'!$F$4:$F$87)</f>
        <v>111771</v>
      </c>
      <c r="J729" s="470">
        <f>TRUNC(I729*E729,0)</f>
        <v>2235</v>
      </c>
      <c r="K729" s="470"/>
      <c r="L729" s="470">
        <f>TRUNC(K729*E729,0)</f>
        <v>0</v>
      </c>
      <c r="M729" s="470">
        <f t="shared" si="176"/>
        <v>111771</v>
      </c>
      <c r="N729" s="470">
        <f t="shared" si="176"/>
        <v>2235</v>
      </c>
      <c r="O729" s="459"/>
      <c r="P729" s="767"/>
    </row>
    <row r="730" spans="2:17" ht="15.2" customHeight="1">
      <c r="B730" s="766" t="s">
        <v>1965</v>
      </c>
      <c r="C730" s="766"/>
      <c r="D730" s="84" t="s">
        <v>1055</v>
      </c>
      <c r="E730" s="87">
        <v>0.2</v>
      </c>
      <c r="F730" s="86" t="s">
        <v>1352</v>
      </c>
      <c r="G730" s="470">
        <f>$H$167</f>
        <v>7906</v>
      </c>
      <c r="H730" s="470">
        <f>TRUNC(E730*G730,0)</f>
        <v>1581</v>
      </c>
      <c r="I730" s="470">
        <f>$J$167</f>
        <v>17747</v>
      </c>
      <c r="J730" s="470">
        <f>TRUNC(I730*E730,0)</f>
        <v>3549</v>
      </c>
      <c r="K730" s="470">
        <f>$L$167</f>
        <v>0</v>
      </c>
      <c r="L730" s="470">
        <f>TRUNC(K730*E730,0)</f>
        <v>0</v>
      </c>
      <c r="M730" s="470">
        <f t="shared" si="176"/>
        <v>25653</v>
      </c>
      <c r="N730" s="470">
        <f t="shared" si="176"/>
        <v>5130</v>
      </c>
      <c r="O730" s="462">
        <f>$P$163</f>
        <v>23</v>
      </c>
      <c r="P730" s="767"/>
    </row>
    <row r="731" spans="2:17" ht="15.2" customHeight="1">
      <c r="B731" s="766" t="s">
        <v>855</v>
      </c>
      <c r="C731" s="766"/>
      <c r="D731" s="84"/>
      <c r="E731" s="87"/>
      <c r="F731" s="86"/>
      <c r="G731" s="470"/>
      <c r="H731" s="470">
        <f>SUM(H728:H730)</f>
        <v>7041</v>
      </c>
      <c r="I731" s="470"/>
      <c r="J731" s="470">
        <f>SUM(J728:J730)</f>
        <v>22326</v>
      </c>
      <c r="K731" s="470"/>
      <c r="L731" s="470">
        <f>SUM(L728:L730)</f>
        <v>713</v>
      </c>
      <c r="M731" s="470"/>
      <c r="N731" s="470">
        <f>SUM(N728:N730)</f>
        <v>30080</v>
      </c>
      <c r="O731" s="459"/>
      <c r="P731" s="767"/>
      <c r="Q731" s="80" t="s">
        <v>3244</v>
      </c>
    </row>
    <row r="732" spans="2:17" ht="15.2" customHeight="1">
      <c r="B732" s="96">
        <f>P732</f>
        <v>137</v>
      </c>
      <c r="C732" s="770" t="s">
        <v>1056</v>
      </c>
      <c r="D732" s="770"/>
      <c r="E732" s="770"/>
      <c r="F732" s="771"/>
      <c r="G732" s="470"/>
      <c r="H732" s="470"/>
      <c r="I732" s="470"/>
      <c r="J732" s="470"/>
      <c r="K732" s="470"/>
      <c r="L732" s="470"/>
      <c r="M732" s="470"/>
      <c r="N732" s="470"/>
      <c r="O732" s="459"/>
      <c r="P732" s="767">
        <f>MAX($P$5:P731)+1</f>
        <v>137</v>
      </c>
      <c r="Q732" s="80" t="s">
        <v>3243</v>
      </c>
    </row>
    <row r="733" spans="2:17" ht="15.2" customHeight="1">
      <c r="B733" s="766" t="s">
        <v>1054</v>
      </c>
      <c r="C733" s="766"/>
      <c r="D733" s="84" t="s">
        <v>1967</v>
      </c>
      <c r="E733" s="88">
        <v>9.5000000000000001E-2</v>
      </c>
      <c r="F733" s="86" t="s">
        <v>1168</v>
      </c>
      <c r="G733" s="470">
        <f>$H$26</f>
        <v>64236</v>
      </c>
      <c r="H733" s="470">
        <f>TRUNC(E733*G733,0)</f>
        <v>6102</v>
      </c>
      <c r="I733" s="470">
        <f>$J$26</f>
        <v>194616</v>
      </c>
      <c r="J733" s="470">
        <f>TRUNC(I733*E733,0)</f>
        <v>18488</v>
      </c>
      <c r="K733" s="470">
        <f>$L$26</f>
        <v>8398</v>
      </c>
      <c r="L733" s="470">
        <f>TRUNC(K733*E733,0)</f>
        <v>797</v>
      </c>
      <c r="M733" s="470">
        <f t="shared" ref="M733:N735" si="177">G733+I733+K733</f>
        <v>267250</v>
      </c>
      <c r="N733" s="470">
        <f t="shared" si="177"/>
        <v>25387</v>
      </c>
      <c r="O733" s="462">
        <f>$P$20</f>
        <v>4</v>
      </c>
      <c r="P733" s="767"/>
    </row>
    <row r="734" spans="2:17" ht="15.2" customHeight="1">
      <c r="B734" s="766" t="s">
        <v>1165</v>
      </c>
      <c r="C734" s="766"/>
      <c r="D734" s="84" t="s">
        <v>3206</v>
      </c>
      <c r="E734" s="87">
        <v>0.02</v>
      </c>
      <c r="F734" s="86" t="s">
        <v>1163</v>
      </c>
      <c r="G734" s="470"/>
      <c r="H734" s="470">
        <f>TRUNC(E734*G734,0)</f>
        <v>0</v>
      </c>
      <c r="I734" s="470">
        <f>SUMIF('노임(2015)'!$B$4:$B$87,일위대가!B734,'노임(2015)'!$C$4:$C$87)+SUMIF('노임(2015)'!$E$4:$E$87,일위대가!B734,'노임(2015)'!$F$4:$F$87)</f>
        <v>111771</v>
      </c>
      <c r="J734" s="470">
        <f>TRUNC(I734*E734,0)</f>
        <v>2235</v>
      </c>
      <c r="K734" s="470"/>
      <c r="L734" s="470">
        <f>TRUNC(K734*E734,0)</f>
        <v>0</v>
      </c>
      <c r="M734" s="470">
        <f t="shared" si="177"/>
        <v>111771</v>
      </c>
      <c r="N734" s="470">
        <f t="shared" si="177"/>
        <v>2235</v>
      </c>
      <c r="O734" s="459"/>
      <c r="P734" s="767"/>
    </row>
    <row r="735" spans="2:17" ht="15.2" customHeight="1">
      <c r="B735" s="766" t="s">
        <v>1965</v>
      </c>
      <c r="C735" s="766"/>
      <c r="D735" s="84" t="s">
        <v>1055</v>
      </c>
      <c r="E735" s="87">
        <v>0.2</v>
      </c>
      <c r="F735" s="86" t="s">
        <v>1352</v>
      </c>
      <c r="G735" s="470">
        <f>$H$167</f>
        <v>7906</v>
      </c>
      <c r="H735" s="470">
        <f>TRUNC(E735*G735,0)</f>
        <v>1581</v>
      </c>
      <c r="I735" s="470">
        <f>$J$167</f>
        <v>17747</v>
      </c>
      <c r="J735" s="470">
        <f>TRUNC(I735*E735,0)</f>
        <v>3549</v>
      </c>
      <c r="K735" s="470">
        <f>$L$167</f>
        <v>0</v>
      </c>
      <c r="L735" s="470">
        <f>TRUNC(K735*E735,0)</f>
        <v>0</v>
      </c>
      <c r="M735" s="470">
        <f t="shared" si="177"/>
        <v>25653</v>
      </c>
      <c r="N735" s="470">
        <f t="shared" si="177"/>
        <v>5130</v>
      </c>
      <c r="O735" s="462">
        <f>$P$163</f>
        <v>23</v>
      </c>
      <c r="P735" s="767"/>
    </row>
    <row r="736" spans="2:17" ht="15.2" customHeight="1">
      <c r="B736" s="766" t="s">
        <v>855</v>
      </c>
      <c r="C736" s="766"/>
      <c r="D736" s="84"/>
      <c r="E736" s="87"/>
      <c r="F736" s="86"/>
      <c r="G736" s="470"/>
      <c r="H736" s="470">
        <f>SUM(H733:H735)</f>
        <v>7683</v>
      </c>
      <c r="I736" s="470"/>
      <c r="J736" s="470">
        <f>SUM(J733:J735)</f>
        <v>24272</v>
      </c>
      <c r="K736" s="470"/>
      <c r="L736" s="470">
        <f>SUM(L733:L735)</f>
        <v>797</v>
      </c>
      <c r="M736" s="470"/>
      <c r="N736" s="470">
        <f>SUM(N733:N735)</f>
        <v>32752</v>
      </c>
      <c r="O736" s="459"/>
      <c r="P736" s="767"/>
      <c r="Q736" s="80" t="s">
        <v>3244</v>
      </c>
    </row>
    <row r="737" spans="2:17" ht="15.2" customHeight="1">
      <c r="B737" s="96">
        <f>P737</f>
        <v>138</v>
      </c>
      <c r="C737" s="770" t="s">
        <v>1057</v>
      </c>
      <c r="D737" s="770"/>
      <c r="E737" s="770"/>
      <c r="F737" s="771"/>
      <c r="G737" s="470"/>
      <c r="H737" s="470"/>
      <c r="I737" s="470"/>
      <c r="J737" s="470"/>
      <c r="K737" s="470"/>
      <c r="L737" s="470"/>
      <c r="M737" s="470"/>
      <c r="N737" s="470"/>
      <c r="O737" s="459"/>
      <c r="P737" s="767">
        <f>MAX($P$5:P736)+1</f>
        <v>138</v>
      </c>
      <c r="Q737" s="80" t="s">
        <v>3243</v>
      </c>
    </row>
    <row r="738" spans="2:17" ht="15.2" customHeight="1">
      <c r="B738" s="766" t="s">
        <v>1058</v>
      </c>
      <c r="C738" s="766"/>
      <c r="D738" s="84" t="s">
        <v>1734</v>
      </c>
      <c r="E738" s="88">
        <v>8.5000000000000006E-2</v>
      </c>
      <c r="F738" s="86" t="s">
        <v>1168</v>
      </c>
      <c r="G738" s="470"/>
      <c r="H738" s="470">
        <f>TRUNC(E738*G738,0)</f>
        <v>0</v>
      </c>
      <c r="I738" s="470"/>
      <c r="J738" s="470">
        <f>TRUNC(I738*E738,0)</f>
        <v>0</v>
      </c>
      <c r="K738" s="470"/>
      <c r="L738" s="470">
        <f>TRUNC(K738*E738,0)</f>
        <v>0</v>
      </c>
      <c r="M738" s="470">
        <f t="shared" ref="M738:N741" si="178">G738+I738+K738</f>
        <v>0</v>
      </c>
      <c r="N738" s="470">
        <f t="shared" si="178"/>
        <v>0</v>
      </c>
      <c r="O738" s="459"/>
      <c r="P738" s="767"/>
    </row>
    <row r="739" spans="2:17" ht="15.2" customHeight="1">
      <c r="B739" s="766" t="s">
        <v>1735</v>
      </c>
      <c r="C739" s="766"/>
      <c r="D739" s="84"/>
      <c r="E739" s="88">
        <v>8.5000000000000006E-2</v>
      </c>
      <c r="F739" s="86" t="s">
        <v>1168</v>
      </c>
      <c r="G739" s="470">
        <f>$H$262</f>
        <v>0</v>
      </c>
      <c r="H739" s="470">
        <f>TRUNC(E739*G739,0)</f>
        <v>0</v>
      </c>
      <c r="I739" s="470">
        <f>$J$262</f>
        <v>30540</v>
      </c>
      <c r="J739" s="470">
        <f>TRUNC(I739*E739,0)</f>
        <v>2595</v>
      </c>
      <c r="K739" s="470">
        <f>$L$262</f>
        <v>0</v>
      </c>
      <c r="L739" s="470">
        <f>TRUNC(K739*E739,0)</f>
        <v>0</v>
      </c>
      <c r="M739" s="470">
        <f t="shared" si="178"/>
        <v>30540</v>
      </c>
      <c r="N739" s="470">
        <f t="shared" si="178"/>
        <v>2595</v>
      </c>
      <c r="O739" s="459">
        <f>$H$262</f>
        <v>0</v>
      </c>
      <c r="P739" s="767"/>
    </row>
    <row r="740" spans="2:17" ht="15.2" customHeight="1">
      <c r="B740" s="766" t="s">
        <v>1165</v>
      </c>
      <c r="C740" s="766"/>
      <c r="D740" s="84" t="s">
        <v>3206</v>
      </c>
      <c r="E740" s="87">
        <v>0.02</v>
      </c>
      <c r="F740" s="86" t="s">
        <v>1163</v>
      </c>
      <c r="G740" s="470"/>
      <c r="H740" s="470">
        <f>TRUNC(E740*G740,0)</f>
        <v>0</v>
      </c>
      <c r="I740" s="470">
        <f>SUMIF('노임(2015)'!$B$4:$B$87,일위대가!B740,'노임(2015)'!$C$4:$C$87)+SUMIF('노임(2015)'!$E$4:$E$87,일위대가!B740,'노임(2015)'!$F$4:$F$87)</f>
        <v>111771</v>
      </c>
      <c r="J740" s="470">
        <f>TRUNC(I740*E740,0)</f>
        <v>2235</v>
      </c>
      <c r="K740" s="470"/>
      <c r="L740" s="470">
        <f>TRUNC(K740*E740,0)</f>
        <v>0</v>
      </c>
      <c r="M740" s="470">
        <f t="shared" si="178"/>
        <v>111771</v>
      </c>
      <c r="N740" s="470">
        <f t="shared" si="178"/>
        <v>2235</v>
      </c>
      <c r="O740" s="459"/>
      <c r="P740" s="767"/>
    </row>
    <row r="741" spans="2:17" ht="15.2" customHeight="1">
      <c r="B741" s="766" t="s">
        <v>1965</v>
      </c>
      <c r="C741" s="766"/>
      <c r="D741" s="84" t="s">
        <v>1055</v>
      </c>
      <c r="E741" s="87">
        <v>0.2</v>
      </c>
      <c r="F741" s="86" t="s">
        <v>1352</v>
      </c>
      <c r="G741" s="470">
        <f>$H$167</f>
        <v>7906</v>
      </c>
      <c r="H741" s="470">
        <f>TRUNC(E741*G741,0)</f>
        <v>1581</v>
      </c>
      <c r="I741" s="470">
        <f>$J$167</f>
        <v>17747</v>
      </c>
      <c r="J741" s="470">
        <f>TRUNC(I741*E741,0)</f>
        <v>3549</v>
      </c>
      <c r="K741" s="470">
        <f>$L$167</f>
        <v>0</v>
      </c>
      <c r="L741" s="470">
        <f>TRUNC(K741*E741,0)</f>
        <v>0</v>
      </c>
      <c r="M741" s="470">
        <f t="shared" si="178"/>
        <v>25653</v>
      </c>
      <c r="N741" s="470">
        <f t="shared" si="178"/>
        <v>5130</v>
      </c>
      <c r="O741" s="462">
        <f>$P$163</f>
        <v>23</v>
      </c>
      <c r="P741" s="767"/>
    </row>
    <row r="742" spans="2:17" ht="15.2" customHeight="1">
      <c r="B742" s="766" t="s">
        <v>855</v>
      </c>
      <c r="C742" s="766"/>
      <c r="D742" s="84"/>
      <c r="E742" s="87"/>
      <c r="F742" s="86"/>
      <c r="G742" s="470"/>
      <c r="H742" s="470">
        <f>SUM(H738:H741)</f>
        <v>1581</v>
      </c>
      <c r="I742" s="470"/>
      <c r="J742" s="470">
        <f>SUM(J738:J741)</f>
        <v>8379</v>
      </c>
      <c r="K742" s="470"/>
      <c r="L742" s="470">
        <f>SUM(L738:L741)</f>
        <v>0</v>
      </c>
      <c r="M742" s="470"/>
      <c r="N742" s="470">
        <f>SUM(N738:N741)</f>
        <v>9960</v>
      </c>
      <c r="O742" s="459"/>
      <c r="P742" s="767"/>
      <c r="Q742" s="80" t="s">
        <v>3244</v>
      </c>
    </row>
    <row r="743" spans="2:17" ht="15.2" customHeight="1">
      <c r="B743" s="96">
        <f>P743</f>
        <v>139</v>
      </c>
      <c r="C743" s="770" t="s">
        <v>1059</v>
      </c>
      <c r="D743" s="770"/>
      <c r="E743" s="770"/>
      <c r="F743" s="771"/>
      <c r="G743" s="470"/>
      <c r="H743" s="470"/>
      <c r="I743" s="470"/>
      <c r="J743" s="470"/>
      <c r="K743" s="470"/>
      <c r="L743" s="470"/>
      <c r="M743" s="470"/>
      <c r="N743" s="470"/>
      <c r="O743" s="459"/>
      <c r="P743" s="767">
        <f>MAX($P$5:P742)+1</f>
        <v>139</v>
      </c>
      <c r="Q743" s="80" t="s">
        <v>3243</v>
      </c>
    </row>
    <row r="744" spans="2:17" ht="15.2" customHeight="1">
      <c r="B744" s="766" t="s">
        <v>1058</v>
      </c>
      <c r="C744" s="766"/>
      <c r="D744" s="84" t="s">
        <v>1734</v>
      </c>
      <c r="E744" s="88">
        <v>9.5000000000000001E-2</v>
      </c>
      <c r="F744" s="86" t="s">
        <v>1168</v>
      </c>
      <c r="G744" s="470"/>
      <c r="H744" s="470">
        <f>TRUNC(E744*G744,0)</f>
        <v>0</v>
      </c>
      <c r="I744" s="470"/>
      <c r="J744" s="470">
        <f>TRUNC(I744*E744,0)</f>
        <v>0</v>
      </c>
      <c r="K744" s="470"/>
      <c r="L744" s="470">
        <f>TRUNC(K744*E744,0)</f>
        <v>0</v>
      </c>
      <c r="M744" s="470">
        <f t="shared" ref="M744:N747" si="179">G744+I744+K744</f>
        <v>0</v>
      </c>
      <c r="N744" s="470">
        <f t="shared" si="179"/>
        <v>0</v>
      </c>
      <c r="O744" s="459"/>
      <c r="P744" s="767"/>
    </row>
    <row r="745" spans="2:17" ht="15.2" customHeight="1">
      <c r="B745" s="766" t="s">
        <v>1735</v>
      </c>
      <c r="C745" s="766"/>
      <c r="D745" s="84"/>
      <c r="E745" s="88">
        <v>9.5000000000000001E-2</v>
      </c>
      <c r="F745" s="86" t="s">
        <v>1168</v>
      </c>
      <c r="G745" s="470">
        <f>$H$262</f>
        <v>0</v>
      </c>
      <c r="H745" s="470">
        <f>TRUNC(E745*G745,0)</f>
        <v>0</v>
      </c>
      <c r="I745" s="470">
        <f>$J$262</f>
        <v>30540</v>
      </c>
      <c r="J745" s="470">
        <f>TRUNC(I745*E745,0)</f>
        <v>2901</v>
      </c>
      <c r="K745" s="470">
        <f>$L$262</f>
        <v>0</v>
      </c>
      <c r="L745" s="470">
        <f>TRUNC(K745*E745,0)</f>
        <v>0</v>
      </c>
      <c r="M745" s="470">
        <f t="shared" si="179"/>
        <v>30540</v>
      </c>
      <c r="N745" s="470">
        <f t="shared" si="179"/>
        <v>2901</v>
      </c>
      <c r="O745" s="459">
        <f>$H$262</f>
        <v>0</v>
      </c>
      <c r="P745" s="767"/>
    </row>
    <row r="746" spans="2:17" ht="15.2" customHeight="1">
      <c r="B746" s="766" t="s">
        <v>1165</v>
      </c>
      <c r="C746" s="766"/>
      <c r="D746" s="84" t="s">
        <v>3206</v>
      </c>
      <c r="E746" s="87">
        <v>0.02</v>
      </c>
      <c r="F746" s="86" t="s">
        <v>1163</v>
      </c>
      <c r="G746" s="470"/>
      <c r="H746" s="470">
        <f>TRUNC(E746*G746,0)</f>
        <v>0</v>
      </c>
      <c r="I746" s="470">
        <f>SUMIF('노임(2015)'!$B$4:$B$87,일위대가!B746,'노임(2015)'!$C$4:$C$87)+SUMIF('노임(2015)'!$E$4:$E$87,일위대가!B746,'노임(2015)'!$F$4:$F$87)</f>
        <v>111771</v>
      </c>
      <c r="J746" s="470">
        <f>TRUNC(I746*E746,0)</f>
        <v>2235</v>
      </c>
      <c r="K746" s="470"/>
      <c r="L746" s="470">
        <f>TRUNC(K746*E746,0)</f>
        <v>0</v>
      </c>
      <c r="M746" s="470">
        <f t="shared" si="179"/>
        <v>111771</v>
      </c>
      <c r="N746" s="470">
        <f t="shared" si="179"/>
        <v>2235</v>
      </c>
      <c r="O746" s="459"/>
      <c r="P746" s="767"/>
    </row>
    <row r="747" spans="2:17" ht="15.2" customHeight="1">
      <c r="B747" s="766" t="s">
        <v>1965</v>
      </c>
      <c r="C747" s="766"/>
      <c r="D747" s="84" t="s">
        <v>1055</v>
      </c>
      <c r="E747" s="87">
        <v>0.2</v>
      </c>
      <c r="F747" s="86" t="s">
        <v>1352</v>
      </c>
      <c r="G747" s="470">
        <f>$H$167</f>
        <v>7906</v>
      </c>
      <c r="H747" s="470">
        <f>TRUNC(E747*G747,0)</f>
        <v>1581</v>
      </c>
      <c r="I747" s="470">
        <f>$J$167</f>
        <v>17747</v>
      </c>
      <c r="J747" s="470">
        <f>TRUNC(I747*E747,0)</f>
        <v>3549</v>
      </c>
      <c r="K747" s="470">
        <f>$L$167</f>
        <v>0</v>
      </c>
      <c r="L747" s="470">
        <f>TRUNC(K747*E747,0)</f>
        <v>0</v>
      </c>
      <c r="M747" s="470">
        <f t="shared" si="179"/>
        <v>25653</v>
      </c>
      <c r="N747" s="470">
        <f t="shared" si="179"/>
        <v>5130</v>
      </c>
      <c r="O747" s="462">
        <f>$P$163</f>
        <v>23</v>
      </c>
      <c r="P747" s="767"/>
    </row>
    <row r="748" spans="2:17" ht="15.2" customHeight="1">
      <c r="B748" s="766" t="s">
        <v>855</v>
      </c>
      <c r="C748" s="766"/>
      <c r="D748" s="84"/>
      <c r="E748" s="87"/>
      <c r="F748" s="86"/>
      <c r="G748" s="470"/>
      <c r="H748" s="470">
        <f>SUM(H744:H747)</f>
        <v>1581</v>
      </c>
      <c r="I748" s="470"/>
      <c r="J748" s="470">
        <f>SUM(J744:J747)</f>
        <v>8685</v>
      </c>
      <c r="K748" s="470"/>
      <c r="L748" s="470">
        <f>SUM(L744:L747)</f>
        <v>0</v>
      </c>
      <c r="M748" s="470"/>
      <c r="N748" s="470">
        <f>SUM(N744:N747)</f>
        <v>10266</v>
      </c>
      <c r="O748" s="457"/>
      <c r="P748" s="767"/>
      <c r="Q748" s="80" t="s">
        <v>3244</v>
      </c>
    </row>
    <row r="749" spans="2:17" ht="15.2" customHeight="1">
      <c r="B749" s="96">
        <f>P749</f>
        <v>140</v>
      </c>
      <c r="C749" s="770" t="s">
        <v>3667</v>
      </c>
      <c r="D749" s="770"/>
      <c r="E749" s="770"/>
      <c r="F749" s="771"/>
      <c r="G749" s="470"/>
      <c r="H749" s="470"/>
      <c r="I749" s="470"/>
      <c r="J749" s="470"/>
      <c r="K749" s="470"/>
      <c r="L749" s="470"/>
      <c r="M749" s="470"/>
      <c r="N749" s="470"/>
      <c r="O749" s="457"/>
      <c r="P749" s="767">
        <f>MAX($P$5:P748)+1</f>
        <v>140</v>
      </c>
      <c r="Q749" s="80" t="s">
        <v>3243</v>
      </c>
    </row>
    <row r="750" spans="2:17" ht="15.2" customHeight="1">
      <c r="B750" s="766" t="s">
        <v>1162</v>
      </c>
      <c r="C750" s="766"/>
      <c r="D750" s="84" t="s">
        <v>968</v>
      </c>
      <c r="E750" s="88">
        <v>4.5999999999999999E-2</v>
      </c>
      <c r="F750" s="86" t="s">
        <v>1163</v>
      </c>
      <c r="G750" s="470"/>
      <c r="H750" s="470">
        <f>TRUNC(E750*G750,0)</f>
        <v>0</v>
      </c>
      <c r="I750" s="470">
        <f>SUMIF('노임(2015)'!$B$4:$B$87,B750,'노임(2015)'!$C$4:$C$87)+SUMIF('노임(2015)'!$E$4:$E$87,B750,'노임(2015)'!$F$4:$F$87)</f>
        <v>89566</v>
      </c>
      <c r="J750" s="470">
        <f>TRUNC(I750*E750,0)</f>
        <v>4120</v>
      </c>
      <c r="K750" s="470"/>
      <c r="L750" s="470">
        <f>TRUNC(K750*E750,0)</f>
        <v>0</v>
      </c>
      <c r="M750" s="470">
        <f>G750+I750+K750</f>
        <v>89566</v>
      </c>
      <c r="N750" s="470">
        <f>H750+J750+L750</f>
        <v>4120</v>
      </c>
      <c r="O750" s="457"/>
      <c r="P750" s="767"/>
    </row>
    <row r="751" spans="2:17" ht="15.2" customHeight="1">
      <c r="B751" s="766" t="s">
        <v>855</v>
      </c>
      <c r="C751" s="766"/>
      <c r="D751" s="84"/>
      <c r="E751" s="87"/>
      <c r="F751" s="86"/>
      <c r="G751" s="470"/>
      <c r="H751" s="470">
        <f>SUM(H750:H750)</f>
        <v>0</v>
      </c>
      <c r="I751" s="470"/>
      <c r="J751" s="470">
        <f>SUM(J750:J750)</f>
        <v>4120</v>
      </c>
      <c r="K751" s="470"/>
      <c r="L751" s="470">
        <f>SUM(L750:L750)</f>
        <v>0</v>
      </c>
      <c r="M751" s="470"/>
      <c r="N751" s="470">
        <f>SUM(N750:N750)</f>
        <v>4120</v>
      </c>
      <c r="O751" s="457"/>
      <c r="P751" s="767"/>
      <c r="Q751" s="80" t="s">
        <v>3244</v>
      </c>
    </row>
    <row r="752" spans="2:17" s="647" customFormat="1" ht="15.2" customHeight="1">
      <c r="B752" s="652">
        <f>P752</f>
        <v>141</v>
      </c>
      <c r="C752" s="770" t="s">
        <v>4049</v>
      </c>
      <c r="D752" s="770"/>
      <c r="E752" s="770"/>
      <c r="F752" s="771"/>
      <c r="G752" s="655"/>
      <c r="H752" s="655"/>
      <c r="I752" s="655"/>
      <c r="J752" s="655"/>
      <c r="K752" s="655"/>
      <c r="L752" s="655"/>
      <c r="M752" s="655"/>
      <c r="N752" s="655"/>
      <c r="O752" s="459"/>
      <c r="P752" s="767">
        <f>MAX($P$5:P751)+1</f>
        <v>141</v>
      </c>
      <c r="Q752" s="647" t="s">
        <v>3243</v>
      </c>
    </row>
    <row r="753" spans="1:17" s="647" customFormat="1" ht="15.2" customHeight="1">
      <c r="B753" s="766" t="s">
        <v>3625</v>
      </c>
      <c r="C753" s="766"/>
      <c r="D753" s="648" t="s">
        <v>4051</v>
      </c>
      <c r="E753" s="651">
        <v>2.5000000000000001E-2</v>
      </c>
      <c r="F753" s="649" t="s">
        <v>3610</v>
      </c>
      <c r="G753" s="655"/>
      <c r="H753" s="655">
        <f>TRUNC(E753*G753,0)</f>
        <v>0</v>
      </c>
      <c r="I753" s="655">
        <f>SUMIF('노임(2015)'!$B$4:$B$87,B753,'노임(2015)'!$C$4:$C$87)+SUMIF('노임(2015)'!$E$4:$E$87,B753,'노임(2015)'!$F$4:$F$87)</f>
        <v>111771</v>
      </c>
      <c r="J753" s="655">
        <f>TRUNC(I753*E753,0)</f>
        <v>2794</v>
      </c>
      <c r="K753" s="655"/>
      <c r="L753" s="655">
        <f>TRUNC(K753*E753,0)</f>
        <v>0</v>
      </c>
      <c r="M753" s="655">
        <f t="shared" ref="M753:M755" si="180">G753+I753+K753</f>
        <v>111771</v>
      </c>
      <c r="N753" s="655">
        <f t="shared" ref="N753:N755" si="181">H753+J753+L753</f>
        <v>2794</v>
      </c>
      <c r="O753" s="459"/>
      <c r="P753" s="767"/>
    </row>
    <row r="754" spans="1:17" s="647" customFormat="1" ht="15.2" customHeight="1">
      <c r="B754" s="766" t="s">
        <v>1804</v>
      </c>
      <c r="C754" s="766"/>
      <c r="D754" s="648" t="s">
        <v>4052</v>
      </c>
      <c r="E754" s="651">
        <v>0.1</v>
      </c>
      <c r="F754" s="649" t="s">
        <v>4054</v>
      </c>
      <c r="G754" s="655">
        <f>중기사용료!$M$1290</f>
        <v>8899</v>
      </c>
      <c r="H754" s="655">
        <f>TRUNC(E754*G754,0)</f>
        <v>889</v>
      </c>
      <c r="I754" s="655">
        <f>중기사용료!$M$1284</f>
        <v>18939</v>
      </c>
      <c r="J754" s="655">
        <f>TRUNC(I754*E754,0)</f>
        <v>1893</v>
      </c>
      <c r="K754" s="655">
        <f>중기사용료!$M$1278</f>
        <v>1460</v>
      </c>
      <c r="L754" s="655">
        <f>TRUNC(K754*E754,0)</f>
        <v>146</v>
      </c>
      <c r="M754" s="655">
        <f t="shared" si="180"/>
        <v>29298</v>
      </c>
      <c r="N754" s="655">
        <f t="shared" si="181"/>
        <v>2928</v>
      </c>
      <c r="O754" s="459">
        <f>$H$262</f>
        <v>0</v>
      </c>
      <c r="P754" s="767"/>
    </row>
    <row r="755" spans="1:17" s="647" customFormat="1" ht="15.2" customHeight="1">
      <c r="B755" s="766" t="s">
        <v>4050</v>
      </c>
      <c r="C755" s="766"/>
      <c r="D755" s="648" t="s">
        <v>4053</v>
      </c>
      <c r="E755" s="97">
        <v>6.0000000000000001E-3</v>
      </c>
      <c r="F755" s="649" t="s">
        <v>1161</v>
      </c>
      <c r="G755" s="655">
        <f>사급자재!M213</f>
        <v>80000</v>
      </c>
      <c r="H755" s="655">
        <f>TRUNC(E755*G755,0)</f>
        <v>480</v>
      </c>
      <c r="I755" s="655">
        <f>SUMIF('노임(2015)'!$B$4:$B$87,일위대가!B755,'노임(2015)'!$C$4:$C$87)+SUMIF('노임(2015)'!$E$4:$E$87,일위대가!B755,'노임(2015)'!$F$4:$F$87)</f>
        <v>0</v>
      </c>
      <c r="J755" s="655">
        <f>TRUNC(I755*E755,0)</f>
        <v>0</v>
      </c>
      <c r="K755" s="655"/>
      <c r="L755" s="655">
        <f>TRUNC(K755*E755,0)</f>
        <v>0</v>
      </c>
      <c r="M755" s="655">
        <f t="shared" si="180"/>
        <v>80000</v>
      </c>
      <c r="N755" s="655">
        <f t="shared" si="181"/>
        <v>480</v>
      </c>
      <c r="O755" s="459"/>
      <c r="P755" s="767"/>
    </row>
    <row r="756" spans="1:17" s="647" customFormat="1" ht="15.2" customHeight="1">
      <c r="B756" s="766" t="s">
        <v>855</v>
      </c>
      <c r="C756" s="766"/>
      <c r="D756" s="648"/>
      <c r="E756" s="650"/>
      <c r="F756" s="649"/>
      <c r="G756" s="655"/>
      <c r="H756" s="655">
        <f>SUM(H753:H755)</f>
        <v>1369</v>
      </c>
      <c r="I756" s="655"/>
      <c r="J756" s="655">
        <f>SUM(J753:J755)</f>
        <v>4687</v>
      </c>
      <c r="K756" s="655"/>
      <c r="L756" s="655">
        <f>SUM(L753:L755)</f>
        <v>146</v>
      </c>
      <c r="M756" s="655"/>
      <c r="N756" s="655">
        <f>SUM(N753:N755)</f>
        <v>6202</v>
      </c>
      <c r="O756" s="653"/>
      <c r="P756" s="767"/>
      <c r="Q756" s="647" t="s">
        <v>3244</v>
      </c>
    </row>
    <row r="757" spans="1:17" s="647" customFormat="1" ht="15.2" customHeight="1">
      <c r="B757" s="652">
        <f>P757</f>
        <v>142</v>
      </c>
      <c r="C757" s="770" t="s">
        <v>4056</v>
      </c>
      <c r="D757" s="770"/>
      <c r="E757" s="770"/>
      <c r="F757" s="771"/>
      <c r="G757" s="655"/>
      <c r="H757" s="655"/>
      <c r="I757" s="655"/>
      <c r="J757" s="655"/>
      <c r="K757" s="655"/>
      <c r="L757" s="655"/>
      <c r="M757" s="655"/>
      <c r="N757" s="655"/>
      <c r="O757" s="459"/>
      <c r="P757" s="767">
        <f>MAX($P$5:P756)+1</f>
        <v>142</v>
      </c>
      <c r="Q757" s="647" t="s">
        <v>3243</v>
      </c>
    </row>
    <row r="758" spans="1:17" s="647" customFormat="1" ht="15.2" customHeight="1">
      <c r="B758" s="766" t="s">
        <v>1165</v>
      </c>
      <c r="C758" s="766"/>
      <c r="D758" s="648" t="s">
        <v>4051</v>
      </c>
      <c r="E758" s="651">
        <v>0.08</v>
      </c>
      <c r="F758" s="649" t="s">
        <v>1163</v>
      </c>
      <c r="G758" s="655"/>
      <c r="H758" s="655">
        <f>TRUNC(E758*G758,0)</f>
        <v>0</v>
      </c>
      <c r="I758" s="655">
        <f>SUMIF('노임(2015)'!$B$4:$B$87,B758,'노임(2015)'!$C$4:$C$87)+SUMIF('노임(2015)'!$E$4:$E$87,B758,'노임(2015)'!$F$4:$F$87)</f>
        <v>111771</v>
      </c>
      <c r="J758" s="655">
        <f>TRUNC(I758*E758,0)</f>
        <v>8941</v>
      </c>
      <c r="K758" s="655"/>
      <c r="L758" s="655">
        <f>TRUNC(K758*E758,0)</f>
        <v>0</v>
      </c>
      <c r="M758" s="655">
        <f t="shared" ref="M758:M760" si="182">G758+I758+K758</f>
        <v>111771</v>
      </c>
      <c r="N758" s="655">
        <f t="shared" ref="N758:N760" si="183">H758+J758+L758</f>
        <v>8941</v>
      </c>
      <c r="O758" s="459"/>
      <c r="P758" s="767"/>
    </row>
    <row r="759" spans="1:17" s="647" customFormat="1" ht="15.2" customHeight="1">
      <c r="B759" s="766" t="s">
        <v>1804</v>
      </c>
      <c r="C759" s="766"/>
      <c r="D759" s="648" t="s">
        <v>4052</v>
      </c>
      <c r="E759" s="651">
        <v>0.32</v>
      </c>
      <c r="F759" s="649" t="s">
        <v>445</v>
      </c>
      <c r="G759" s="655">
        <f>중기사용료!$M$1290</f>
        <v>8899</v>
      </c>
      <c r="H759" s="655">
        <f>TRUNC(E759*G759,0)</f>
        <v>2847</v>
      </c>
      <c r="I759" s="655">
        <f>중기사용료!$M$1284</f>
        <v>18939</v>
      </c>
      <c r="J759" s="655">
        <f>TRUNC(I759*E759,0)</f>
        <v>6060</v>
      </c>
      <c r="K759" s="655">
        <f>중기사용료!$M$1278</f>
        <v>1460</v>
      </c>
      <c r="L759" s="655">
        <f>TRUNC(K759*E759,0)</f>
        <v>467</v>
      </c>
      <c r="M759" s="655">
        <f t="shared" si="182"/>
        <v>29298</v>
      </c>
      <c r="N759" s="655">
        <f t="shared" si="183"/>
        <v>9374</v>
      </c>
      <c r="O759" s="459">
        <f>$H$262</f>
        <v>0</v>
      </c>
      <c r="P759" s="767"/>
    </row>
    <row r="760" spans="1:17" s="647" customFormat="1" ht="15.2" customHeight="1">
      <c r="B760" s="766" t="s">
        <v>4050</v>
      </c>
      <c r="C760" s="766"/>
      <c r="D760" s="648" t="s">
        <v>4053</v>
      </c>
      <c r="E760" s="97">
        <v>0.02</v>
      </c>
      <c r="F760" s="649" t="s">
        <v>1161</v>
      </c>
      <c r="G760" s="655">
        <f>사급자재!M213</f>
        <v>80000</v>
      </c>
      <c r="H760" s="655">
        <f>TRUNC(E760*G760,0)</f>
        <v>1600</v>
      </c>
      <c r="I760" s="655">
        <f>SUMIF('노임(2015)'!$B$4:$B$87,일위대가!B760,'노임(2015)'!$C$4:$C$87)+SUMIF('노임(2015)'!$E$4:$E$87,일위대가!B760,'노임(2015)'!$F$4:$F$87)</f>
        <v>0</v>
      </c>
      <c r="J760" s="655">
        <f>TRUNC(I760*E760,0)</f>
        <v>0</v>
      </c>
      <c r="K760" s="655"/>
      <c r="L760" s="655">
        <f>TRUNC(K760*E760,0)</f>
        <v>0</v>
      </c>
      <c r="M760" s="655">
        <f t="shared" si="182"/>
        <v>80000</v>
      </c>
      <c r="N760" s="655">
        <f t="shared" si="183"/>
        <v>1600</v>
      </c>
      <c r="O760" s="459"/>
      <c r="P760" s="767"/>
    </row>
    <row r="761" spans="1:17" s="647" customFormat="1" ht="15.2" customHeight="1">
      <c r="B761" s="766" t="s">
        <v>855</v>
      </c>
      <c r="C761" s="766"/>
      <c r="D761" s="648"/>
      <c r="E761" s="650"/>
      <c r="F761" s="649"/>
      <c r="G761" s="655"/>
      <c r="H761" s="655">
        <f>SUM(H758:H760)</f>
        <v>4447</v>
      </c>
      <c r="I761" s="655"/>
      <c r="J761" s="655">
        <f>SUM(J758:J760)</f>
        <v>15001</v>
      </c>
      <c r="K761" s="655"/>
      <c r="L761" s="655">
        <f>SUM(L758:L760)</f>
        <v>467</v>
      </c>
      <c r="M761" s="655"/>
      <c r="N761" s="655">
        <f>SUM(N758:N760)</f>
        <v>19915</v>
      </c>
      <c r="O761" s="653"/>
      <c r="P761" s="767"/>
      <c r="Q761" s="647" t="s">
        <v>1164</v>
      </c>
    </row>
    <row r="762" spans="1:17" ht="15.2" customHeight="1">
      <c r="A762" s="647" t="s">
        <v>4061</v>
      </c>
      <c r="B762" s="96">
        <f>P762</f>
        <v>143</v>
      </c>
      <c r="C762" s="770" t="s">
        <v>4048</v>
      </c>
      <c r="D762" s="770"/>
      <c r="E762" s="770"/>
      <c r="F762" s="771"/>
      <c r="G762" s="470"/>
      <c r="H762" s="470"/>
      <c r="I762" s="470"/>
      <c r="J762" s="470"/>
      <c r="K762" s="470"/>
      <c r="L762" s="470"/>
      <c r="M762" s="470"/>
      <c r="N762" s="470"/>
      <c r="O762" s="457"/>
      <c r="P762" s="767">
        <f>MAX($P$5:P761)+1</f>
        <v>143</v>
      </c>
      <c r="Q762" s="80" t="s">
        <v>3243</v>
      </c>
    </row>
    <row r="763" spans="1:17" ht="15.2" customHeight="1">
      <c r="B763" s="766" t="s">
        <v>1060</v>
      </c>
      <c r="C763" s="766"/>
      <c r="D763" s="648" t="s">
        <v>1736</v>
      </c>
      <c r="E763" s="85">
        <v>108</v>
      </c>
      <c r="F763" s="649" t="s">
        <v>1352</v>
      </c>
      <c r="G763" s="655"/>
      <c r="H763" s="655">
        <f t="shared" ref="H763:H772" si="184">TRUNC(E763*G763,0)</f>
        <v>0</v>
      </c>
      <c r="I763" s="655"/>
      <c r="J763" s="655">
        <f t="shared" ref="J763:J772" si="185">TRUNC(I763*E763,0)</f>
        <v>0</v>
      </c>
      <c r="K763" s="655">
        <f>자재운반비!AS22</f>
        <v>548.29201101928379</v>
      </c>
      <c r="L763" s="655">
        <f t="shared" ref="L763:L772" si="186">TRUNC(K763*E763,0)</f>
        <v>59215</v>
      </c>
      <c r="M763" s="655">
        <f t="shared" ref="M763:N772" si="187">G763+I763+K763</f>
        <v>548.29201101928379</v>
      </c>
      <c r="N763" s="655">
        <f t="shared" si="187"/>
        <v>59215</v>
      </c>
      <c r="O763" s="653"/>
      <c r="P763" s="767"/>
    </row>
    <row r="764" spans="1:17" ht="15.2" customHeight="1">
      <c r="B764" s="766" t="s">
        <v>1712</v>
      </c>
      <c r="C764" s="766"/>
      <c r="D764" s="648" t="s">
        <v>920</v>
      </c>
      <c r="E764" s="650">
        <v>4.4000000000000004</v>
      </c>
      <c r="F764" s="649" t="s">
        <v>301</v>
      </c>
      <c r="G764" s="655">
        <f>사급자재!$M$14</f>
        <v>23000</v>
      </c>
      <c r="H764" s="655">
        <f>TRUNC(E764*G764,0)</f>
        <v>101200</v>
      </c>
      <c r="I764" s="655"/>
      <c r="J764" s="655">
        <f>TRUNC(I764*E764,0)</f>
        <v>0</v>
      </c>
      <c r="K764" s="655"/>
      <c r="L764" s="655">
        <f>TRUNC(K764*E764,0)</f>
        <v>0</v>
      </c>
      <c r="M764" s="655">
        <f>G764+I764+K764</f>
        <v>23000</v>
      </c>
      <c r="N764" s="655">
        <f>H764+J764+L764</f>
        <v>101200</v>
      </c>
      <c r="O764" s="653"/>
      <c r="P764" s="767"/>
    </row>
    <row r="765" spans="1:17" s="647" customFormat="1" ht="15.2" customHeight="1">
      <c r="B765" s="766" t="s">
        <v>1191</v>
      </c>
      <c r="C765" s="766"/>
      <c r="D765" s="648"/>
      <c r="E765" s="650">
        <v>0.8</v>
      </c>
      <c r="F765" s="649" t="s">
        <v>1163</v>
      </c>
      <c r="G765" s="655"/>
      <c r="H765" s="655">
        <f t="shared" ref="H765" si="188">TRUNC(E765*G765,0)</f>
        <v>0</v>
      </c>
      <c r="I765" s="655">
        <f>SUMIF('노임(2015)'!$B$4:$B$87,B765,'노임(2015)'!$C$4:$C$87)+SUMIF('노임(2015)'!$E$4:$E$87,B765,'노임(2015)'!$F$4:$F$87)</f>
        <v>126728</v>
      </c>
      <c r="J765" s="655">
        <f t="shared" ref="J765" si="189">TRUNC(I765*E765,0)</f>
        <v>101382</v>
      </c>
      <c r="K765" s="655">
        <f>$L$262</f>
        <v>0</v>
      </c>
      <c r="L765" s="655">
        <f t="shared" ref="L765" si="190">TRUNC(K765*E765,0)</f>
        <v>0</v>
      </c>
      <c r="M765" s="655">
        <f t="shared" ref="M765" si="191">G765+I765+K765</f>
        <v>126728</v>
      </c>
      <c r="N765" s="655">
        <f t="shared" ref="N765" si="192">H765+J765+L765</f>
        <v>101382</v>
      </c>
      <c r="O765" s="653"/>
      <c r="P765" s="767"/>
    </row>
    <row r="766" spans="1:17" ht="15.2" customHeight="1">
      <c r="B766" s="766" t="s">
        <v>1165</v>
      </c>
      <c r="C766" s="766"/>
      <c r="D766" s="648"/>
      <c r="E766" s="650">
        <v>0.8</v>
      </c>
      <c r="F766" s="649" t="s">
        <v>1163</v>
      </c>
      <c r="G766" s="655"/>
      <c r="H766" s="655">
        <f t="shared" si="184"/>
        <v>0</v>
      </c>
      <c r="I766" s="655">
        <f>SUMIF('노임(2015)'!$B$4:$B$87,B766,'노임(2015)'!$C$4:$C$87)+SUMIF('노임(2015)'!$E$4:$E$87,B766,'노임(2015)'!$F$4:$F$87)</f>
        <v>111771</v>
      </c>
      <c r="J766" s="655">
        <f t="shared" si="185"/>
        <v>89416</v>
      </c>
      <c r="K766" s="655"/>
      <c r="L766" s="655">
        <f t="shared" si="186"/>
        <v>0</v>
      </c>
      <c r="M766" s="655">
        <f t="shared" si="187"/>
        <v>111771</v>
      </c>
      <c r="N766" s="655">
        <f t="shared" si="187"/>
        <v>89416</v>
      </c>
      <c r="O766" s="653"/>
      <c r="P766" s="767"/>
    </row>
    <row r="767" spans="1:17" ht="15.2" customHeight="1">
      <c r="B767" s="766" t="s">
        <v>1162</v>
      </c>
      <c r="C767" s="766"/>
      <c r="D767" s="648"/>
      <c r="E767" s="650">
        <v>1.6</v>
      </c>
      <c r="F767" s="649" t="s">
        <v>1163</v>
      </c>
      <c r="G767" s="655"/>
      <c r="H767" s="655">
        <f t="shared" si="184"/>
        <v>0</v>
      </c>
      <c r="I767" s="655">
        <f>SUMIF('노임(2015)'!$B$4:$B$87,B767,'노임(2015)'!$C$4:$C$87)+SUMIF('노임(2015)'!$E$4:$E$87,B767,'노임(2015)'!$F$4:$F$87)</f>
        <v>89566</v>
      </c>
      <c r="J767" s="655">
        <f t="shared" si="185"/>
        <v>143305</v>
      </c>
      <c r="K767" s="655"/>
      <c r="L767" s="655">
        <f t="shared" si="186"/>
        <v>0</v>
      </c>
      <c r="M767" s="655">
        <f t="shared" si="187"/>
        <v>89566</v>
      </c>
      <c r="N767" s="655">
        <f t="shared" si="187"/>
        <v>143305</v>
      </c>
      <c r="O767" s="653"/>
      <c r="P767" s="767"/>
    </row>
    <row r="768" spans="1:17" ht="15.2" customHeight="1">
      <c r="B768" s="766" t="s">
        <v>430</v>
      </c>
      <c r="C768" s="766"/>
      <c r="D768" s="648" t="s">
        <v>1586</v>
      </c>
      <c r="E768" s="650">
        <v>3.2</v>
      </c>
      <c r="F768" s="649" t="s">
        <v>453</v>
      </c>
      <c r="G768" s="655">
        <f>중기사용료!$M$815</f>
        <v>1589</v>
      </c>
      <c r="H768" s="655">
        <f t="shared" si="184"/>
        <v>5084</v>
      </c>
      <c r="I768" s="655">
        <f>중기사용료!$M$809</f>
        <v>18939</v>
      </c>
      <c r="J768" s="655">
        <f t="shared" si="185"/>
        <v>60604</v>
      </c>
      <c r="K768" s="655">
        <f>중기사용료!$M$803</f>
        <v>555</v>
      </c>
      <c r="L768" s="655">
        <f t="shared" si="186"/>
        <v>1776</v>
      </c>
      <c r="M768" s="655">
        <f t="shared" si="187"/>
        <v>21083</v>
      </c>
      <c r="N768" s="655">
        <f t="shared" si="187"/>
        <v>67464</v>
      </c>
      <c r="O768" s="460">
        <f>중기사용료!$A$800</f>
        <v>43</v>
      </c>
      <c r="P768" s="767"/>
    </row>
    <row r="769" spans="2:17" ht="15.2" customHeight="1">
      <c r="B769" s="766" t="s">
        <v>3645</v>
      </c>
      <c r="C769" s="766"/>
      <c r="D769" s="648" t="s">
        <v>1622</v>
      </c>
      <c r="E769" s="650">
        <v>3.2</v>
      </c>
      <c r="F769" s="649" t="s">
        <v>453</v>
      </c>
      <c r="G769" s="655">
        <f>중기사용료!$M$207</f>
        <v>16036</v>
      </c>
      <c r="H769" s="655">
        <f>TRUNC(E769*G769,0)</f>
        <v>51315</v>
      </c>
      <c r="I769" s="655">
        <f>중기사용료!$M$201</f>
        <v>27168</v>
      </c>
      <c r="J769" s="655">
        <f>TRUNC(I769*E769,0)</f>
        <v>86937</v>
      </c>
      <c r="K769" s="655">
        <f>중기사용료!$M$195</f>
        <v>21622</v>
      </c>
      <c r="L769" s="655">
        <f>TRUNC(K769*E769,0)</f>
        <v>69190</v>
      </c>
      <c r="M769" s="655">
        <f t="shared" ref="M769:N771" si="193">G769+I769+K769</f>
        <v>64826</v>
      </c>
      <c r="N769" s="655">
        <f t="shared" si="193"/>
        <v>207442</v>
      </c>
      <c r="O769" s="460">
        <f>중기사용료!$A$192</f>
        <v>11</v>
      </c>
      <c r="P769" s="767"/>
    </row>
    <row r="770" spans="2:17" ht="15.2" customHeight="1">
      <c r="B770" s="766" t="s">
        <v>4057</v>
      </c>
      <c r="C770" s="766"/>
      <c r="D770" s="648" t="s">
        <v>4059</v>
      </c>
      <c r="E770" s="650">
        <v>32</v>
      </c>
      <c r="F770" s="649" t="s">
        <v>1190</v>
      </c>
      <c r="G770" s="655">
        <f>$H$756</f>
        <v>1369</v>
      </c>
      <c r="H770" s="655">
        <f>TRUNC(E770*G770,0)</f>
        <v>43808</v>
      </c>
      <c r="I770" s="655">
        <f>$J$756</f>
        <v>4687</v>
      </c>
      <c r="J770" s="655">
        <f>TRUNC(I770*E770,0)</f>
        <v>149984</v>
      </c>
      <c r="K770" s="655">
        <f>$L$756</f>
        <v>146</v>
      </c>
      <c r="L770" s="655">
        <f>TRUNC(K770*E770,0)</f>
        <v>4672</v>
      </c>
      <c r="M770" s="655">
        <f t="shared" si="193"/>
        <v>6202</v>
      </c>
      <c r="N770" s="655">
        <f t="shared" si="193"/>
        <v>198464</v>
      </c>
      <c r="O770" s="462">
        <f>$P$752</f>
        <v>141</v>
      </c>
      <c r="P770" s="767"/>
    </row>
    <row r="771" spans="2:17" s="647" customFormat="1" ht="15.2" customHeight="1">
      <c r="B771" s="766" t="s">
        <v>4058</v>
      </c>
      <c r="C771" s="766"/>
      <c r="D771" s="648" t="s">
        <v>4059</v>
      </c>
      <c r="E771" s="650">
        <v>10</v>
      </c>
      <c r="F771" s="649" t="s">
        <v>1190</v>
      </c>
      <c r="G771" s="655">
        <f>$H$761</f>
        <v>4447</v>
      </c>
      <c r="H771" s="655">
        <f>TRUNC(E771*G771,0)</f>
        <v>44470</v>
      </c>
      <c r="I771" s="655">
        <f>$J$761</f>
        <v>15001</v>
      </c>
      <c r="J771" s="655">
        <f>TRUNC(I771*E771,0)</f>
        <v>150010</v>
      </c>
      <c r="K771" s="655">
        <f>$L$761</f>
        <v>467</v>
      </c>
      <c r="L771" s="655">
        <f>TRUNC(K771*E771,0)</f>
        <v>4670</v>
      </c>
      <c r="M771" s="655">
        <f t="shared" si="193"/>
        <v>19915</v>
      </c>
      <c r="N771" s="655">
        <f t="shared" si="193"/>
        <v>199150</v>
      </c>
      <c r="O771" s="462">
        <f>$P$757</f>
        <v>142</v>
      </c>
      <c r="P771" s="767"/>
    </row>
    <row r="772" spans="2:17" ht="15.2" customHeight="1">
      <c r="B772" s="766" t="s">
        <v>1737</v>
      </c>
      <c r="C772" s="766"/>
      <c r="D772" s="648" t="s">
        <v>1569</v>
      </c>
      <c r="E772" s="650">
        <v>0.05</v>
      </c>
      <c r="F772" s="649" t="s">
        <v>933</v>
      </c>
      <c r="G772" s="655">
        <f>TRUNC(E765*I765+E766*I766+E767*I767)</f>
        <v>334104</v>
      </c>
      <c r="H772" s="655">
        <f t="shared" si="184"/>
        <v>16705</v>
      </c>
      <c r="I772" s="655"/>
      <c r="J772" s="655">
        <f t="shared" si="185"/>
        <v>0</v>
      </c>
      <c r="K772" s="655"/>
      <c r="L772" s="655">
        <f t="shared" si="186"/>
        <v>0</v>
      </c>
      <c r="M772" s="655">
        <f t="shared" si="187"/>
        <v>334104</v>
      </c>
      <c r="N772" s="655">
        <f t="shared" si="187"/>
        <v>16705</v>
      </c>
      <c r="O772" s="460"/>
      <c r="P772" s="767"/>
    </row>
    <row r="773" spans="2:17" ht="15.2" customHeight="1">
      <c r="B773" s="766" t="s">
        <v>3640</v>
      </c>
      <c r="C773" s="766"/>
      <c r="D773" s="648" t="s">
        <v>1623</v>
      </c>
      <c r="E773" s="650">
        <v>0.03</v>
      </c>
      <c r="F773" s="649" t="s">
        <v>933</v>
      </c>
      <c r="G773" s="655"/>
      <c r="H773" s="655">
        <f>TRUNC(E773*G773,0)</f>
        <v>0</v>
      </c>
      <c r="I773" s="655"/>
      <c r="J773" s="655">
        <f>TRUNC(I773*E773,0)</f>
        <v>0</v>
      </c>
      <c r="K773" s="655">
        <f>TRUNC(E765*I765+E766*I766+E767*I767)</f>
        <v>334104</v>
      </c>
      <c r="L773" s="655">
        <f>TRUNC(K773*E773,0)</f>
        <v>10023</v>
      </c>
      <c r="M773" s="655">
        <f>G773+I773+K773</f>
        <v>334104</v>
      </c>
      <c r="N773" s="655">
        <f>H773+J773+L773</f>
        <v>10023</v>
      </c>
      <c r="O773" s="653"/>
      <c r="P773" s="767"/>
    </row>
    <row r="774" spans="2:17" ht="15.2" customHeight="1">
      <c r="B774" s="766" t="s">
        <v>855</v>
      </c>
      <c r="C774" s="766"/>
      <c r="D774" s="648"/>
      <c r="E774" s="650"/>
      <c r="F774" s="649"/>
      <c r="G774" s="655"/>
      <c r="H774" s="655">
        <f>SUM(H763:H773)</f>
        <v>262582</v>
      </c>
      <c r="I774" s="655"/>
      <c r="J774" s="655">
        <f>SUM(J763:J773)</f>
        <v>781638</v>
      </c>
      <c r="K774" s="655"/>
      <c r="L774" s="655">
        <f>SUM(L763:L773)</f>
        <v>149546</v>
      </c>
      <c r="M774" s="655"/>
      <c r="N774" s="655">
        <f>SUM(N763:N773)</f>
        <v>1193766</v>
      </c>
      <c r="O774" s="653"/>
      <c r="P774" s="767"/>
      <c r="Q774" s="80" t="s">
        <v>3244</v>
      </c>
    </row>
    <row r="775" spans="2:17" ht="15.2" customHeight="1">
      <c r="B775" s="96">
        <f>P775</f>
        <v>144</v>
      </c>
      <c r="C775" s="770" t="s">
        <v>3676</v>
      </c>
      <c r="D775" s="770"/>
      <c r="E775" s="770"/>
      <c r="F775" s="771"/>
      <c r="G775" s="470"/>
      <c r="H775" s="470"/>
      <c r="I775" s="470"/>
      <c r="J775" s="470"/>
      <c r="K775" s="470"/>
      <c r="L775" s="470"/>
      <c r="M775" s="470"/>
      <c r="N775" s="470"/>
      <c r="O775" s="457"/>
      <c r="P775" s="767">
        <f>MAX($P$5:P774)+1</f>
        <v>144</v>
      </c>
      <c r="Q775" s="80" t="s">
        <v>3243</v>
      </c>
    </row>
    <row r="776" spans="2:17" ht="15.2" customHeight="1">
      <c r="B776" s="766" t="s">
        <v>1060</v>
      </c>
      <c r="C776" s="766"/>
      <c r="D776" s="84" t="s">
        <v>1736</v>
      </c>
      <c r="E776" s="85">
        <v>108</v>
      </c>
      <c r="F776" s="86" t="s">
        <v>1352</v>
      </c>
      <c r="G776" s="470"/>
      <c r="H776" s="470">
        <f t="shared" ref="H776:H784" si="194">TRUNC(E776*G776,0)</f>
        <v>0</v>
      </c>
      <c r="I776" s="470"/>
      <c r="J776" s="470">
        <f t="shared" ref="J776:J784" si="195">TRUNC(I776*E776,0)</f>
        <v>0</v>
      </c>
      <c r="K776" s="470">
        <f>자재운반비!AS22</f>
        <v>548.29201101928379</v>
      </c>
      <c r="L776" s="470">
        <f t="shared" ref="L776:L784" si="196">TRUNC(K776*E776,0)</f>
        <v>59215</v>
      </c>
      <c r="M776" s="470">
        <f t="shared" ref="M776:M784" si="197">G776+I776+K776</f>
        <v>548.29201101928379</v>
      </c>
      <c r="N776" s="470">
        <f t="shared" ref="N776:N784" si="198">H776+J776+L776</f>
        <v>59215</v>
      </c>
      <c r="O776" s="457"/>
      <c r="P776" s="767"/>
    </row>
    <row r="777" spans="2:17" ht="15.2" customHeight="1">
      <c r="B777" s="766" t="s">
        <v>1712</v>
      </c>
      <c r="C777" s="766"/>
      <c r="D777" s="84" t="s">
        <v>920</v>
      </c>
      <c r="E777" s="87">
        <v>4.4000000000000004</v>
      </c>
      <c r="F777" s="86" t="s">
        <v>301</v>
      </c>
      <c r="G777" s="470">
        <f>사급자재!$M$14</f>
        <v>23000</v>
      </c>
      <c r="H777" s="470">
        <f t="shared" si="194"/>
        <v>101200</v>
      </c>
      <c r="I777" s="470"/>
      <c r="J777" s="470">
        <f t="shared" si="195"/>
        <v>0</v>
      </c>
      <c r="K777" s="470"/>
      <c r="L777" s="470">
        <f t="shared" si="196"/>
        <v>0</v>
      </c>
      <c r="M777" s="470">
        <f t="shared" si="197"/>
        <v>23000</v>
      </c>
      <c r="N777" s="470">
        <f t="shared" si="198"/>
        <v>101200</v>
      </c>
      <c r="O777" s="457"/>
      <c r="P777" s="767"/>
    </row>
    <row r="778" spans="2:17" ht="15.2" customHeight="1">
      <c r="B778" s="766" t="s">
        <v>1165</v>
      </c>
      <c r="C778" s="766"/>
      <c r="D778" s="84"/>
      <c r="E778" s="87">
        <v>1.1100000000000001</v>
      </c>
      <c r="F778" s="86" t="s">
        <v>1163</v>
      </c>
      <c r="G778" s="470"/>
      <c r="H778" s="470">
        <f t="shared" si="194"/>
        <v>0</v>
      </c>
      <c r="I778" s="470">
        <f>SUMIF('노임(2015)'!$B$4:$B$87,B778,'노임(2015)'!$C$4:$C$87)+SUMIF('노임(2015)'!$E$4:$E$87,B778,'노임(2015)'!$F$4:$F$87)</f>
        <v>111771</v>
      </c>
      <c r="J778" s="470">
        <f t="shared" si="195"/>
        <v>124065</v>
      </c>
      <c r="K778" s="470"/>
      <c r="L778" s="470">
        <f t="shared" si="196"/>
        <v>0</v>
      </c>
      <c r="M778" s="470">
        <f t="shared" si="197"/>
        <v>111771</v>
      </c>
      <c r="N778" s="470">
        <f t="shared" si="198"/>
        <v>124065</v>
      </c>
      <c r="O778" s="457"/>
      <c r="P778" s="767"/>
    </row>
    <row r="779" spans="2:17" ht="15.2" customHeight="1">
      <c r="B779" s="766" t="s">
        <v>1162</v>
      </c>
      <c r="C779" s="766"/>
      <c r="D779" s="84"/>
      <c r="E779" s="87">
        <v>2.2200000000000002</v>
      </c>
      <c r="F779" s="86" t="s">
        <v>1163</v>
      </c>
      <c r="G779" s="470"/>
      <c r="H779" s="470">
        <f t="shared" si="194"/>
        <v>0</v>
      </c>
      <c r="I779" s="470">
        <f>SUMIF('노임(2015)'!$B$4:$B$87,B779,'노임(2015)'!$C$4:$C$87)+SUMIF('노임(2015)'!$E$4:$E$87,B779,'노임(2015)'!$F$4:$F$87)</f>
        <v>89566</v>
      </c>
      <c r="J779" s="470">
        <f t="shared" si="195"/>
        <v>198836</v>
      </c>
      <c r="K779" s="470"/>
      <c r="L779" s="470">
        <f t="shared" si="196"/>
        <v>0</v>
      </c>
      <c r="M779" s="470">
        <f t="shared" si="197"/>
        <v>89566</v>
      </c>
      <c r="N779" s="470">
        <f t="shared" si="198"/>
        <v>198836</v>
      </c>
      <c r="O779" s="457"/>
      <c r="P779" s="767"/>
    </row>
    <row r="780" spans="2:17" ht="15.2" customHeight="1">
      <c r="B780" s="766" t="s">
        <v>430</v>
      </c>
      <c r="C780" s="766"/>
      <c r="D780" s="84" t="s">
        <v>1586</v>
      </c>
      <c r="E780" s="87">
        <v>4.4400000000000004</v>
      </c>
      <c r="F780" s="86" t="s">
        <v>453</v>
      </c>
      <c r="G780" s="470">
        <f>중기사용료!$M$815</f>
        <v>1589</v>
      </c>
      <c r="H780" s="470">
        <f t="shared" si="194"/>
        <v>7055</v>
      </c>
      <c r="I780" s="470">
        <f>중기사용료!$M$809</f>
        <v>18939</v>
      </c>
      <c r="J780" s="470">
        <f t="shared" si="195"/>
        <v>84089</v>
      </c>
      <c r="K780" s="470">
        <f>중기사용료!$M$803</f>
        <v>555</v>
      </c>
      <c r="L780" s="470">
        <f t="shared" si="196"/>
        <v>2464</v>
      </c>
      <c r="M780" s="470">
        <f t="shared" si="197"/>
        <v>21083</v>
      </c>
      <c r="N780" s="470">
        <f t="shared" si="198"/>
        <v>93608</v>
      </c>
      <c r="O780" s="460">
        <f>중기사용료!$A$800</f>
        <v>43</v>
      </c>
      <c r="P780" s="767"/>
    </row>
    <row r="781" spans="2:17" ht="15.2" customHeight="1">
      <c r="B781" s="766" t="s">
        <v>3645</v>
      </c>
      <c r="C781" s="766"/>
      <c r="D781" s="84" t="s">
        <v>1622</v>
      </c>
      <c r="E781" s="87">
        <v>4.4400000000000004</v>
      </c>
      <c r="F781" s="86" t="s">
        <v>453</v>
      </c>
      <c r="G781" s="470">
        <f>중기사용료!$M$207</f>
        <v>16036</v>
      </c>
      <c r="H781" s="470">
        <f t="shared" si="194"/>
        <v>71199</v>
      </c>
      <c r="I781" s="470">
        <f>중기사용료!$M$201</f>
        <v>27168</v>
      </c>
      <c r="J781" s="470">
        <f t="shared" si="195"/>
        <v>120625</v>
      </c>
      <c r="K781" s="470">
        <f>중기사용료!$M$195</f>
        <v>21622</v>
      </c>
      <c r="L781" s="470">
        <f t="shared" si="196"/>
        <v>96001</v>
      </c>
      <c r="M781" s="470">
        <f t="shared" si="197"/>
        <v>64826</v>
      </c>
      <c r="N781" s="470">
        <f t="shared" si="198"/>
        <v>287825</v>
      </c>
      <c r="O781" s="460">
        <f>중기사용료!$A$192</f>
        <v>11</v>
      </c>
      <c r="P781" s="767"/>
    </row>
    <row r="782" spans="2:17" ht="15.2" customHeight="1">
      <c r="B782" s="766" t="s">
        <v>3641</v>
      </c>
      <c r="C782" s="766"/>
      <c r="D782" s="84" t="s">
        <v>3642</v>
      </c>
      <c r="E782" s="87">
        <v>4.4400000000000004</v>
      </c>
      <c r="F782" s="86" t="s">
        <v>3643</v>
      </c>
      <c r="G782" s="470">
        <f>중기사용료!$M$1290</f>
        <v>8899</v>
      </c>
      <c r="H782" s="470">
        <f t="shared" si="194"/>
        <v>39511</v>
      </c>
      <c r="I782" s="470">
        <f>중기사용료!$M$1284</f>
        <v>18939</v>
      </c>
      <c r="J782" s="470">
        <f t="shared" si="195"/>
        <v>84089</v>
      </c>
      <c r="K782" s="470">
        <f>중기사용료!$M$1278</f>
        <v>1460</v>
      </c>
      <c r="L782" s="470">
        <f t="shared" si="196"/>
        <v>6482</v>
      </c>
      <c r="M782" s="470">
        <f t="shared" si="197"/>
        <v>29298</v>
      </c>
      <c r="N782" s="470">
        <f t="shared" si="198"/>
        <v>130082</v>
      </c>
      <c r="O782" s="460">
        <f>중기사용료!$A$1275</f>
        <v>68</v>
      </c>
      <c r="P782" s="767"/>
    </row>
    <row r="783" spans="2:17" ht="15.2" customHeight="1">
      <c r="B783" s="766" t="s">
        <v>1737</v>
      </c>
      <c r="C783" s="766"/>
      <c r="D783" s="84" t="s">
        <v>1569</v>
      </c>
      <c r="E783" s="87">
        <v>0.05</v>
      </c>
      <c r="F783" s="86" t="s">
        <v>933</v>
      </c>
      <c r="G783" s="470">
        <f>TRUNC(E778*I778+E779*I779+E780*I780+E781*I781+E782*I782)</f>
        <v>611706</v>
      </c>
      <c r="H783" s="470">
        <f t="shared" si="194"/>
        <v>30585</v>
      </c>
      <c r="I783" s="470"/>
      <c r="J783" s="470">
        <f t="shared" si="195"/>
        <v>0</v>
      </c>
      <c r="K783" s="470"/>
      <c r="L783" s="470">
        <f t="shared" si="196"/>
        <v>0</v>
      </c>
      <c r="M783" s="470">
        <f t="shared" si="197"/>
        <v>611706</v>
      </c>
      <c r="N783" s="470">
        <f t="shared" si="198"/>
        <v>30585</v>
      </c>
      <c r="O783" s="457"/>
      <c r="P783" s="767"/>
    </row>
    <row r="784" spans="2:17" ht="15.2" customHeight="1">
      <c r="B784" s="766" t="s">
        <v>3640</v>
      </c>
      <c r="C784" s="766"/>
      <c r="D784" s="84" t="s">
        <v>1623</v>
      </c>
      <c r="E784" s="87">
        <v>0.03</v>
      </c>
      <c r="F784" s="86" t="s">
        <v>933</v>
      </c>
      <c r="G784" s="470"/>
      <c r="H784" s="470">
        <f t="shared" si="194"/>
        <v>0</v>
      </c>
      <c r="I784" s="470"/>
      <c r="J784" s="470">
        <f t="shared" si="195"/>
        <v>0</v>
      </c>
      <c r="K784" s="470">
        <f>TRUNC(E778*I778+E779*I779+E780*I780+E781*I781+E782*I782)</f>
        <v>611706</v>
      </c>
      <c r="L784" s="470">
        <f t="shared" si="196"/>
        <v>18351</v>
      </c>
      <c r="M784" s="470">
        <f t="shared" si="197"/>
        <v>611706</v>
      </c>
      <c r="N784" s="470">
        <f t="shared" si="198"/>
        <v>18351</v>
      </c>
      <c r="O784" s="457"/>
      <c r="P784" s="767"/>
    </row>
    <row r="785" spans="2:17" ht="15.2" customHeight="1">
      <c r="B785" s="766" t="s">
        <v>855</v>
      </c>
      <c r="C785" s="766"/>
      <c r="D785" s="84"/>
      <c r="E785" s="87"/>
      <c r="F785" s="86"/>
      <c r="G785" s="470"/>
      <c r="H785" s="470">
        <f>SUM(H776:H784)</f>
        <v>249550</v>
      </c>
      <c r="I785" s="470"/>
      <c r="J785" s="470">
        <f>SUM(J776:J784)</f>
        <v>611704</v>
      </c>
      <c r="K785" s="470"/>
      <c r="L785" s="470">
        <f>SUM(L776:L784)</f>
        <v>182513</v>
      </c>
      <c r="M785" s="470"/>
      <c r="N785" s="470">
        <f>SUM(N776:N784)</f>
        <v>1043767</v>
      </c>
      <c r="O785" s="457"/>
      <c r="P785" s="767"/>
      <c r="Q785" s="80" t="s">
        <v>1164</v>
      </c>
    </row>
    <row r="786" spans="2:17" ht="15.2" customHeight="1">
      <c r="B786" s="96">
        <f>P786</f>
        <v>145</v>
      </c>
      <c r="C786" s="770" t="s">
        <v>1624</v>
      </c>
      <c r="D786" s="770"/>
      <c r="E786" s="770"/>
      <c r="F786" s="771"/>
      <c r="G786" s="470"/>
      <c r="H786" s="470"/>
      <c r="I786" s="470"/>
      <c r="J786" s="470"/>
      <c r="K786" s="470"/>
      <c r="L786" s="470"/>
      <c r="M786" s="470"/>
      <c r="N786" s="470"/>
      <c r="O786" s="457"/>
      <c r="P786" s="767">
        <f>MAX($P$5:P785)+1</f>
        <v>145</v>
      </c>
      <c r="Q786" s="80" t="s">
        <v>3243</v>
      </c>
    </row>
    <row r="787" spans="2:17" ht="15.2" customHeight="1">
      <c r="B787" s="766" t="s">
        <v>1738</v>
      </c>
      <c r="C787" s="766"/>
      <c r="D787" s="84" t="s">
        <v>1739</v>
      </c>
      <c r="E787" s="87">
        <v>100</v>
      </c>
      <c r="F787" s="86" t="s">
        <v>1352</v>
      </c>
      <c r="G787" s="470">
        <f>사급자재!$M$185</f>
        <v>0</v>
      </c>
      <c r="H787" s="470">
        <f>TRUNC(E787*G787,0)</f>
        <v>0</v>
      </c>
      <c r="I787" s="470"/>
      <c r="J787" s="470">
        <f>TRUNC(I787*E787,0)</f>
        <v>0</v>
      </c>
      <c r="K787" s="470"/>
      <c r="L787" s="470">
        <f>TRUNC(K787*E787,0)</f>
        <v>0</v>
      </c>
      <c r="M787" s="470">
        <f>G787+I787+K787</f>
        <v>0</v>
      </c>
      <c r="N787" s="470">
        <f>H787+J787+L787</f>
        <v>0</v>
      </c>
      <c r="O787" s="457"/>
      <c r="P787" s="767"/>
    </row>
    <row r="788" spans="2:17" ht="15.2" customHeight="1">
      <c r="B788" s="766" t="s">
        <v>1162</v>
      </c>
      <c r="C788" s="766"/>
      <c r="D788" s="84"/>
      <c r="E788" s="87">
        <v>0.4</v>
      </c>
      <c r="F788" s="86" t="s">
        <v>1163</v>
      </c>
      <c r="G788" s="470"/>
      <c r="H788" s="470">
        <f>TRUNC(E788*G788,0)</f>
        <v>0</v>
      </c>
      <c r="I788" s="470">
        <f>SUMIF('노임(2015)'!$B$4:$B$87,B788,'노임(2015)'!$C$4:$C$87)+SUMIF('노임(2015)'!$E$4:$E$87,B788,'노임(2015)'!$F$4:$F$87)</f>
        <v>89566</v>
      </c>
      <c r="J788" s="470">
        <f>TRUNC(I788*E788,0)</f>
        <v>35826</v>
      </c>
      <c r="K788" s="470"/>
      <c r="L788" s="470">
        <f>TRUNC(K788*E788,0)</f>
        <v>0</v>
      </c>
      <c r="M788" s="470">
        <f>G788+I788+K788</f>
        <v>89566</v>
      </c>
      <c r="N788" s="470">
        <f>H788+J788+L788</f>
        <v>35826</v>
      </c>
      <c r="O788" s="457"/>
      <c r="P788" s="767"/>
    </row>
    <row r="789" spans="2:17" ht="15.2" customHeight="1">
      <c r="B789" s="766" t="s">
        <v>855</v>
      </c>
      <c r="C789" s="766"/>
      <c r="D789" s="84"/>
      <c r="E789" s="87"/>
      <c r="F789" s="86"/>
      <c r="G789" s="470"/>
      <c r="H789" s="470">
        <f>SUM(H787:H788)</f>
        <v>0</v>
      </c>
      <c r="I789" s="470"/>
      <c r="J789" s="470">
        <f>SUM(J787:J788)</f>
        <v>35826</v>
      </c>
      <c r="K789" s="470"/>
      <c r="L789" s="470">
        <f>SUM(L787:L788)</f>
        <v>0</v>
      </c>
      <c r="M789" s="470"/>
      <c r="N789" s="470">
        <f>SUM(N787:N788)</f>
        <v>35826</v>
      </c>
      <c r="O789" s="457"/>
      <c r="P789" s="767"/>
      <c r="Q789" s="80" t="s">
        <v>3244</v>
      </c>
    </row>
    <row r="790" spans="2:17" ht="15.2" customHeight="1">
      <c r="B790" s="96">
        <f>P790</f>
        <v>146</v>
      </c>
      <c r="C790" s="770" t="s">
        <v>1625</v>
      </c>
      <c r="D790" s="770"/>
      <c r="E790" s="770"/>
      <c r="F790" s="771"/>
      <c r="G790" s="470"/>
      <c r="H790" s="470"/>
      <c r="I790" s="470"/>
      <c r="J790" s="470"/>
      <c r="K790" s="470"/>
      <c r="L790" s="470"/>
      <c r="M790" s="470"/>
      <c r="N790" s="470"/>
      <c r="O790" s="457"/>
      <c r="P790" s="767">
        <f>MAX($P$5:P789)+1</f>
        <v>146</v>
      </c>
      <c r="Q790" s="80" t="s">
        <v>3243</v>
      </c>
    </row>
    <row r="791" spans="2:17" ht="15.2" customHeight="1">
      <c r="B791" s="766" t="s">
        <v>1740</v>
      </c>
      <c r="C791" s="766"/>
      <c r="D791" s="84" t="s">
        <v>1626</v>
      </c>
      <c r="E791" s="87">
        <v>3.3</v>
      </c>
      <c r="F791" s="86" t="s">
        <v>1168</v>
      </c>
      <c r="G791" s="470">
        <f>사급자재!$M$14</f>
        <v>23000</v>
      </c>
      <c r="H791" s="470">
        <f>TRUNC(E791*G791,0)</f>
        <v>75900</v>
      </c>
      <c r="I791" s="470"/>
      <c r="J791" s="470">
        <f>TRUNC(I791*E791,0)</f>
        <v>0</v>
      </c>
      <c r="K791" s="470"/>
      <c r="L791" s="470">
        <f>TRUNC(K791*E791,0)</f>
        <v>0</v>
      </c>
      <c r="M791" s="470">
        <f>G791+I791+K791</f>
        <v>23000</v>
      </c>
      <c r="N791" s="470">
        <f>H791+J791+L791</f>
        <v>75900</v>
      </c>
      <c r="O791" s="457"/>
      <c r="P791" s="767"/>
    </row>
    <row r="792" spans="2:17" ht="15.2" customHeight="1">
      <c r="B792" s="766" t="s">
        <v>1162</v>
      </c>
      <c r="C792" s="766"/>
      <c r="D792" s="84"/>
      <c r="E792" s="87">
        <v>1.5</v>
      </c>
      <c r="F792" s="86" t="s">
        <v>1163</v>
      </c>
      <c r="G792" s="470"/>
      <c r="H792" s="470">
        <f>TRUNC(E792*G792,0)</f>
        <v>0</v>
      </c>
      <c r="I792" s="470">
        <f>SUMIF('노임(2015)'!$B$4:$B$87,B792,'노임(2015)'!$C$4:$C$87)+SUMIF('노임(2015)'!$E$4:$E$87,B792,'노임(2015)'!$F$4:$F$87)</f>
        <v>89566</v>
      </c>
      <c r="J792" s="470">
        <f>TRUNC(I792*E792,0)</f>
        <v>134349</v>
      </c>
      <c r="K792" s="470"/>
      <c r="L792" s="470">
        <f>TRUNC(K792*E792,0)</f>
        <v>0</v>
      </c>
      <c r="M792" s="470">
        <f>G792+I792+K792</f>
        <v>89566</v>
      </c>
      <c r="N792" s="470">
        <f>H792+J792+L792</f>
        <v>134349</v>
      </c>
      <c r="O792" s="457"/>
      <c r="P792" s="767"/>
    </row>
    <row r="793" spans="2:17" ht="15.2" customHeight="1">
      <c r="B793" s="766" t="s">
        <v>855</v>
      </c>
      <c r="C793" s="766"/>
      <c r="D793" s="84"/>
      <c r="E793" s="87"/>
      <c r="F793" s="86"/>
      <c r="G793" s="470"/>
      <c r="H793" s="470">
        <f>SUM(H791:H792)</f>
        <v>75900</v>
      </c>
      <c r="I793" s="470"/>
      <c r="J793" s="470">
        <f>SUM(J791:J792)</f>
        <v>134349</v>
      </c>
      <c r="K793" s="470"/>
      <c r="L793" s="470">
        <f>SUM(L791:L792)</f>
        <v>0</v>
      </c>
      <c r="M793" s="470"/>
      <c r="N793" s="470">
        <f>SUM(N791:N792)</f>
        <v>210249</v>
      </c>
      <c r="O793" s="457"/>
      <c r="P793" s="767"/>
      <c r="Q793" s="80" t="s">
        <v>3244</v>
      </c>
    </row>
    <row r="794" spans="2:17" ht="15.2" customHeight="1">
      <c r="B794" s="96">
        <f>P794</f>
        <v>147</v>
      </c>
      <c r="C794" s="770" t="s">
        <v>1604</v>
      </c>
      <c r="D794" s="770"/>
      <c r="E794" s="770"/>
      <c r="F794" s="771"/>
      <c r="G794" s="470"/>
      <c r="H794" s="470"/>
      <c r="I794" s="470"/>
      <c r="J794" s="470"/>
      <c r="K794" s="470"/>
      <c r="L794" s="470"/>
      <c r="M794" s="470"/>
      <c r="N794" s="470"/>
      <c r="O794" s="457"/>
      <c r="P794" s="767">
        <f>MAX($P$5:P793)+1</f>
        <v>147</v>
      </c>
      <c r="Q794" s="80" t="s">
        <v>3243</v>
      </c>
    </row>
    <row r="795" spans="2:17" ht="15.2" customHeight="1">
      <c r="B795" s="766" t="s">
        <v>1605</v>
      </c>
      <c r="C795" s="766"/>
      <c r="D795" s="84" t="s">
        <v>1734</v>
      </c>
      <c r="E795" s="87">
        <v>20</v>
      </c>
      <c r="F795" s="86" t="s">
        <v>1168</v>
      </c>
      <c r="G795" s="470"/>
      <c r="H795" s="470">
        <f t="shared" ref="H795:H800" si="199">TRUNC(E795*G795,0)</f>
        <v>0</v>
      </c>
      <c r="I795" s="470"/>
      <c r="J795" s="470">
        <f t="shared" ref="J795:J800" si="200">TRUNC(I795*E795,0)</f>
        <v>0</v>
      </c>
      <c r="K795" s="470"/>
      <c r="L795" s="470">
        <f t="shared" ref="L795:L800" si="201">TRUNC(K795*E795,0)</f>
        <v>0</v>
      </c>
      <c r="M795" s="470">
        <f t="shared" ref="M795:N800" si="202">G795+I795+K795</f>
        <v>0</v>
      </c>
      <c r="N795" s="470">
        <f t="shared" si="202"/>
        <v>0</v>
      </c>
      <c r="O795" s="457"/>
      <c r="P795" s="767"/>
    </row>
    <row r="796" spans="2:17" ht="15.2" customHeight="1">
      <c r="B796" s="766" t="s">
        <v>1191</v>
      </c>
      <c r="C796" s="766"/>
      <c r="D796" s="84"/>
      <c r="E796" s="87">
        <v>0.6</v>
      </c>
      <c r="F796" s="86" t="s">
        <v>1163</v>
      </c>
      <c r="G796" s="470"/>
      <c r="H796" s="470">
        <f t="shared" si="199"/>
        <v>0</v>
      </c>
      <c r="I796" s="470">
        <f>SUMIF('노임(2015)'!$B$4:$B$87,B796,'노임(2015)'!$C$4:$C$87)+SUMIF('노임(2015)'!$E$4:$E$87,B796,'노임(2015)'!$F$4:$F$87)</f>
        <v>126728</v>
      </c>
      <c r="J796" s="470">
        <f t="shared" si="200"/>
        <v>76036</v>
      </c>
      <c r="K796" s="470">
        <f>$L$262</f>
        <v>0</v>
      </c>
      <c r="L796" s="470">
        <f t="shared" si="201"/>
        <v>0</v>
      </c>
      <c r="M796" s="470">
        <f t="shared" si="202"/>
        <v>126728</v>
      </c>
      <c r="N796" s="470">
        <f t="shared" si="202"/>
        <v>76036</v>
      </c>
      <c r="O796" s="457"/>
      <c r="P796" s="767"/>
    </row>
    <row r="797" spans="2:17" ht="15.2" customHeight="1">
      <c r="B797" s="766" t="s">
        <v>1162</v>
      </c>
      <c r="C797" s="766"/>
      <c r="D797" s="84"/>
      <c r="E797" s="87">
        <v>0.6</v>
      </c>
      <c r="F797" s="86" t="s">
        <v>1163</v>
      </c>
      <c r="G797" s="470"/>
      <c r="H797" s="470">
        <f t="shared" si="199"/>
        <v>0</v>
      </c>
      <c r="I797" s="470">
        <f>SUMIF('노임(2015)'!$B$4:$B$87,B797,'노임(2015)'!$C$4:$C$87)+SUMIF('노임(2015)'!$E$4:$E$87,B797,'노임(2015)'!$F$4:$F$87)</f>
        <v>89566</v>
      </c>
      <c r="J797" s="470">
        <f t="shared" si="200"/>
        <v>53739</v>
      </c>
      <c r="K797" s="470"/>
      <c r="L797" s="470">
        <f t="shared" si="201"/>
        <v>0</v>
      </c>
      <c r="M797" s="470">
        <f t="shared" si="202"/>
        <v>89566</v>
      </c>
      <c r="N797" s="470">
        <f t="shared" si="202"/>
        <v>53739</v>
      </c>
      <c r="O797" s="457"/>
      <c r="P797" s="767"/>
    </row>
    <row r="798" spans="2:17" ht="15.2" customHeight="1">
      <c r="B798" s="766" t="s">
        <v>842</v>
      </c>
      <c r="C798" s="766"/>
      <c r="D798" s="84" t="s">
        <v>1569</v>
      </c>
      <c r="E798" s="87">
        <v>0.05</v>
      </c>
      <c r="F798" s="86" t="s">
        <v>453</v>
      </c>
      <c r="G798" s="470">
        <f>SUM(J796:J797)</f>
        <v>129775</v>
      </c>
      <c r="H798" s="470">
        <f t="shared" si="199"/>
        <v>6488</v>
      </c>
      <c r="I798" s="470"/>
      <c r="J798" s="470">
        <f t="shared" si="200"/>
        <v>0</v>
      </c>
      <c r="K798" s="470"/>
      <c r="L798" s="470">
        <f t="shared" si="201"/>
        <v>0</v>
      </c>
      <c r="M798" s="470">
        <f t="shared" si="202"/>
        <v>129775</v>
      </c>
      <c r="N798" s="470">
        <f t="shared" si="202"/>
        <v>6488</v>
      </c>
      <c r="O798" s="457"/>
      <c r="P798" s="767"/>
    </row>
    <row r="799" spans="2:17" ht="15.2" customHeight="1">
      <c r="B799" s="766" t="s">
        <v>1737</v>
      </c>
      <c r="C799" s="766"/>
      <c r="D799" s="84" t="s">
        <v>861</v>
      </c>
      <c r="E799" s="87">
        <v>0.02</v>
      </c>
      <c r="F799" s="86" t="s">
        <v>933</v>
      </c>
      <c r="G799" s="470">
        <f>TRUNC(E796*I796+E797*I797)</f>
        <v>129776</v>
      </c>
      <c r="H799" s="470">
        <f t="shared" si="199"/>
        <v>2595</v>
      </c>
      <c r="I799" s="470"/>
      <c r="J799" s="470">
        <f t="shared" si="200"/>
        <v>0</v>
      </c>
      <c r="K799" s="470"/>
      <c r="L799" s="470">
        <f t="shared" si="201"/>
        <v>0</v>
      </c>
      <c r="M799" s="470">
        <f t="shared" si="202"/>
        <v>129776</v>
      </c>
      <c r="N799" s="470">
        <f t="shared" si="202"/>
        <v>2595</v>
      </c>
      <c r="O799" s="457"/>
      <c r="P799" s="767"/>
    </row>
    <row r="800" spans="2:17" ht="15.2" customHeight="1">
      <c r="B800" s="766" t="s">
        <v>1606</v>
      </c>
      <c r="C800" s="766"/>
      <c r="D800" s="84" t="s">
        <v>447</v>
      </c>
      <c r="E800" s="87">
        <v>1</v>
      </c>
      <c r="F800" s="86" t="s">
        <v>933</v>
      </c>
      <c r="G800" s="470">
        <f>$H$793</f>
        <v>75900</v>
      </c>
      <c r="H800" s="470">
        <f t="shared" si="199"/>
        <v>75900</v>
      </c>
      <c r="I800" s="470">
        <f>$J$793</f>
        <v>134349</v>
      </c>
      <c r="J800" s="470">
        <f t="shared" si="200"/>
        <v>134349</v>
      </c>
      <c r="K800" s="470">
        <f>$L$793</f>
        <v>0</v>
      </c>
      <c r="L800" s="470">
        <f t="shared" si="201"/>
        <v>0</v>
      </c>
      <c r="M800" s="470">
        <f t="shared" si="202"/>
        <v>210249</v>
      </c>
      <c r="N800" s="470">
        <f t="shared" si="202"/>
        <v>210249</v>
      </c>
      <c r="O800" s="462">
        <f>$P$790</f>
        <v>146</v>
      </c>
      <c r="P800" s="767"/>
    </row>
    <row r="801" spans="2:17" ht="15.2" customHeight="1">
      <c r="B801" s="766" t="s">
        <v>855</v>
      </c>
      <c r="C801" s="766"/>
      <c r="D801" s="84"/>
      <c r="E801" s="87"/>
      <c r="F801" s="86"/>
      <c r="G801" s="470"/>
      <c r="H801" s="470">
        <f>SUM(H795:H800)</f>
        <v>84983</v>
      </c>
      <c r="I801" s="470"/>
      <c r="J801" s="470">
        <f>SUM(J795:J800)</f>
        <v>264124</v>
      </c>
      <c r="K801" s="470"/>
      <c r="L801" s="470">
        <f>SUM(L795:L800)</f>
        <v>0</v>
      </c>
      <c r="M801" s="470"/>
      <c r="N801" s="470">
        <f>SUM(N795:N800)</f>
        <v>349107</v>
      </c>
      <c r="O801" s="459"/>
      <c r="P801" s="767"/>
      <c r="Q801" s="80" t="s">
        <v>3244</v>
      </c>
    </row>
    <row r="802" spans="2:17" ht="15.2" customHeight="1">
      <c r="B802" s="96">
        <f>P802</f>
        <v>148</v>
      </c>
      <c r="C802" s="770" t="s">
        <v>1607</v>
      </c>
      <c r="D802" s="770"/>
      <c r="E802" s="770"/>
      <c r="F802" s="771"/>
      <c r="G802" s="470"/>
      <c r="H802" s="470"/>
      <c r="I802" s="470"/>
      <c r="J802" s="470"/>
      <c r="K802" s="470"/>
      <c r="L802" s="470"/>
      <c r="M802" s="470"/>
      <c r="N802" s="470"/>
      <c r="O802" s="459"/>
      <c r="P802" s="767">
        <f>MAX($P$5:P801)+1</f>
        <v>148</v>
      </c>
      <c r="Q802" s="80" t="s">
        <v>3243</v>
      </c>
    </row>
    <row r="803" spans="2:17" ht="15.2" customHeight="1">
      <c r="B803" s="768" t="s">
        <v>1608</v>
      </c>
      <c r="C803" s="769"/>
      <c r="D803" s="84" t="s">
        <v>1967</v>
      </c>
      <c r="E803" s="88">
        <v>20</v>
      </c>
      <c r="F803" s="86" t="s">
        <v>301</v>
      </c>
      <c r="G803" s="470">
        <f>$H$26</f>
        <v>64236</v>
      </c>
      <c r="H803" s="470">
        <f>TRUNC(E803*G803,0)</f>
        <v>1284720</v>
      </c>
      <c r="I803" s="470">
        <f>$J$26</f>
        <v>194616</v>
      </c>
      <c r="J803" s="470">
        <f>TRUNC(I803*E803,0)</f>
        <v>3892320</v>
      </c>
      <c r="K803" s="470">
        <f>$L$26</f>
        <v>8398</v>
      </c>
      <c r="L803" s="470">
        <f>TRUNC(K803*E803,0)</f>
        <v>167960</v>
      </c>
      <c r="M803" s="470">
        <f t="shared" ref="M803:N807" si="203">G803+I803+K803</f>
        <v>267250</v>
      </c>
      <c r="N803" s="470">
        <f t="shared" si="203"/>
        <v>5345000</v>
      </c>
      <c r="O803" s="462">
        <f>$P$20</f>
        <v>4</v>
      </c>
      <c r="P803" s="767"/>
    </row>
    <row r="804" spans="2:17" ht="15.2" customHeight="1">
      <c r="B804" s="768" t="s">
        <v>1191</v>
      </c>
      <c r="C804" s="769"/>
      <c r="D804" s="84"/>
      <c r="E804" s="87">
        <v>0.6</v>
      </c>
      <c r="F804" s="86" t="s">
        <v>1163</v>
      </c>
      <c r="G804" s="470"/>
      <c r="H804" s="470">
        <f>TRUNC(E804*G804,0)</f>
        <v>0</v>
      </c>
      <c r="I804" s="470">
        <f>SUMIF('노임(2015)'!$B$4:$B$87,B804,'노임(2015)'!$C$4:$C$87)+SUMIF('노임(2015)'!$E$4:$E$87,B804,'노임(2015)'!$F$4:$F$87)</f>
        <v>126728</v>
      </c>
      <c r="J804" s="470">
        <f>TRUNC(I804*E804,0)</f>
        <v>76036</v>
      </c>
      <c r="K804" s="470"/>
      <c r="L804" s="470">
        <f>TRUNC(K804*E804,0)</f>
        <v>0</v>
      </c>
      <c r="M804" s="470">
        <f t="shared" si="203"/>
        <v>126728</v>
      </c>
      <c r="N804" s="470">
        <f t="shared" si="203"/>
        <v>76036</v>
      </c>
      <c r="O804" s="457"/>
      <c r="P804" s="767"/>
    </row>
    <row r="805" spans="2:17" ht="15.2" customHeight="1">
      <c r="B805" s="766" t="s">
        <v>842</v>
      </c>
      <c r="C805" s="766"/>
      <c r="D805" s="84" t="s">
        <v>1569</v>
      </c>
      <c r="E805" s="87">
        <v>0.05</v>
      </c>
      <c r="F805" s="86" t="s">
        <v>933</v>
      </c>
      <c r="G805" s="470">
        <f>J804</f>
        <v>76036</v>
      </c>
      <c r="H805" s="470">
        <f>TRUNC(E805*G805,0)</f>
        <v>3801</v>
      </c>
      <c r="I805" s="470"/>
      <c r="J805" s="470">
        <f>TRUNC(I805*E805,0)</f>
        <v>0</v>
      </c>
      <c r="K805" s="470"/>
      <c r="L805" s="470">
        <f>TRUNC(K805*E805,0)</f>
        <v>0</v>
      </c>
      <c r="M805" s="470">
        <f t="shared" si="203"/>
        <v>76036</v>
      </c>
      <c r="N805" s="470">
        <f t="shared" si="203"/>
        <v>3801</v>
      </c>
      <c r="O805" s="457"/>
      <c r="P805" s="767"/>
    </row>
    <row r="806" spans="2:17" ht="15.2" customHeight="1">
      <c r="B806" s="766" t="s">
        <v>1737</v>
      </c>
      <c r="C806" s="766"/>
      <c r="D806" s="84" t="s">
        <v>861</v>
      </c>
      <c r="E806" s="87">
        <v>0.02</v>
      </c>
      <c r="F806" s="86" t="s">
        <v>933</v>
      </c>
      <c r="G806" s="470">
        <f>J804</f>
        <v>76036</v>
      </c>
      <c r="H806" s="470">
        <f>TRUNC(E806*G806,0)</f>
        <v>1520</v>
      </c>
      <c r="I806" s="470"/>
      <c r="J806" s="470">
        <f>TRUNC(I806*E806,0)</f>
        <v>0</v>
      </c>
      <c r="K806" s="470"/>
      <c r="L806" s="470">
        <f>TRUNC(K806*E806,0)</f>
        <v>0</v>
      </c>
      <c r="M806" s="470">
        <f t="shared" si="203"/>
        <v>76036</v>
      </c>
      <c r="N806" s="470">
        <f t="shared" si="203"/>
        <v>1520</v>
      </c>
      <c r="O806" s="457"/>
      <c r="P806" s="767"/>
    </row>
    <row r="807" spans="2:17" ht="15.2" customHeight="1">
      <c r="B807" s="766" t="s">
        <v>1606</v>
      </c>
      <c r="C807" s="766"/>
      <c r="D807" s="84" t="s">
        <v>447</v>
      </c>
      <c r="E807" s="87">
        <v>1</v>
      </c>
      <c r="F807" s="86" t="s">
        <v>933</v>
      </c>
      <c r="G807" s="470">
        <f>$H$793</f>
        <v>75900</v>
      </c>
      <c r="H807" s="470">
        <f>TRUNC(E807*G807,0)</f>
        <v>75900</v>
      </c>
      <c r="I807" s="470">
        <f>$J$793</f>
        <v>134349</v>
      </c>
      <c r="J807" s="470">
        <f>TRUNC(I807*E807,0)</f>
        <v>134349</v>
      </c>
      <c r="K807" s="470">
        <f>$L$793</f>
        <v>0</v>
      </c>
      <c r="L807" s="470">
        <f>TRUNC(K807*E807,0)</f>
        <v>0</v>
      </c>
      <c r="M807" s="470">
        <f t="shared" si="203"/>
        <v>210249</v>
      </c>
      <c r="N807" s="470">
        <f t="shared" si="203"/>
        <v>210249</v>
      </c>
      <c r="O807" s="462">
        <f>$P$790</f>
        <v>146</v>
      </c>
      <c r="P807" s="767"/>
    </row>
    <row r="808" spans="2:17" ht="15.2" customHeight="1">
      <c r="B808" s="768" t="s">
        <v>855</v>
      </c>
      <c r="C808" s="769"/>
      <c r="D808" s="84"/>
      <c r="E808" s="87"/>
      <c r="F808" s="86"/>
      <c r="G808" s="470"/>
      <c r="H808" s="470">
        <f>SUM(H803:H807)</f>
        <v>1365941</v>
      </c>
      <c r="I808" s="470"/>
      <c r="J808" s="470">
        <f>SUM(J803:J807)</f>
        <v>4102705</v>
      </c>
      <c r="K808" s="470"/>
      <c r="L808" s="470">
        <f>SUM(L803:L807)</f>
        <v>167960</v>
      </c>
      <c r="M808" s="470"/>
      <c r="N808" s="470">
        <f>SUM(N803:N807)</f>
        <v>5636606</v>
      </c>
      <c r="O808" s="457"/>
      <c r="P808" s="767"/>
      <c r="Q808" s="80" t="s">
        <v>3244</v>
      </c>
    </row>
    <row r="809" spans="2:17" ht="15.2" customHeight="1">
      <c r="B809" s="96">
        <f>P809</f>
        <v>149</v>
      </c>
      <c r="C809" s="770" t="s">
        <v>1031</v>
      </c>
      <c r="D809" s="770"/>
      <c r="E809" s="770"/>
      <c r="F809" s="771"/>
      <c r="G809" s="470"/>
      <c r="H809" s="470"/>
      <c r="I809" s="470"/>
      <c r="J809" s="470"/>
      <c r="K809" s="470"/>
      <c r="L809" s="470"/>
      <c r="M809" s="470"/>
      <c r="N809" s="470"/>
      <c r="O809" s="457"/>
      <c r="P809" s="767">
        <f>MAX($P$5:P808)+1</f>
        <v>149</v>
      </c>
      <c r="Q809" s="80" t="s">
        <v>3243</v>
      </c>
    </row>
    <row r="810" spans="2:17" ht="15.2" customHeight="1">
      <c r="B810" s="766" t="s">
        <v>1032</v>
      </c>
      <c r="C810" s="766"/>
      <c r="D810" s="84" t="s">
        <v>425</v>
      </c>
      <c r="E810" s="88">
        <v>38.375999999999998</v>
      </c>
      <c r="F810" s="86" t="s">
        <v>301</v>
      </c>
      <c r="G810" s="470">
        <f>사급자재!$M$15</f>
        <v>23000</v>
      </c>
      <c r="H810" s="470">
        <f t="shared" ref="H810:H815" si="204">TRUNC(E810*G810,0)</f>
        <v>882648</v>
      </c>
      <c r="I810" s="470"/>
      <c r="J810" s="470">
        <f t="shared" ref="J810:J815" si="205">TRUNC(I810*E810,0)</f>
        <v>0</v>
      </c>
      <c r="K810" s="470"/>
      <c r="L810" s="470">
        <f t="shared" ref="L810:L815" si="206">TRUNC(K810*E810,0)</f>
        <v>0</v>
      </c>
      <c r="M810" s="470">
        <f t="shared" ref="M810:N815" si="207">G810+I810+K810</f>
        <v>23000</v>
      </c>
      <c r="N810" s="470">
        <f t="shared" si="207"/>
        <v>882648</v>
      </c>
      <c r="O810" s="457"/>
      <c r="P810" s="767"/>
    </row>
    <row r="811" spans="2:17" ht="15.2" customHeight="1">
      <c r="B811" s="766" t="s">
        <v>455</v>
      </c>
      <c r="C811" s="766"/>
      <c r="D811" s="84"/>
      <c r="E811" s="87">
        <v>3</v>
      </c>
      <c r="F811" s="86" t="s">
        <v>1193</v>
      </c>
      <c r="G811" s="470">
        <f>사급자재!$M$86</f>
        <v>360</v>
      </c>
      <c r="H811" s="470">
        <f t="shared" si="204"/>
        <v>1080</v>
      </c>
      <c r="I811" s="470"/>
      <c r="J811" s="470">
        <f t="shared" si="205"/>
        <v>0</v>
      </c>
      <c r="K811" s="470"/>
      <c r="L811" s="470">
        <f t="shared" si="206"/>
        <v>0</v>
      </c>
      <c r="M811" s="470">
        <f t="shared" si="207"/>
        <v>360</v>
      </c>
      <c r="N811" s="470">
        <f t="shared" si="207"/>
        <v>1080</v>
      </c>
      <c r="O811" s="457"/>
      <c r="P811" s="767"/>
    </row>
    <row r="812" spans="2:17" ht="15.2" customHeight="1">
      <c r="B812" s="766" t="s">
        <v>1162</v>
      </c>
      <c r="C812" s="766"/>
      <c r="D812" s="84"/>
      <c r="E812" s="651">
        <v>0.72699999999999998</v>
      </c>
      <c r="F812" s="86" t="s">
        <v>1163</v>
      </c>
      <c r="G812" s="470"/>
      <c r="H812" s="470">
        <f t="shared" si="204"/>
        <v>0</v>
      </c>
      <c r="I812" s="470">
        <f>SUMIF('노임(2015)'!$B$4:$B$87,B812,'노임(2015)'!$C$4:$C$87)+SUMIF('노임(2015)'!$E$4:$E$87,B812,'노임(2015)'!$F$4:$F$87)</f>
        <v>89566</v>
      </c>
      <c r="J812" s="470">
        <f t="shared" si="205"/>
        <v>65114</v>
      </c>
      <c r="K812" s="470"/>
      <c r="L812" s="470">
        <f t="shared" si="206"/>
        <v>0</v>
      </c>
      <c r="M812" s="470">
        <f t="shared" si="207"/>
        <v>89566</v>
      </c>
      <c r="N812" s="470">
        <f t="shared" si="207"/>
        <v>65114</v>
      </c>
      <c r="O812" s="457"/>
      <c r="P812" s="767"/>
    </row>
    <row r="813" spans="2:17" ht="15.2" customHeight="1">
      <c r="B813" s="766" t="s">
        <v>3645</v>
      </c>
      <c r="C813" s="766"/>
      <c r="D813" s="84" t="s">
        <v>3652</v>
      </c>
      <c r="E813" s="651">
        <v>1.454</v>
      </c>
      <c r="F813" s="86" t="s">
        <v>453</v>
      </c>
      <c r="G813" s="470">
        <f>중기사용료!$M$207</f>
        <v>16036</v>
      </c>
      <c r="H813" s="470">
        <f>TRUNC(E813*G813,0)</f>
        <v>23316</v>
      </c>
      <c r="I813" s="470">
        <f>중기사용료!$M$201</f>
        <v>27168</v>
      </c>
      <c r="J813" s="470">
        <f>TRUNC(I813*E813,0)</f>
        <v>39502</v>
      </c>
      <c r="K813" s="470">
        <f>중기사용료!$M$195</f>
        <v>21622</v>
      </c>
      <c r="L813" s="470">
        <f>TRUNC(K813*E813,0)</f>
        <v>31438</v>
      </c>
      <c r="M813" s="470">
        <f>G813+I813+K813</f>
        <v>64826</v>
      </c>
      <c r="N813" s="470">
        <f>H813+J813+L813</f>
        <v>94256</v>
      </c>
      <c r="O813" s="460">
        <f>중기사용료!$A$192</f>
        <v>11</v>
      </c>
      <c r="P813" s="767"/>
    </row>
    <row r="814" spans="2:17" ht="15.2" customHeight="1">
      <c r="B814" s="766" t="s">
        <v>1034</v>
      </c>
      <c r="C814" s="766"/>
      <c r="D814" s="84" t="s">
        <v>156</v>
      </c>
      <c r="E814" s="651">
        <v>1.454</v>
      </c>
      <c r="F814" s="86" t="s">
        <v>453</v>
      </c>
      <c r="G814" s="470">
        <f>중기사용료!$M$701</f>
        <v>2771</v>
      </c>
      <c r="H814" s="470">
        <f t="shared" si="204"/>
        <v>4029</v>
      </c>
      <c r="I814" s="470">
        <f>중기사용료!$M$695</f>
        <v>27168</v>
      </c>
      <c r="J814" s="470">
        <f t="shared" si="205"/>
        <v>39502</v>
      </c>
      <c r="K814" s="470">
        <f>중기사용료!$M$689</f>
        <v>1563</v>
      </c>
      <c r="L814" s="470">
        <f t="shared" si="206"/>
        <v>2272</v>
      </c>
      <c r="M814" s="470">
        <f t="shared" si="207"/>
        <v>31502</v>
      </c>
      <c r="N814" s="470">
        <f t="shared" si="207"/>
        <v>45803</v>
      </c>
      <c r="O814" s="460">
        <f>중기사용료!$A$686</f>
        <v>37</v>
      </c>
      <c r="P814" s="767"/>
    </row>
    <row r="815" spans="2:17" ht="15.2" customHeight="1">
      <c r="B815" s="766" t="s">
        <v>1266</v>
      </c>
      <c r="C815" s="766"/>
      <c r="D815" s="456" t="s">
        <v>3213</v>
      </c>
      <c r="E815" s="651">
        <v>1.454</v>
      </c>
      <c r="F815" s="86" t="s">
        <v>453</v>
      </c>
      <c r="G815" s="470">
        <f>중기사용료!$M$1594</f>
        <v>13479</v>
      </c>
      <c r="H815" s="470">
        <f t="shared" si="204"/>
        <v>19598</v>
      </c>
      <c r="I815" s="470">
        <f>중기사용료!$M$1588</f>
        <v>24483</v>
      </c>
      <c r="J815" s="470">
        <f t="shared" si="205"/>
        <v>35598</v>
      </c>
      <c r="K815" s="470">
        <f>중기사용료!$M$1582</f>
        <v>7823</v>
      </c>
      <c r="L815" s="470">
        <f t="shared" si="206"/>
        <v>11374</v>
      </c>
      <c r="M815" s="470">
        <f t="shared" si="207"/>
        <v>45785</v>
      </c>
      <c r="N815" s="470">
        <f t="shared" si="207"/>
        <v>66570</v>
      </c>
      <c r="O815" s="460">
        <f>중기사용료!$A$1579</f>
        <v>84</v>
      </c>
      <c r="P815" s="767"/>
    </row>
    <row r="816" spans="2:17" ht="15.2" customHeight="1">
      <c r="B816" s="766" t="s">
        <v>855</v>
      </c>
      <c r="C816" s="766"/>
      <c r="D816" s="84"/>
      <c r="E816" s="87"/>
      <c r="F816" s="86"/>
      <c r="G816" s="470"/>
      <c r="H816" s="470">
        <f>SUM(H810:H815)</f>
        <v>930671</v>
      </c>
      <c r="I816" s="470"/>
      <c r="J816" s="470">
        <f>SUM(J810:J815)</f>
        <v>179716</v>
      </c>
      <c r="K816" s="470"/>
      <c r="L816" s="470">
        <f>SUM(L810:L815)</f>
        <v>45084</v>
      </c>
      <c r="M816" s="470"/>
      <c r="N816" s="470">
        <f>SUM(N810:N815)</f>
        <v>1155471</v>
      </c>
      <c r="O816" s="457"/>
      <c r="P816" s="767"/>
      <c r="Q816" s="80" t="s">
        <v>3244</v>
      </c>
    </row>
    <row r="817" spans="2:17" ht="15.2" customHeight="1">
      <c r="B817" s="96">
        <f>P817</f>
        <v>150</v>
      </c>
      <c r="C817" s="770" t="s">
        <v>1035</v>
      </c>
      <c r="D817" s="770"/>
      <c r="E817" s="770"/>
      <c r="F817" s="771"/>
      <c r="G817" s="470"/>
      <c r="H817" s="470"/>
      <c r="I817" s="470"/>
      <c r="J817" s="470"/>
      <c r="K817" s="470"/>
      <c r="L817" s="470"/>
      <c r="M817" s="470"/>
      <c r="N817" s="470"/>
      <c r="O817" s="457"/>
      <c r="P817" s="767">
        <f>MAX($P$5:P816)+1</f>
        <v>150</v>
      </c>
      <c r="Q817" s="80" t="s">
        <v>3243</v>
      </c>
    </row>
    <row r="818" spans="2:17" ht="15.2" customHeight="1">
      <c r="B818" s="766" t="s">
        <v>1032</v>
      </c>
      <c r="C818" s="766"/>
      <c r="D818" s="84" t="s">
        <v>425</v>
      </c>
      <c r="E818" s="88">
        <v>38.375999999999998</v>
      </c>
      <c r="F818" s="86" t="s">
        <v>301</v>
      </c>
      <c r="G818" s="470">
        <f>사급자재!$M$15</f>
        <v>23000</v>
      </c>
      <c r="H818" s="470">
        <f>TRUNC(E818*G818,0)</f>
        <v>882648</v>
      </c>
      <c r="I818" s="470"/>
      <c r="J818" s="470">
        <f>TRUNC(I818*E818,0)</f>
        <v>0</v>
      </c>
      <c r="K818" s="470"/>
      <c r="L818" s="470">
        <f>TRUNC(K818*E818,0)</f>
        <v>0</v>
      </c>
      <c r="M818" s="470">
        <f>G818+I818+K818</f>
        <v>23000</v>
      </c>
      <c r="N818" s="470">
        <f>H818+J818+L818</f>
        <v>882648</v>
      </c>
      <c r="O818" s="457"/>
      <c r="P818" s="767"/>
    </row>
    <row r="819" spans="2:17" ht="15.2" customHeight="1">
      <c r="B819" s="766" t="s">
        <v>455</v>
      </c>
      <c r="C819" s="766"/>
      <c r="D819" s="84"/>
      <c r="E819" s="87">
        <v>3</v>
      </c>
      <c r="F819" s="86" t="s">
        <v>1193</v>
      </c>
      <c r="G819" s="470">
        <f>사급자재!$M$86</f>
        <v>360</v>
      </c>
      <c r="H819" s="470">
        <f t="shared" ref="H819:H824" si="208">TRUNC(E819*G819,0)</f>
        <v>1080</v>
      </c>
      <c r="I819" s="470"/>
      <c r="J819" s="470">
        <f t="shared" ref="J819:J824" si="209">TRUNC(I819*E819,0)</f>
        <v>0</v>
      </c>
      <c r="K819" s="470"/>
      <c r="L819" s="470">
        <f t="shared" ref="L819:L824" si="210">TRUNC(K819*E819,0)</f>
        <v>0</v>
      </c>
      <c r="M819" s="470">
        <f t="shared" ref="M819:N824" si="211">G819+I819+K819</f>
        <v>360</v>
      </c>
      <c r="N819" s="470">
        <f t="shared" si="211"/>
        <v>1080</v>
      </c>
      <c r="O819" s="457"/>
      <c r="P819" s="767"/>
    </row>
    <row r="820" spans="2:17" ht="15.2" customHeight="1">
      <c r="B820" s="766" t="s">
        <v>1162</v>
      </c>
      <c r="C820" s="766"/>
      <c r="D820" s="84"/>
      <c r="E820" s="87">
        <v>0.24</v>
      </c>
      <c r="F820" s="86" t="s">
        <v>1163</v>
      </c>
      <c r="G820" s="470"/>
      <c r="H820" s="470">
        <f t="shared" si="208"/>
        <v>0</v>
      </c>
      <c r="I820" s="470">
        <f>SUMIF('노임(2015)'!$B$4:$B$87,B820,'노임(2015)'!$C$4:$C$87)+SUMIF('노임(2015)'!$E$4:$E$87,B820,'노임(2015)'!$F$4:$F$87)</f>
        <v>89566</v>
      </c>
      <c r="J820" s="470">
        <f t="shared" si="209"/>
        <v>21495</v>
      </c>
      <c r="K820" s="470"/>
      <c r="L820" s="470">
        <f t="shared" si="210"/>
        <v>0</v>
      </c>
      <c r="M820" s="470">
        <f t="shared" si="211"/>
        <v>89566</v>
      </c>
      <c r="N820" s="470">
        <f t="shared" si="211"/>
        <v>21495</v>
      </c>
      <c r="O820" s="457"/>
      <c r="P820" s="767"/>
    </row>
    <row r="821" spans="2:17" ht="15.2" customHeight="1">
      <c r="B821" s="766" t="s">
        <v>3656</v>
      </c>
      <c r="C821" s="766"/>
      <c r="D821" s="84" t="s">
        <v>1036</v>
      </c>
      <c r="E821" s="87">
        <v>0.96</v>
      </c>
      <c r="F821" s="86" t="s">
        <v>453</v>
      </c>
      <c r="G821" s="470">
        <f>중기사용료!$M$169</f>
        <v>26523</v>
      </c>
      <c r="H821" s="470">
        <f t="shared" si="208"/>
        <v>25462</v>
      </c>
      <c r="I821" s="470">
        <f>중기사용료!$M$163</f>
        <v>27168</v>
      </c>
      <c r="J821" s="470">
        <f t="shared" si="209"/>
        <v>26081</v>
      </c>
      <c r="K821" s="470">
        <f>중기사용료!$M$157</f>
        <v>23559</v>
      </c>
      <c r="L821" s="470">
        <f t="shared" si="210"/>
        <v>22616</v>
      </c>
      <c r="M821" s="470">
        <f t="shared" si="211"/>
        <v>77250</v>
      </c>
      <c r="N821" s="470">
        <f t="shared" si="211"/>
        <v>74159</v>
      </c>
      <c r="O821" s="460">
        <f>중기사용료!$A$154</f>
        <v>9</v>
      </c>
      <c r="P821" s="767"/>
    </row>
    <row r="822" spans="2:17" ht="15.2" customHeight="1">
      <c r="B822" s="766" t="s">
        <v>2225</v>
      </c>
      <c r="C822" s="766"/>
      <c r="D822" s="84" t="s">
        <v>2435</v>
      </c>
      <c r="E822" s="87">
        <v>0.96</v>
      </c>
      <c r="F822" s="86" t="s">
        <v>453</v>
      </c>
      <c r="G822" s="470">
        <f>$H$1390</f>
        <v>10970</v>
      </c>
      <c r="H822" s="470">
        <f t="shared" si="208"/>
        <v>10531</v>
      </c>
      <c r="I822" s="470">
        <f>$J$1390</f>
        <v>27168</v>
      </c>
      <c r="J822" s="470">
        <f t="shared" si="209"/>
        <v>26081</v>
      </c>
      <c r="K822" s="470">
        <f>$L$1390</f>
        <v>15334</v>
      </c>
      <c r="L822" s="470">
        <f t="shared" si="210"/>
        <v>14720</v>
      </c>
      <c r="M822" s="470">
        <f t="shared" si="211"/>
        <v>53472</v>
      </c>
      <c r="N822" s="470">
        <f t="shared" si="211"/>
        <v>51332</v>
      </c>
      <c r="O822" s="462">
        <f>$P$1388</f>
        <v>242</v>
      </c>
      <c r="P822" s="767"/>
    </row>
    <row r="823" spans="2:17" ht="15.2" customHeight="1">
      <c r="B823" s="766" t="s">
        <v>426</v>
      </c>
      <c r="C823" s="766"/>
      <c r="D823" s="84" t="s">
        <v>2434</v>
      </c>
      <c r="E823" s="87">
        <v>0.96</v>
      </c>
      <c r="F823" s="86" t="s">
        <v>453</v>
      </c>
      <c r="G823" s="470">
        <f>$H$1384</f>
        <v>20870</v>
      </c>
      <c r="H823" s="470">
        <f t="shared" si="208"/>
        <v>20035</v>
      </c>
      <c r="I823" s="470">
        <f>$J$1384</f>
        <v>27168</v>
      </c>
      <c r="J823" s="470">
        <f t="shared" si="209"/>
        <v>26081</v>
      </c>
      <c r="K823" s="470">
        <f>$L$1384</f>
        <v>22837</v>
      </c>
      <c r="L823" s="470">
        <f t="shared" si="210"/>
        <v>21923</v>
      </c>
      <c r="M823" s="470">
        <f t="shared" si="211"/>
        <v>70875</v>
      </c>
      <c r="N823" s="470">
        <f t="shared" si="211"/>
        <v>68039</v>
      </c>
      <c r="O823" s="462">
        <f>$P$1382</f>
        <v>240</v>
      </c>
      <c r="P823" s="767"/>
    </row>
    <row r="824" spans="2:17" ht="15.2" customHeight="1">
      <c r="B824" s="766" t="s">
        <v>1266</v>
      </c>
      <c r="C824" s="766"/>
      <c r="D824" s="84" t="s">
        <v>1037</v>
      </c>
      <c r="E824" s="87">
        <v>0.96</v>
      </c>
      <c r="F824" s="86" t="s">
        <v>453</v>
      </c>
      <c r="G824" s="470">
        <f>중기사용료!$M$1613</f>
        <v>18696</v>
      </c>
      <c r="H824" s="470">
        <f t="shared" si="208"/>
        <v>17948</v>
      </c>
      <c r="I824" s="470">
        <f>중기사용료!$M$1607</f>
        <v>24483</v>
      </c>
      <c r="J824" s="470">
        <f t="shared" si="209"/>
        <v>23503</v>
      </c>
      <c r="K824" s="470">
        <f>중기사용료!$M$1601</f>
        <v>15005</v>
      </c>
      <c r="L824" s="470">
        <f t="shared" si="210"/>
        <v>14404</v>
      </c>
      <c r="M824" s="470">
        <f t="shared" si="211"/>
        <v>58184</v>
      </c>
      <c r="N824" s="470">
        <f t="shared" si="211"/>
        <v>55855</v>
      </c>
      <c r="O824" s="460">
        <f>중기사용료!$A$1598</f>
        <v>85</v>
      </c>
      <c r="P824" s="767"/>
    </row>
    <row r="825" spans="2:17" ht="15.2" customHeight="1">
      <c r="B825" s="766" t="s">
        <v>855</v>
      </c>
      <c r="C825" s="766"/>
      <c r="D825" s="84"/>
      <c r="E825" s="87"/>
      <c r="F825" s="86"/>
      <c r="G825" s="470"/>
      <c r="H825" s="470">
        <f>SUM(H818:H824)</f>
        <v>957704</v>
      </c>
      <c r="I825" s="470"/>
      <c r="J825" s="470">
        <f>SUM(J818:J824)</f>
        <v>123241</v>
      </c>
      <c r="K825" s="470"/>
      <c r="L825" s="470">
        <f>SUM(L818:L824)</f>
        <v>73663</v>
      </c>
      <c r="M825" s="470"/>
      <c r="N825" s="470">
        <f>SUM(N818:N824)</f>
        <v>1154608</v>
      </c>
      <c r="O825" s="457"/>
      <c r="P825" s="767"/>
      <c r="Q825" s="80" t="s">
        <v>3244</v>
      </c>
    </row>
    <row r="826" spans="2:17" ht="15.2" customHeight="1">
      <c r="B826" s="96">
        <f>P826</f>
        <v>151</v>
      </c>
      <c r="C826" s="770" t="s">
        <v>1038</v>
      </c>
      <c r="D826" s="770"/>
      <c r="E826" s="770"/>
      <c r="F826" s="771"/>
      <c r="G826" s="470"/>
      <c r="H826" s="470"/>
      <c r="I826" s="470"/>
      <c r="J826" s="470"/>
      <c r="K826" s="470"/>
      <c r="L826" s="470"/>
      <c r="M826" s="470"/>
      <c r="N826" s="470"/>
      <c r="O826" s="457"/>
      <c r="P826" s="767">
        <f>MAX($P$5:P825)+1</f>
        <v>151</v>
      </c>
      <c r="Q826" s="80" t="s">
        <v>3243</v>
      </c>
    </row>
    <row r="827" spans="2:17" ht="15.2" customHeight="1">
      <c r="B827" s="766" t="s">
        <v>1032</v>
      </c>
      <c r="C827" s="766"/>
      <c r="D827" s="84" t="s">
        <v>425</v>
      </c>
      <c r="E827" s="88">
        <v>38.375999999999998</v>
      </c>
      <c r="F827" s="86" t="s">
        <v>301</v>
      </c>
      <c r="G827" s="470">
        <f>사급자재!$M$15</f>
        <v>23000</v>
      </c>
      <c r="H827" s="470">
        <f t="shared" ref="H827:H833" si="212">TRUNC(E827*G827,0)</f>
        <v>882648</v>
      </c>
      <c r="I827" s="470"/>
      <c r="J827" s="470">
        <f t="shared" ref="J827:J833" si="213">TRUNC(I827*E827,0)</f>
        <v>0</v>
      </c>
      <c r="K827" s="470"/>
      <c r="L827" s="470">
        <f t="shared" ref="L827:L833" si="214">TRUNC(K827*E827,0)</f>
        <v>0</v>
      </c>
      <c r="M827" s="470">
        <f t="shared" ref="M827:M833" si="215">G827+I827+K827</f>
        <v>23000</v>
      </c>
      <c r="N827" s="470">
        <f t="shared" ref="N827:N833" si="216">H827+J827+L827</f>
        <v>882648</v>
      </c>
      <c r="O827" s="457"/>
      <c r="P827" s="767"/>
    </row>
    <row r="828" spans="2:17" ht="15.2" customHeight="1">
      <c r="B828" s="766" t="s">
        <v>455</v>
      </c>
      <c r="C828" s="766"/>
      <c r="D828" s="84"/>
      <c r="E828" s="87">
        <v>3</v>
      </c>
      <c r="F828" s="86" t="s">
        <v>1193</v>
      </c>
      <c r="G828" s="470">
        <f>사급자재!$M$86</f>
        <v>360</v>
      </c>
      <c r="H828" s="470">
        <f t="shared" si="212"/>
        <v>1080</v>
      </c>
      <c r="I828" s="470"/>
      <c r="J828" s="470">
        <f t="shared" si="213"/>
        <v>0</v>
      </c>
      <c r="K828" s="470"/>
      <c r="L828" s="470">
        <f t="shared" si="214"/>
        <v>0</v>
      </c>
      <c r="M828" s="470">
        <f t="shared" si="215"/>
        <v>360</v>
      </c>
      <c r="N828" s="470">
        <f t="shared" si="216"/>
        <v>1080</v>
      </c>
      <c r="O828" s="457"/>
      <c r="P828" s="767"/>
    </row>
    <row r="829" spans="2:17" ht="15.2" customHeight="1">
      <c r="B829" s="766" t="s">
        <v>1162</v>
      </c>
      <c r="C829" s="766"/>
      <c r="D829" s="84"/>
      <c r="E829" s="87">
        <v>0.1</v>
      </c>
      <c r="F829" s="86" t="s">
        <v>1163</v>
      </c>
      <c r="G829" s="470"/>
      <c r="H829" s="470">
        <f t="shared" si="212"/>
        <v>0</v>
      </c>
      <c r="I829" s="470">
        <f>SUMIF('노임(2015)'!$B$4:$B$87,B829,'노임(2015)'!$C$4:$C$87)+SUMIF('노임(2015)'!$E$4:$E$87,B829,'노임(2015)'!$F$4:$F$87)</f>
        <v>89566</v>
      </c>
      <c r="J829" s="470">
        <f t="shared" si="213"/>
        <v>8956</v>
      </c>
      <c r="K829" s="470"/>
      <c r="L829" s="470">
        <f t="shared" si="214"/>
        <v>0</v>
      </c>
      <c r="M829" s="470">
        <f t="shared" si="215"/>
        <v>89566</v>
      </c>
      <c r="N829" s="470">
        <f t="shared" si="216"/>
        <v>8956</v>
      </c>
      <c r="O829" s="457"/>
      <c r="P829" s="767"/>
    </row>
    <row r="830" spans="2:17" ht="15.2" customHeight="1">
      <c r="B830" s="766" t="s">
        <v>1317</v>
      </c>
      <c r="C830" s="766"/>
      <c r="D830" s="84" t="s">
        <v>1318</v>
      </c>
      <c r="E830" s="87">
        <v>0.4</v>
      </c>
      <c r="F830" s="86" t="s">
        <v>453</v>
      </c>
      <c r="G830" s="470">
        <f>중기사용료!$M$454</f>
        <v>25105</v>
      </c>
      <c r="H830" s="470">
        <f t="shared" si="212"/>
        <v>10042</v>
      </c>
      <c r="I830" s="470">
        <f>중기사용료!$M$448</f>
        <v>27168</v>
      </c>
      <c r="J830" s="470">
        <f t="shared" si="213"/>
        <v>10867</v>
      </c>
      <c r="K830" s="470">
        <f>중기사용료!$M$442</f>
        <v>33896</v>
      </c>
      <c r="L830" s="470">
        <f t="shared" si="214"/>
        <v>13558</v>
      </c>
      <c r="M830" s="470">
        <f t="shared" si="215"/>
        <v>86169</v>
      </c>
      <c r="N830" s="470">
        <f t="shared" si="216"/>
        <v>34467</v>
      </c>
      <c r="O830" s="460">
        <f>중기사용료!$A$439</f>
        <v>24</v>
      </c>
      <c r="P830" s="767"/>
    </row>
    <row r="831" spans="2:17" ht="15.2" customHeight="1">
      <c r="B831" s="766" t="s">
        <v>2225</v>
      </c>
      <c r="C831" s="766"/>
      <c r="D831" s="84" t="s">
        <v>2435</v>
      </c>
      <c r="E831" s="87">
        <v>0.4</v>
      </c>
      <c r="F831" s="86" t="s">
        <v>453</v>
      </c>
      <c r="G831" s="470">
        <f>$H$1390</f>
        <v>10970</v>
      </c>
      <c r="H831" s="470">
        <f t="shared" si="212"/>
        <v>4388</v>
      </c>
      <c r="I831" s="470">
        <f>$J$1390</f>
        <v>27168</v>
      </c>
      <c r="J831" s="470">
        <f t="shared" si="213"/>
        <v>10867</v>
      </c>
      <c r="K831" s="470">
        <f>$L$1390</f>
        <v>15334</v>
      </c>
      <c r="L831" s="470">
        <f t="shared" si="214"/>
        <v>6133</v>
      </c>
      <c r="M831" s="470">
        <f t="shared" si="215"/>
        <v>53472</v>
      </c>
      <c r="N831" s="470">
        <f t="shared" si="216"/>
        <v>21388</v>
      </c>
      <c r="O831" s="457"/>
      <c r="P831" s="767"/>
    </row>
    <row r="832" spans="2:17" ht="15.2" customHeight="1">
      <c r="B832" s="766" t="s">
        <v>426</v>
      </c>
      <c r="C832" s="766"/>
      <c r="D832" s="84" t="s">
        <v>2434</v>
      </c>
      <c r="E832" s="87">
        <v>0.4</v>
      </c>
      <c r="F832" s="86" t="s">
        <v>453</v>
      </c>
      <c r="G832" s="470">
        <f>$H$1384</f>
        <v>20870</v>
      </c>
      <c r="H832" s="470">
        <f t="shared" si="212"/>
        <v>8348</v>
      </c>
      <c r="I832" s="470">
        <f>$J$1384</f>
        <v>27168</v>
      </c>
      <c r="J832" s="470">
        <f t="shared" si="213"/>
        <v>10867</v>
      </c>
      <c r="K832" s="470">
        <f>$L$1384</f>
        <v>22837</v>
      </c>
      <c r="L832" s="470">
        <f t="shared" si="214"/>
        <v>9134</v>
      </c>
      <c r="M832" s="470">
        <f t="shared" si="215"/>
        <v>70875</v>
      </c>
      <c r="N832" s="470">
        <f t="shared" si="216"/>
        <v>28349</v>
      </c>
      <c r="O832" s="462">
        <f>$P$1382</f>
        <v>240</v>
      </c>
      <c r="P832" s="767"/>
    </row>
    <row r="833" spans="2:17" ht="15.2" customHeight="1">
      <c r="B833" s="766" t="s">
        <v>1266</v>
      </c>
      <c r="C833" s="766"/>
      <c r="D833" s="84" t="s">
        <v>1037</v>
      </c>
      <c r="E833" s="87">
        <v>0.4</v>
      </c>
      <c r="F833" s="86" t="s">
        <v>453</v>
      </c>
      <c r="G833" s="470">
        <f>중기사용료!$M$1613</f>
        <v>18696</v>
      </c>
      <c r="H833" s="470">
        <f t="shared" si="212"/>
        <v>7478</v>
      </c>
      <c r="I833" s="470">
        <f>중기사용료!$M$1607</f>
        <v>24483</v>
      </c>
      <c r="J833" s="470">
        <f t="shared" si="213"/>
        <v>9793</v>
      </c>
      <c r="K833" s="470">
        <f>중기사용료!$M$1601</f>
        <v>15005</v>
      </c>
      <c r="L833" s="470">
        <f t="shared" si="214"/>
        <v>6002</v>
      </c>
      <c r="M833" s="470">
        <f t="shared" si="215"/>
        <v>58184</v>
      </c>
      <c r="N833" s="470">
        <f t="shared" si="216"/>
        <v>23273</v>
      </c>
      <c r="O833" s="460">
        <f>중기사용료!$A$1598</f>
        <v>85</v>
      </c>
      <c r="P833" s="767"/>
    </row>
    <row r="834" spans="2:17" ht="15.2" customHeight="1">
      <c r="B834" s="766" t="s">
        <v>855</v>
      </c>
      <c r="C834" s="766"/>
      <c r="D834" s="84"/>
      <c r="E834" s="87"/>
      <c r="F834" s="86"/>
      <c r="G834" s="470"/>
      <c r="H834" s="470">
        <f>SUM(H827:H833)</f>
        <v>913984</v>
      </c>
      <c r="I834" s="470"/>
      <c r="J834" s="470">
        <f>SUM(J827:J833)</f>
        <v>51350</v>
      </c>
      <c r="K834" s="470"/>
      <c r="L834" s="470">
        <f>SUM(L827:L833)</f>
        <v>34827</v>
      </c>
      <c r="M834" s="470"/>
      <c r="N834" s="470">
        <f>SUM(N827:N833)</f>
        <v>1000161</v>
      </c>
      <c r="O834" s="457"/>
      <c r="P834" s="767"/>
      <c r="Q834" s="80" t="s">
        <v>3244</v>
      </c>
    </row>
    <row r="835" spans="2:17" ht="15.2" customHeight="1">
      <c r="B835" s="96">
        <f>P835</f>
        <v>152</v>
      </c>
      <c r="C835" s="770" t="s">
        <v>1039</v>
      </c>
      <c r="D835" s="770"/>
      <c r="E835" s="770"/>
      <c r="F835" s="771"/>
      <c r="G835" s="470"/>
      <c r="H835" s="470"/>
      <c r="I835" s="470"/>
      <c r="J835" s="470"/>
      <c r="K835" s="470"/>
      <c r="L835" s="470"/>
      <c r="M835" s="470"/>
      <c r="N835" s="470"/>
      <c r="O835" s="457"/>
      <c r="P835" s="767">
        <f>MAX($P$5:P834)+1</f>
        <v>152</v>
      </c>
      <c r="Q835" s="80" t="s">
        <v>3243</v>
      </c>
    </row>
    <row r="836" spans="2:17" ht="15.2" customHeight="1">
      <c r="B836" s="766" t="s">
        <v>1040</v>
      </c>
      <c r="C836" s="766"/>
      <c r="D836" s="84" t="s">
        <v>1041</v>
      </c>
      <c r="E836" s="88">
        <v>38.375999999999998</v>
      </c>
      <c r="F836" s="86" t="s">
        <v>301</v>
      </c>
      <c r="G836" s="470">
        <f>사급자재!$M$17</f>
        <v>16500</v>
      </c>
      <c r="H836" s="470">
        <f t="shared" ref="H836:H841" si="217">TRUNC(E836*G836,0)</f>
        <v>633204</v>
      </c>
      <c r="I836" s="470"/>
      <c r="J836" s="470">
        <f t="shared" ref="J836:J841" si="218">TRUNC(I836*E836,0)</f>
        <v>0</v>
      </c>
      <c r="K836" s="470"/>
      <c r="L836" s="470">
        <f t="shared" ref="L836:L841" si="219">TRUNC(K836*E836,0)</f>
        <v>0</v>
      </c>
      <c r="M836" s="470">
        <f t="shared" ref="M836:M841" si="220">G836+I836+K836</f>
        <v>16500</v>
      </c>
      <c r="N836" s="470">
        <f t="shared" ref="N836:N841" si="221">H836+J836+L836</f>
        <v>633204</v>
      </c>
      <c r="O836" s="457"/>
      <c r="P836" s="767"/>
    </row>
    <row r="837" spans="2:17" ht="15.2" customHeight="1">
      <c r="B837" s="766" t="s">
        <v>455</v>
      </c>
      <c r="C837" s="766"/>
      <c r="D837" s="84"/>
      <c r="E837" s="87">
        <v>3</v>
      </c>
      <c r="F837" s="86" t="s">
        <v>1193</v>
      </c>
      <c r="G837" s="470">
        <f>사급자재!$M$86</f>
        <v>360</v>
      </c>
      <c r="H837" s="470">
        <f t="shared" si="217"/>
        <v>1080</v>
      </c>
      <c r="I837" s="470"/>
      <c r="J837" s="470">
        <f t="shared" si="218"/>
        <v>0</v>
      </c>
      <c r="K837" s="470"/>
      <c r="L837" s="470">
        <f t="shared" si="219"/>
        <v>0</v>
      </c>
      <c r="M837" s="470">
        <f t="shared" si="220"/>
        <v>360</v>
      </c>
      <c r="N837" s="470">
        <f t="shared" si="221"/>
        <v>1080</v>
      </c>
      <c r="O837" s="457"/>
      <c r="P837" s="767"/>
    </row>
    <row r="838" spans="2:17" ht="15.2" customHeight="1">
      <c r="B838" s="766" t="s">
        <v>1162</v>
      </c>
      <c r="C838" s="766"/>
      <c r="D838" s="84"/>
      <c r="E838" s="87">
        <v>0.8</v>
      </c>
      <c r="F838" s="86" t="s">
        <v>1163</v>
      </c>
      <c r="G838" s="470"/>
      <c r="H838" s="470">
        <f t="shared" si="217"/>
        <v>0</v>
      </c>
      <c r="I838" s="470">
        <f>SUMIF('노임(2015)'!$B$4:$B$87,B838,'노임(2015)'!$C$4:$C$87)+SUMIF('노임(2015)'!$E$4:$E$87,B838,'노임(2015)'!$F$4:$F$87)</f>
        <v>89566</v>
      </c>
      <c r="J838" s="470">
        <f t="shared" si="218"/>
        <v>71652</v>
      </c>
      <c r="K838" s="470"/>
      <c r="L838" s="470">
        <f t="shared" si="219"/>
        <v>0</v>
      </c>
      <c r="M838" s="470">
        <f t="shared" si="220"/>
        <v>89566</v>
      </c>
      <c r="N838" s="470">
        <f t="shared" si="221"/>
        <v>71652</v>
      </c>
      <c r="O838" s="457"/>
      <c r="P838" s="767"/>
    </row>
    <row r="839" spans="2:17" ht="15.2" customHeight="1">
      <c r="B839" s="766" t="s">
        <v>3645</v>
      </c>
      <c r="C839" s="766"/>
      <c r="D839" s="84" t="s">
        <v>3652</v>
      </c>
      <c r="E839" s="87">
        <v>1.6</v>
      </c>
      <c r="F839" s="86" t="s">
        <v>453</v>
      </c>
      <c r="G839" s="470">
        <f>중기사용료!$M$207</f>
        <v>16036</v>
      </c>
      <c r="H839" s="470">
        <f>TRUNC(E839*G839,0)</f>
        <v>25657</v>
      </c>
      <c r="I839" s="470">
        <f>중기사용료!$M$201</f>
        <v>27168</v>
      </c>
      <c r="J839" s="470">
        <f>TRUNC(I839*E839,0)</f>
        <v>43468</v>
      </c>
      <c r="K839" s="470">
        <f>중기사용료!$M$195</f>
        <v>21622</v>
      </c>
      <c r="L839" s="470">
        <f>TRUNC(K839*E839,0)</f>
        <v>34595</v>
      </c>
      <c r="M839" s="470">
        <f>G839+I839+K839</f>
        <v>64826</v>
      </c>
      <c r="N839" s="470">
        <f>H839+J839+L839</f>
        <v>103720</v>
      </c>
      <c r="O839" s="460">
        <f>중기사용료!$A$192</f>
        <v>11</v>
      </c>
      <c r="P839" s="767"/>
    </row>
    <row r="840" spans="2:17" ht="15.2" customHeight="1">
      <c r="B840" s="766" t="s">
        <v>1034</v>
      </c>
      <c r="C840" s="766"/>
      <c r="D840" s="84" t="s">
        <v>156</v>
      </c>
      <c r="E840" s="87">
        <v>1.6</v>
      </c>
      <c r="F840" s="86" t="s">
        <v>453</v>
      </c>
      <c r="G840" s="470">
        <f>중기사용료!$M$701</f>
        <v>2771</v>
      </c>
      <c r="H840" s="470">
        <f t="shared" si="217"/>
        <v>4433</v>
      </c>
      <c r="I840" s="470">
        <f>중기사용료!$M$695</f>
        <v>27168</v>
      </c>
      <c r="J840" s="470">
        <f t="shared" si="218"/>
        <v>43468</v>
      </c>
      <c r="K840" s="470">
        <f>중기사용료!$M$689</f>
        <v>1563</v>
      </c>
      <c r="L840" s="470">
        <f t="shared" si="219"/>
        <v>2500</v>
      </c>
      <c r="M840" s="470">
        <f t="shared" si="220"/>
        <v>31502</v>
      </c>
      <c r="N840" s="470">
        <f t="shared" si="221"/>
        <v>50401</v>
      </c>
      <c r="O840" s="460">
        <f>중기사용료!$A$686</f>
        <v>37</v>
      </c>
      <c r="P840" s="767"/>
    </row>
    <row r="841" spans="2:17" ht="15.2" customHeight="1">
      <c r="B841" s="766" t="s">
        <v>1266</v>
      </c>
      <c r="C841" s="766"/>
      <c r="D841" s="456" t="s">
        <v>3213</v>
      </c>
      <c r="E841" s="87">
        <v>1.6</v>
      </c>
      <c r="F841" s="86" t="s">
        <v>453</v>
      </c>
      <c r="G841" s="470">
        <f>중기사용료!$M$1594</f>
        <v>13479</v>
      </c>
      <c r="H841" s="470">
        <f t="shared" si="217"/>
        <v>21566</v>
      </c>
      <c r="I841" s="470">
        <f>중기사용료!$M$1588</f>
        <v>24483</v>
      </c>
      <c r="J841" s="470">
        <f t="shared" si="218"/>
        <v>39172</v>
      </c>
      <c r="K841" s="470">
        <f>중기사용료!$M$1582</f>
        <v>7823</v>
      </c>
      <c r="L841" s="470">
        <f t="shared" si="219"/>
        <v>12516</v>
      </c>
      <c r="M841" s="470">
        <f t="shared" si="220"/>
        <v>45785</v>
      </c>
      <c r="N841" s="470">
        <f t="shared" si="221"/>
        <v>73254</v>
      </c>
      <c r="O841" s="460">
        <f>중기사용료!$A$1579</f>
        <v>84</v>
      </c>
      <c r="P841" s="767"/>
    </row>
    <row r="842" spans="2:17" ht="15.2" customHeight="1">
      <c r="B842" s="766" t="s">
        <v>855</v>
      </c>
      <c r="C842" s="766"/>
      <c r="D842" s="84"/>
      <c r="E842" s="87"/>
      <c r="F842" s="86"/>
      <c r="G842" s="470"/>
      <c r="H842" s="470">
        <f>SUM(H836:H841)</f>
        <v>685940</v>
      </c>
      <c r="I842" s="470"/>
      <c r="J842" s="470">
        <f>SUM(J836:J841)</f>
        <v>197760</v>
      </c>
      <c r="K842" s="470"/>
      <c r="L842" s="470">
        <f>SUM(L836:L841)</f>
        <v>49611</v>
      </c>
      <c r="M842" s="470"/>
      <c r="N842" s="470">
        <f>SUM(N836:N841)</f>
        <v>933311</v>
      </c>
      <c r="O842" s="457"/>
      <c r="P842" s="767"/>
      <c r="Q842" s="80" t="s">
        <v>3244</v>
      </c>
    </row>
    <row r="843" spans="2:17" ht="15.2" customHeight="1">
      <c r="B843" s="96">
        <f>P843</f>
        <v>153</v>
      </c>
      <c r="C843" s="770" t="s">
        <v>1042</v>
      </c>
      <c r="D843" s="770"/>
      <c r="E843" s="770"/>
      <c r="F843" s="771"/>
      <c r="G843" s="470"/>
      <c r="H843" s="470"/>
      <c r="I843" s="470"/>
      <c r="J843" s="470"/>
      <c r="K843" s="470"/>
      <c r="L843" s="470"/>
      <c r="M843" s="470"/>
      <c r="N843" s="470"/>
      <c r="O843" s="457"/>
      <c r="P843" s="767">
        <f>MAX($P$5:P842)+1</f>
        <v>153</v>
      </c>
      <c r="Q843" s="80" t="s">
        <v>3243</v>
      </c>
    </row>
    <row r="844" spans="2:17" ht="15.2" customHeight="1">
      <c r="B844" s="766" t="s">
        <v>1040</v>
      </c>
      <c r="C844" s="766"/>
      <c r="D844" s="84" t="s">
        <v>1041</v>
      </c>
      <c r="E844" s="88">
        <v>38.375999999999998</v>
      </c>
      <c r="F844" s="86" t="s">
        <v>301</v>
      </c>
      <c r="G844" s="470">
        <f>사급자재!$M$17</f>
        <v>16500</v>
      </c>
      <c r="H844" s="470">
        <f t="shared" ref="H844:H851" si="222">TRUNC(E844*G844,0)</f>
        <v>633204</v>
      </c>
      <c r="I844" s="470"/>
      <c r="J844" s="470">
        <f t="shared" ref="J844:J851" si="223">TRUNC(I844*E844,0)</f>
        <v>0</v>
      </c>
      <c r="K844" s="470"/>
      <c r="L844" s="470">
        <f t="shared" ref="L844:L851" si="224">TRUNC(K844*E844,0)</f>
        <v>0</v>
      </c>
      <c r="M844" s="470">
        <f t="shared" ref="M844:M851" si="225">G844+I844+K844</f>
        <v>16500</v>
      </c>
      <c r="N844" s="470">
        <f t="shared" ref="N844:N851" si="226">H844+J844+L844</f>
        <v>633204</v>
      </c>
      <c r="O844" s="457"/>
      <c r="P844" s="767"/>
    </row>
    <row r="845" spans="2:17" ht="15.2" customHeight="1">
      <c r="B845" s="766" t="s">
        <v>455</v>
      </c>
      <c r="C845" s="766"/>
      <c r="D845" s="84"/>
      <c r="E845" s="87">
        <v>3</v>
      </c>
      <c r="F845" s="86" t="s">
        <v>1193</v>
      </c>
      <c r="G845" s="470">
        <f>사급자재!$M$86</f>
        <v>360</v>
      </c>
      <c r="H845" s="470">
        <f t="shared" si="222"/>
        <v>1080</v>
      </c>
      <c r="I845" s="470"/>
      <c r="J845" s="470">
        <f t="shared" si="223"/>
        <v>0</v>
      </c>
      <c r="K845" s="470"/>
      <c r="L845" s="470">
        <f t="shared" si="224"/>
        <v>0</v>
      </c>
      <c r="M845" s="470">
        <f t="shared" si="225"/>
        <v>360</v>
      </c>
      <c r="N845" s="470">
        <f t="shared" si="226"/>
        <v>1080</v>
      </c>
      <c r="O845" s="457"/>
      <c r="P845" s="767"/>
    </row>
    <row r="846" spans="2:17" ht="15.2" customHeight="1">
      <c r="B846" s="766" t="s">
        <v>1162</v>
      </c>
      <c r="C846" s="766"/>
      <c r="D846" s="84"/>
      <c r="E846" s="651">
        <v>0.26600000000000001</v>
      </c>
      <c r="F846" s="86" t="s">
        <v>1163</v>
      </c>
      <c r="G846" s="470"/>
      <c r="H846" s="470">
        <f t="shared" si="222"/>
        <v>0</v>
      </c>
      <c r="I846" s="470">
        <f>SUMIF('노임(2015)'!$B$4:$B$87,B846,'노임(2015)'!$C$4:$C$87)+SUMIF('노임(2015)'!$E$4:$E$87,B846,'노임(2015)'!$F$4:$F$87)</f>
        <v>89566</v>
      </c>
      <c r="J846" s="470">
        <f t="shared" si="223"/>
        <v>23824</v>
      </c>
      <c r="K846" s="470"/>
      <c r="L846" s="470">
        <f t="shared" si="224"/>
        <v>0</v>
      </c>
      <c r="M846" s="470">
        <f t="shared" si="225"/>
        <v>89566</v>
      </c>
      <c r="N846" s="470">
        <f t="shared" si="226"/>
        <v>23824</v>
      </c>
      <c r="O846" s="457"/>
      <c r="P846" s="767"/>
    </row>
    <row r="847" spans="2:17" ht="15.2" customHeight="1">
      <c r="B847" s="766" t="s">
        <v>1165</v>
      </c>
      <c r="C847" s="766"/>
      <c r="D847" s="84"/>
      <c r="E847" s="651">
        <v>0.13300000000000001</v>
      </c>
      <c r="F847" s="86" t="s">
        <v>1163</v>
      </c>
      <c r="G847" s="470"/>
      <c r="H847" s="470">
        <f>TRUNC(E847*G847,0)</f>
        <v>0</v>
      </c>
      <c r="I847" s="470">
        <f>SUMIF('노임(2015)'!$B$4:$B$87,B847,'노임(2015)'!$C$4:$C$87)+SUMIF('노임(2015)'!$E$4:$E$87,B847,'노임(2015)'!$F$4:$F$87)</f>
        <v>111771</v>
      </c>
      <c r="J847" s="470">
        <f>TRUNC(I847*E847,0)</f>
        <v>14865</v>
      </c>
      <c r="K847" s="470"/>
      <c r="L847" s="470">
        <f>TRUNC(K847*E847,0)</f>
        <v>0</v>
      </c>
      <c r="M847" s="470">
        <f>G847+I847+K847</f>
        <v>111771</v>
      </c>
      <c r="N847" s="470">
        <f>H847+J847+L847</f>
        <v>14865</v>
      </c>
      <c r="O847" s="457"/>
      <c r="P847" s="767"/>
    </row>
    <row r="848" spans="2:17" ht="15.2" customHeight="1">
      <c r="B848" s="766" t="s">
        <v>3656</v>
      </c>
      <c r="C848" s="766"/>
      <c r="D848" s="84" t="s">
        <v>1036</v>
      </c>
      <c r="E848" s="650">
        <v>1.06</v>
      </c>
      <c r="F848" s="86" t="s">
        <v>453</v>
      </c>
      <c r="G848" s="470">
        <f>중기사용료!$M$169</f>
        <v>26523</v>
      </c>
      <c r="H848" s="470">
        <f>TRUNC(E848*G848,0)</f>
        <v>28114</v>
      </c>
      <c r="I848" s="470">
        <f>중기사용료!$M$163</f>
        <v>27168</v>
      </c>
      <c r="J848" s="470">
        <f>TRUNC(I848*E848,0)</f>
        <v>28798</v>
      </c>
      <c r="K848" s="470">
        <f>중기사용료!$M$157</f>
        <v>23559</v>
      </c>
      <c r="L848" s="470">
        <f>TRUNC(K848*E848,0)</f>
        <v>24972</v>
      </c>
      <c r="M848" s="470">
        <f>G848+I848+K848</f>
        <v>77250</v>
      </c>
      <c r="N848" s="470">
        <f>H848+J848+L848</f>
        <v>81884</v>
      </c>
      <c r="O848" s="460">
        <f>중기사용료!$A$154</f>
        <v>9</v>
      </c>
      <c r="P848" s="767"/>
    </row>
    <row r="849" spans="2:17" ht="15.2" customHeight="1">
      <c r="B849" s="766" t="s">
        <v>2225</v>
      </c>
      <c r="C849" s="766"/>
      <c r="D849" s="84" t="s">
        <v>2435</v>
      </c>
      <c r="E849" s="650">
        <v>1.06</v>
      </c>
      <c r="F849" s="86" t="s">
        <v>453</v>
      </c>
      <c r="G849" s="470">
        <f>$H$1390</f>
        <v>10970</v>
      </c>
      <c r="H849" s="470">
        <f t="shared" si="222"/>
        <v>11628</v>
      </c>
      <c r="I849" s="470">
        <f>$J$1390</f>
        <v>27168</v>
      </c>
      <c r="J849" s="470">
        <f t="shared" si="223"/>
        <v>28798</v>
      </c>
      <c r="K849" s="470">
        <f>$L$1390</f>
        <v>15334</v>
      </c>
      <c r="L849" s="470">
        <f t="shared" si="224"/>
        <v>16254</v>
      </c>
      <c r="M849" s="470">
        <f t="shared" si="225"/>
        <v>53472</v>
      </c>
      <c r="N849" s="470">
        <f t="shared" si="226"/>
        <v>56680</v>
      </c>
      <c r="O849" s="462">
        <f>$P$1388</f>
        <v>242</v>
      </c>
      <c r="P849" s="767"/>
    </row>
    <row r="850" spans="2:17" ht="15.2" customHeight="1">
      <c r="B850" s="766" t="s">
        <v>426</v>
      </c>
      <c r="C850" s="766"/>
      <c r="D850" s="84" t="s">
        <v>2434</v>
      </c>
      <c r="E850" s="650">
        <v>1.06</v>
      </c>
      <c r="F850" s="86" t="s">
        <v>453</v>
      </c>
      <c r="G850" s="470">
        <f>$H$1384</f>
        <v>20870</v>
      </c>
      <c r="H850" s="470">
        <f>TRUNC(E850*G850,0)</f>
        <v>22122</v>
      </c>
      <c r="I850" s="470">
        <f>$J$1384</f>
        <v>27168</v>
      </c>
      <c r="J850" s="470">
        <f>TRUNC(I850*E850,0)</f>
        <v>28798</v>
      </c>
      <c r="K850" s="470">
        <f>$L$1384</f>
        <v>22837</v>
      </c>
      <c r="L850" s="470">
        <f>TRUNC(K850*E850,0)</f>
        <v>24207</v>
      </c>
      <c r="M850" s="470">
        <f>G850+I850+K850</f>
        <v>70875</v>
      </c>
      <c r="N850" s="470">
        <f>H850+J850+L850</f>
        <v>75127</v>
      </c>
      <c r="O850" s="462">
        <f>$P$1382</f>
        <v>240</v>
      </c>
      <c r="P850" s="767"/>
    </row>
    <row r="851" spans="2:17" ht="15.2" customHeight="1">
      <c r="B851" s="766" t="s">
        <v>1266</v>
      </c>
      <c r="C851" s="766"/>
      <c r="D851" s="84" t="s">
        <v>1037</v>
      </c>
      <c r="E851" s="650">
        <v>1.06</v>
      </c>
      <c r="F851" s="86" t="s">
        <v>453</v>
      </c>
      <c r="G851" s="470">
        <f>중기사용료!$M$1613</f>
        <v>18696</v>
      </c>
      <c r="H851" s="470">
        <f t="shared" si="222"/>
        <v>19817</v>
      </c>
      <c r="I851" s="470">
        <f>중기사용료!$M$1607</f>
        <v>24483</v>
      </c>
      <c r="J851" s="470">
        <f t="shared" si="223"/>
        <v>25951</v>
      </c>
      <c r="K851" s="470">
        <f>중기사용료!$M$1601</f>
        <v>15005</v>
      </c>
      <c r="L851" s="470">
        <f t="shared" si="224"/>
        <v>15905</v>
      </c>
      <c r="M851" s="470">
        <f t="shared" si="225"/>
        <v>58184</v>
      </c>
      <c r="N851" s="470">
        <f t="shared" si="226"/>
        <v>61673</v>
      </c>
      <c r="O851" s="460">
        <f>중기사용료!$A$1598</f>
        <v>85</v>
      </c>
      <c r="P851" s="767"/>
    </row>
    <row r="852" spans="2:17" ht="15.2" customHeight="1">
      <c r="B852" s="766" t="s">
        <v>855</v>
      </c>
      <c r="C852" s="766"/>
      <c r="D852" s="84"/>
      <c r="E852" s="87"/>
      <c r="F852" s="86"/>
      <c r="G852" s="470"/>
      <c r="H852" s="470">
        <f>SUM(H844:H851)</f>
        <v>715965</v>
      </c>
      <c r="I852" s="470"/>
      <c r="J852" s="470">
        <f>SUM(J844:J851)</f>
        <v>151034</v>
      </c>
      <c r="K852" s="470"/>
      <c r="L852" s="470">
        <f>SUM(L844:L851)</f>
        <v>81338</v>
      </c>
      <c r="M852" s="470"/>
      <c r="N852" s="470">
        <f>SUM(N844:N851)</f>
        <v>948337</v>
      </c>
      <c r="O852" s="457"/>
      <c r="P852" s="767"/>
      <c r="Q852" s="80" t="s">
        <v>3244</v>
      </c>
    </row>
    <row r="853" spans="2:17" ht="15.2" customHeight="1">
      <c r="B853" s="96">
        <f>P853</f>
        <v>154</v>
      </c>
      <c r="C853" s="770" t="s">
        <v>1043</v>
      </c>
      <c r="D853" s="770"/>
      <c r="E853" s="770"/>
      <c r="F853" s="771"/>
      <c r="G853" s="470"/>
      <c r="H853" s="470"/>
      <c r="I853" s="470"/>
      <c r="J853" s="470"/>
      <c r="K853" s="470"/>
      <c r="L853" s="470"/>
      <c r="M853" s="470"/>
      <c r="N853" s="470"/>
      <c r="O853" s="457"/>
      <c r="P853" s="767">
        <f>MAX($P$5:P852)+1</f>
        <v>154</v>
      </c>
      <c r="Q853" s="80" t="s">
        <v>3243</v>
      </c>
    </row>
    <row r="854" spans="2:17" ht="15.2" customHeight="1">
      <c r="B854" s="766" t="s">
        <v>1040</v>
      </c>
      <c r="C854" s="766"/>
      <c r="D854" s="84" t="s">
        <v>1041</v>
      </c>
      <c r="E854" s="88">
        <v>38.375999999999998</v>
      </c>
      <c r="F854" s="86" t="s">
        <v>301</v>
      </c>
      <c r="G854" s="470">
        <f>사급자재!$M$17</f>
        <v>16500</v>
      </c>
      <c r="H854" s="470">
        <f t="shared" ref="H854:H861" si="227">TRUNC(E854*G854,0)</f>
        <v>633204</v>
      </c>
      <c r="I854" s="470"/>
      <c r="J854" s="470">
        <f t="shared" ref="J854:J861" si="228">TRUNC(I854*E854,0)</f>
        <v>0</v>
      </c>
      <c r="K854" s="470"/>
      <c r="L854" s="470">
        <f t="shared" ref="L854:L861" si="229">TRUNC(K854*E854,0)</f>
        <v>0</v>
      </c>
      <c r="M854" s="470">
        <f t="shared" ref="M854:M861" si="230">G854+I854+K854</f>
        <v>16500</v>
      </c>
      <c r="N854" s="470">
        <f t="shared" ref="N854:N861" si="231">H854+J854+L854</f>
        <v>633204</v>
      </c>
      <c r="O854" s="457"/>
      <c r="P854" s="767"/>
    </row>
    <row r="855" spans="2:17" ht="15.2" customHeight="1">
      <c r="B855" s="766" t="s">
        <v>455</v>
      </c>
      <c r="C855" s="766"/>
      <c r="D855" s="84"/>
      <c r="E855" s="87">
        <v>3</v>
      </c>
      <c r="F855" s="86" t="s">
        <v>1193</v>
      </c>
      <c r="G855" s="470">
        <f>사급자재!$M$86</f>
        <v>360</v>
      </c>
      <c r="H855" s="470">
        <f t="shared" si="227"/>
        <v>1080</v>
      </c>
      <c r="I855" s="470"/>
      <c r="J855" s="470">
        <f t="shared" si="228"/>
        <v>0</v>
      </c>
      <c r="K855" s="470"/>
      <c r="L855" s="470">
        <f t="shared" si="229"/>
        <v>0</v>
      </c>
      <c r="M855" s="470">
        <f t="shared" si="230"/>
        <v>360</v>
      </c>
      <c r="N855" s="470">
        <f t="shared" si="231"/>
        <v>1080</v>
      </c>
      <c r="O855" s="457"/>
      <c r="P855" s="767"/>
    </row>
    <row r="856" spans="2:17" ht="15.2" customHeight="1">
      <c r="B856" s="766" t="s">
        <v>1162</v>
      </c>
      <c r="C856" s="766"/>
      <c r="D856" s="84"/>
      <c r="E856" s="651">
        <v>0.109</v>
      </c>
      <c r="F856" s="86" t="s">
        <v>1163</v>
      </c>
      <c r="G856" s="470"/>
      <c r="H856" s="470">
        <f t="shared" si="227"/>
        <v>0</v>
      </c>
      <c r="I856" s="470">
        <f>SUMIF('노임(2015)'!$B$4:$B$87,B856,'노임(2015)'!$C$4:$C$87)+SUMIF('노임(2015)'!$E$4:$E$87,B856,'노임(2015)'!$F$4:$F$87)</f>
        <v>89566</v>
      </c>
      <c r="J856" s="470">
        <f t="shared" si="228"/>
        <v>9762</v>
      </c>
      <c r="K856" s="470"/>
      <c r="L856" s="470">
        <f t="shared" si="229"/>
        <v>0</v>
      </c>
      <c r="M856" s="470">
        <f t="shared" si="230"/>
        <v>89566</v>
      </c>
      <c r="N856" s="470">
        <f t="shared" si="231"/>
        <v>9762</v>
      </c>
      <c r="O856" s="457"/>
      <c r="P856" s="767"/>
    </row>
    <row r="857" spans="2:17" ht="15.2" customHeight="1">
      <c r="B857" s="766" t="s">
        <v>1165</v>
      </c>
      <c r="C857" s="766"/>
      <c r="D857" s="84"/>
      <c r="E857" s="97">
        <v>5.45E-2</v>
      </c>
      <c r="F857" s="86" t="s">
        <v>1163</v>
      </c>
      <c r="G857" s="470"/>
      <c r="H857" s="470">
        <f t="shared" si="227"/>
        <v>0</v>
      </c>
      <c r="I857" s="470">
        <f>SUMIF('노임(2015)'!$B$4:$B$87,B857,'노임(2015)'!$C$4:$C$87)+SUMIF('노임(2015)'!$E$4:$E$87,B857,'노임(2015)'!$F$4:$F$87)</f>
        <v>111771</v>
      </c>
      <c r="J857" s="470">
        <f t="shared" si="228"/>
        <v>6091</v>
      </c>
      <c r="K857" s="470"/>
      <c r="L857" s="470">
        <f t="shared" si="229"/>
        <v>0</v>
      </c>
      <c r="M857" s="470">
        <f t="shared" si="230"/>
        <v>111771</v>
      </c>
      <c r="N857" s="470">
        <f t="shared" si="231"/>
        <v>6091</v>
      </c>
      <c r="O857" s="457"/>
      <c r="P857" s="767"/>
    </row>
    <row r="858" spans="2:17" ht="15.2" customHeight="1">
      <c r="B858" s="766" t="s">
        <v>1317</v>
      </c>
      <c r="C858" s="766"/>
      <c r="D858" s="84" t="s">
        <v>1318</v>
      </c>
      <c r="E858" s="651">
        <v>0.436</v>
      </c>
      <c r="F858" s="86" t="s">
        <v>453</v>
      </c>
      <c r="G858" s="470">
        <f>중기사용료!$M$454</f>
        <v>25105</v>
      </c>
      <c r="H858" s="470">
        <f t="shared" si="227"/>
        <v>10945</v>
      </c>
      <c r="I858" s="470">
        <f>중기사용료!$M$448</f>
        <v>27168</v>
      </c>
      <c r="J858" s="470">
        <f t="shared" si="228"/>
        <v>11845</v>
      </c>
      <c r="K858" s="470">
        <f>중기사용료!$M$442</f>
        <v>33896</v>
      </c>
      <c r="L858" s="470">
        <f t="shared" si="229"/>
        <v>14778</v>
      </c>
      <c r="M858" s="470">
        <f t="shared" si="230"/>
        <v>86169</v>
      </c>
      <c r="N858" s="470">
        <f t="shared" si="231"/>
        <v>37568</v>
      </c>
      <c r="O858" s="460">
        <f>중기사용료!$A$439</f>
        <v>24</v>
      </c>
      <c r="P858" s="767"/>
    </row>
    <row r="859" spans="2:17" ht="15.2" customHeight="1">
      <c r="B859" s="766" t="s">
        <v>2225</v>
      </c>
      <c r="C859" s="766"/>
      <c r="D859" s="84" t="s">
        <v>2435</v>
      </c>
      <c r="E859" s="651">
        <v>0.436</v>
      </c>
      <c r="F859" s="86" t="s">
        <v>453</v>
      </c>
      <c r="G859" s="470">
        <f>$H$1390</f>
        <v>10970</v>
      </c>
      <c r="H859" s="470">
        <f t="shared" si="227"/>
        <v>4782</v>
      </c>
      <c r="I859" s="470">
        <f>$J$1390</f>
        <v>27168</v>
      </c>
      <c r="J859" s="470">
        <f t="shared" si="228"/>
        <v>11845</v>
      </c>
      <c r="K859" s="470">
        <f>$L$1390</f>
        <v>15334</v>
      </c>
      <c r="L859" s="470">
        <f t="shared" si="229"/>
        <v>6685</v>
      </c>
      <c r="M859" s="470">
        <f t="shared" si="230"/>
        <v>53472</v>
      </c>
      <c r="N859" s="470">
        <f t="shared" si="231"/>
        <v>23312</v>
      </c>
      <c r="O859" s="462">
        <f>$P$1388</f>
        <v>242</v>
      </c>
      <c r="P859" s="767"/>
    </row>
    <row r="860" spans="2:17" ht="15.2" customHeight="1">
      <c r="B860" s="766" t="s">
        <v>426</v>
      </c>
      <c r="C860" s="766"/>
      <c r="D860" s="84" t="s">
        <v>2434</v>
      </c>
      <c r="E860" s="651">
        <v>0.436</v>
      </c>
      <c r="F860" s="86" t="s">
        <v>453</v>
      </c>
      <c r="G860" s="470">
        <f>$H$1384</f>
        <v>20870</v>
      </c>
      <c r="H860" s="470">
        <f t="shared" si="227"/>
        <v>9099</v>
      </c>
      <c r="I860" s="470">
        <f>$J$1384</f>
        <v>27168</v>
      </c>
      <c r="J860" s="470">
        <f t="shared" si="228"/>
        <v>11845</v>
      </c>
      <c r="K860" s="470">
        <f>$L$1384</f>
        <v>22837</v>
      </c>
      <c r="L860" s="470">
        <f t="shared" si="229"/>
        <v>9956</v>
      </c>
      <c r="M860" s="470">
        <f t="shared" si="230"/>
        <v>70875</v>
      </c>
      <c r="N860" s="470">
        <f t="shared" si="231"/>
        <v>30900</v>
      </c>
      <c r="O860" s="462">
        <f>$P$1382</f>
        <v>240</v>
      </c>
      <c r="P860" s="767"/>
    </row>
    <row r="861" spans="2:17" ht="15.2" customHeight="1">
      <c r="B861" s="766" t="s">
        <v>1266</v>
      </c>
      <c r="C861" s="766"/>
      <c r="D861" s="84" t="s">
        <v>1037</v>
      </c>
      <c r="E861" s="651">
        <v>0.436</v>
      </c>
      <c r="F861" s="86" t="s">
        <v>453</v>
      </c>
      <c r="G861" s="470">
        <f>중기사용료!$M$1613</f>
        <v>18696</v>
      </c>
      <c r="H861" s="470">
        <f t="shared" si="227"/>
        <v>8151</v>
      </c>
      <c r="I861" s="470">
        <f>중기사용료!$M$1607</f>
        <v>24483</v>
      </c>
      <c r="J861" s="470">
        <f t="shared" si="228"/>
        <v>10674</v>
      </c>
      <c r="K861" s="470">
        <f>중기사용료!$M$1601</f>
        <v>15005</v>
      </c>
      <c r="L861" s="470">
        <f t="shared" si="229"/>
        <v>6542</v>
      </c>
      <c r="M861" s="470">
        <f t="shared" si="230"/>
        <v>58184</v>
      </c>
      <c r="N861" s="470">
        <f t="shared" si="231"/>
        <v>25367</v>
      </c>
      <c r="O861" s="460">
        <f>중기사용료!$A$1598</f>
        <v>85</v>
      </c>
      <c r="P861" s="767"/>
    </row>
    <row r="862" spans="2:17" ht="15.2" customHeight="1">
      <c r="B862" s="766" t="s">
        <v>855</v>
      </c>
      <c r="C862" s="766"/>
      <c r="D862" s="84"/>
      <c r="E862" s="87"/>
      <c r="F862" s="86"/>
      <c r="G862" s="470"/>
      <c r="H862" s="470">
        <f>SUM(H854:H861)</f>
        <v>667261</v>
      </c>
      <c r="I862" s="470"/>
      <c r="J862" s="470">
        <f>SUM(J854:J861)</f>
        <v>62062</v>
      </c>
      <c r="K862" s="470"/>
      <c r="L862" s="470">
        <f>SUM(L854:L861)</f>
        <v>37961</v>
      </c>
      <c r="M862" s="470"/>
      <c r="N862" s="470">
        <f>SUM(N854:N861)</f>
        <v>767284</v>
      </c>
      <c r="O862" s="457"/>
      <c r="P862" s="767"/>
      <c r="Q862" s="80" t="s">
        <v>3244</v>
      </c>
    </row>
    <row r="863" spans="2:17" ht="15.2" customHeight="1">
      <c r="B863" s="96">
        <f>P863</f>
        <v>155</v>
      </c>
      <c r="C863" s="770" t="s">
        <v>1044</v>
      </c>
      <c r="D863" s="770"/>
      <c r="E863" s="770"/>
      <c r="F863" s="771"/>
      <c r="G863" s="470"/>
      <c r="H863" s="470"/>
      <c r="I863" s="470"/>
      <c r="J863" s="470"/>
      <c r="K863" s="470"/>
      <c r="L863" s="470"/>
      <c r="M863" s="470"/>
      <c r="N863" s="470"/>
      <c r="O863" s="457"/>
      <c r="P863" s="767">
        <f>MAX($P$5:P862)+1</f>
        <v>155</v>
      </c>
      <c r="Q863" s="80" t="s">
        <v>3243</v>
      </c>
    </row>
    <row r="864" spans="2:17" ht="15.2" customHeight="1">
      <c r="B864" s="766" t="s">
        <v>1045</v>
      </c>
      <c r="C864" s="766"/>
      <c r="D864" s="84" t="s">
        <v>1046</v>
      </c>
      <c r="E864" s="88">
        <v>25.584</v>
      </c>
      <c r="F864" s="86" t="s">
        <v>301</v>
      </c>
      <c r="G864" s="470">
        <f>사급자재!$M$17</f>
        <v>16500</v>
      </c>
      <c r="H864" s="470">
        <f t="shared" ref="H864:H869" si="232">TRUNC(E864*G864,0)</f>
        <v>422136</v>
      </c>
      <c r="I864" s="470"/>
      <c r="J864" s="470">
        <f t="shared" ref="J864:J869" si="233">TRUNC(I864*E864,0)</f>
        <v>0</v>
      </c>
      <c r="K864" s="470"/>
      <c r="L864" s="470">
        <f t="shared" ref="L864:L869" si="234">TRUNC(K864*E864,0)</f>
        <v>0</v>
      </c>
      <c r="M864" s="470">
        <f t="shared" ref="M864:M869" si="235">G864+I864+K864</f>
        <v>16500</v>
      </c>
      <c r="N864" s="470">
        <f t="shared" ref="N864:N869" si="236">H864+J864+L864</f>
        <v>422136</v>
      </c>
      <c r="O864" s="457"/>
      <c r="P864" s="767"/>
    </row>
    <row r="865" spans="2:17" ht="15.2" customHeight="1">
      <c r="B865" s="766" t="s">
        <v>455</v>
      </c>
      <c r="C865" s="766"/>
      <c r="D865" s="84"/>
      <c r="E865" s="87">
        <v>2</v>
      </c>
      <c r="F865" s="86" t="s">
        <v>1193</v>
      </c>
      <c r="G865" s="470">
        <f>사급자재!$M$86</f>
        <v>360</v>
      </c>
      <c r="H865" s="470">
        <f t="shared" si="232"/>
        <v>720</v>
      </c>
      <c r="I865" s="470"/>
      <c r="J865" s="470">
        <f t="shared" si="233"/>
        <v>0</v>
      </c>
      <c r="K865" s="470"/>
      <c r="L865" s="470">
        <f t="shared" si="234"/>
        <v>0</v>
      </c>
      <c r="M865" s="470">
        <f t="shared" si="235"/>
        <v>360</v>
      </c>
      <c r="N865" s="470">
        <f t="shared" si="236"/>
        <v>720</v>
      </c>
      <c r="O865" s="457"/>
      <c r="P865" s="767"/>
    </row>
    <row r="866" spans="2:17" ht="15.2" customHeight="1">
      <c r="B866" s="766" t="s">
        <v>1162</v>
      </c>
      <c r="C866" s="766"/>
      <c r="D866" s="84"/>
      <c r="E866" s="87">
        <v>0.59199999999999997</v>
      </c>
      <c r="F866" s="86" t="s">
        <v>1163</v>
      </c>
      <c r="G866" s="470"/>
      <c r="H866" s="470">
        <f t="shared" si="232"/>
        <v>0</v>
      </c>
      <c r="I866" s="470">
        <f>SUMIF('노임(2015)'!$B$4:$B$87,B866,'노임(2015)'!$C$4:$C$87)+SUMIF('노임(2015)'!$E$4:$E$87,B866,'노임(2015)'!$F$4:$F$87)</f>
        <v>89566</v>
      </c>
      <c r="J866" s="470">
        <f t="shared" si="233"/>
        <v>53023</v>
      </c>
      <c r="K866" s="470"/>
      <c r="L866" s="470">
        <f t="shared" si="234"/>
        <v>0</v>
      </c>
      <c r="M866" s="470">
        <f t="shared" si="235"/>
        <v>89566</v>
      </c>
      <c r="N866" s="470">
        <f t="shared" si="236"/>
        <v>53023</v>
      </c>
      <c r="O866" s="457"/>
      <c r="P866" s="767"/>
    </row>
    <row r="867" spans="2:17" ht="15.2" customHeight="1">
      <c r="B867" s="766" t="s">
        <v>3645</v>
      </c>
      <c r="C867" s="766"/>
      <c r="D867" s="84" t="s">
        <v>3652</v>
      </c>
      <c r="E867" s="651">
        <v>1.1850000000000001</v>
      </c>
      <c r="F867" s="86" t="s">
        <v>453</v>
      </c>
      <c r="G867" s="470">
        <f>중기사용료!$M$207</f>
        <v>16036</v>
      </c>
      <c r="H867" s="470">
        <f>TRUNC(E867*G867,0)</f>
        <v>19002</v>
      </c>
      <c r="I867" s="470">
        <f>중기사용료!$M$201</f>
        <v>27168</v>
      </c>
      <c r="J867" s="470">
        <f>TRUNC(I867*E867,0)</f>
        <v>32194</v>
      </c>
      <c r="K867" s="470">
        <f>중기사용료!$M$195</f>
        <v>21622</v>
      </c>
      <c r="L867" s="470">
        <f>TRUNC(K867*E867,0)</f>
        <v>25622</v>
      </c>
      <c r="M867" s="470">
        <f>G867+I867+K867</f>
        <v>64826</v>
      </c>
      <c r="N867" s="470">
        <f>H867+J867+L867</f>
        <v>76818</v>
      </c>
      <c r="O867" s="460">
        <f>중기사용료!$A$192</f>
        <v>11</v>
      </c>
      <c r="P867" s="767"/>
    </row>
    <row r="868" spans="2:17" ht="15.2" customHeight="1">
      <c r="B868" s="766" t="s">
        <v>1034</v>
      </c>
      <c r="C868" s="766"/>
      <c r="D868" s="84" t="s">
        <v>156</v>
      </c>
      <c r="E868" s="651">
        <v>1.1850000000000001</v>
      </c>
      <c r="F868" s="86" t="s">
        <v>453</v>
      </c>
      <c r="G868" s="470">
        <f>중기사용료!$M$701</f>
        <v>2771</v>
      </c>
      <c r="H868" s="470">
        <f t="shared" si="232"/>
        <v>3283</v>
      </c>
      <c r="I868" s="470">
        <f>중기사용료!$M$695</f>
        <v>27168</v>
      </c>
      <c r="J868" s="470">
        <f t="shared" si="233"/>
        <v>32194</v>
      </c>
      <c r="K868" s="470">
        <f>중기사용료!$M$689</f>
        <v>1563</v>
      </c>
      <c r="L868" s="470">
        <f t="shared" si="234"/>
        <v>1852</v>
      </c>
      <c r="M868" s="470">
        <f t="shared" si="235"/>
        <v>31502</v>
      </c>
      <c r="N868" s="470">
        <f t="shared" si="236"/>
        <v>37329</v>
      </c>
      <c r="O868" s="460">
        <f>중기사용료!$A$686</f>
        <v>37</v>
      </c>
      <c r="P868" s="767"/>
    </row>
    <row r="869" spans="2:17" ht="15.2" customHeight="1">
      <c r="B869" s="766" t="s">
        <v>1266</v>
      </c>
      <c r="C869" s="766"/>
      <c r="D869" s="456" t="s">
        <v>3213</v>
      </c>
      <c r="E869" s="651">
        <v>1.1850000000000001</v>
      </c>
      <c r="F869" s="86" t="s">
        <v>453</v>
      </c>
      <c r="G869" s="470">
        <f>중기사용료!$M$1594</f>
        <v>13479</v>
      </c>
      <c r="H869" s="470">
        <f t="shared" si="232"/>
        <v>15972</v>
      </c>
      <c r="I869" s="470">
        <f>중기사용료!$M$1588</f>
        <v>24483</v>
      </c>
      <c r="J869" s="470">
        <f t="shared" si="233"/>
        <v>29012</v>
      </c>
      <c r="K869" s="470">
        <f>중기사용료!$M$1582</f>
        <v>7823</v>
      </c>
      <c r="L869" s="470">
        <f t="shared" si="234"/>
        <v>9270</v>
      </c>
      <c r="M869" s="470">
        <f t="shared" si="235"/>
        <v>45785</v>
      </c>
      <c r="N869" s="470">
        <f t="shared" si="236"/>
        <v>54254</v>
      </c>
      <c r="O869" s="460">
        <f>중기사용료!$A$1579</f>
        <v>84</v>
      </c>
      <c r="P869" s="767"/>
    </row>
    <row r="870" spans="2:17" ht="15.2" customHeight="1">
      <c r="B870" s="766" t="s">
        <v>855</v>
      </c>
      <c r="C870" s="766"/>
      <c r="D870" s="84"/>
      <c r="E870" s="87"/>
      <c r="F870" s="86"/>
      <c r="G870" s="470"/>
      <c r="H870" s="470">
        <f>SUM(H864:H869)</f>
        <v>461113</v>
      </c>
      <c r="I870" s="470"/>
      <c r="J870" s="470">
        <f>SUM(J864:J869)</f>
        <v>146423</v>
      </c>
      <c r="K870" s="470"/>
      <c r="L870" s="470">
        <f>SUM(L864:L869)</f>
        <v>36744</v>
      </c>
      <c r="M870" s="470"/>
      <c r="N870" s="470">
        <f>SUM(N864:N869)</f>
        <v>644280</v>
      </c>
      <c r="O870" s="457"/>
      <c r="P870" s="767"/>
      <c r="Q870" s="80" t="s">
        <v>3244</v>
      </c>
    </row>
    <row r="871" spans="2:17" ht="15.2" customHeight="1">
      <c r="B871" s="96">
        <f>P871</f>
        <v>156</v>
      </c>
      <c r="C871" s="770" t="s">
        <v>1047</v>
      </c>
      <c r="D871" s="770"/>
      <c r="E871" s="770"/>
      <c r="F871" s="771"/>
      <c r="G871" s="470"/>
      <c r="H871" s="470"/>
      <c r="I871" s="470"/>
      <c r="J871" s="470"/>
      <c r="K871" s="470"/>
      <c r="L871" s="470"/>
      <c r="M871" s="470"/>
      <c r="N871" s="470"/>
      <c r="O871" s="457"/>
      <c r="P871" s="767">
        <f>MAX($P$5:P870)+1</f>
        <v>156</v>
      </c>
      <c r="Q871" s="80" t="s">
        <v>3243</v>
      </c>
    </row>
    <row r="872" spans="2:17" ht="15.2" customHeight="1">
      <c r="B872" s="766" t="s">
        <v>1045</v>
      </c>
      <c r="C872" s="766"/>
      <c r="D872" s="84" t="s">
        <v>1046</v>
      </c>
      <c r="E872" s="88">
        <v>25.584</v>
      </c>
      <c r="F872" s="86" t="s">
        <v>301</v>
      </c>
      <c r="G872" s="470">
        <f>사급자재!$M$17</f>
        <v>16500</v>
      </c>
      <c r="H872" s="470">
        <f t="shared" ref="H872:H879" si="237">TRUNC(E872*G872,0)</f>
        <v>422136</v>
      </c>
      <c r="I872" s="470"/>
      <c r="J872" s="470">
        <f t="shared" ref="J872:J879" si="238">TRUNC(I872*E872,0)</f>
        <v>0</v>
      </c>
      <c r="K872" s="470"/>
      <c r="L872" s="470">
        <f t="shared" ref="L872:L879" si="239">TRUNC(K872*E872,0)</f>
        <v>0</v>
      </c>
      <c r="M872" s="470">
        <f t="shared" ref="M872:N879" si="240">G872+I872+K872</f>
        <v>16500</v>
      </c>
      <c r="N872" s="470">
        <f t="shared" si="240"/>
        <v>422136</v>
      </c>
      <c r="O872" s="457"/>
      <c r="P872" s="767"/>
    </row>
    <row r="873" spans="2:17" ht="15.2" customHeight="1">
      <c r="B873" s="766" t="s">
        <v>455</v>
      </c>
      <c r="C873" s="766"/>
      <c r="D873" s="84"/>
      <c r="E873" s="87">
        <v>2</v>
      </c>
      <c r="F873" s="86" t="s">
        <v>1193</v>
      </c>
      <c r="G873" s="470">
        <f>사급자재!$M$86</f>
        <v>360</v>
      </c>
      <c r="H873" s="470">
        <f t="shared" si="237"/>
        <v>720</v>
      </c>
      <c r="I873" s="470"/>
      <c r="J873" s="470">
        <f t="shared" si="238"/>
        <v>0</v>
      </c>
      <c r="K873" s="470"/>
      <c r="L873" s="470">
        <f t="shared" si="239"/>
        <v>0</v>
      </c>
      <c r="M873" s="470">
        <f t="shared" si="240"/>
        <v>360</v>
      </c>
      <c r="N873" s="470">
        <f t="shared" si="240"/>
        <v>720</v>
      </c>
      <c r="O873" s="457"/>
      <c r="P873" s="767"/>
    </row>
    <row r="874" spans="2:17" ht="15.2" customHeight="1">
      <c r="B874" s="766" t="s">
        <v>1162</v>
      </c>
      <c r="C874" s="766"/>
      <c r="D874" s="84"/>
      <c r="E874" s="87">
        <v>0.2</v>
      </c>
      <c r="F874" s="86" t="s">
        <v>1163</v>
      </c>
      <c r="G874" s="470"/>
      <c r="H874" s="470">
        <f t="shared" si="237"/>
        <v>0</v>
      </c>
      <c r="I874" s="470">
        <f>SUMIF('노임(2015)'!$B$4:$B$87,B874,'노임(2015)'!$C$4:$C$87)+SUMIF('노임(2015)'!$E$4:$E$87,B874,'노임(2015)'!$F$4:$F$87)</f>
        <v>89566</v>
      </c>
      <c r="J874" s="470">
        <f t="shared" si="238"/>
        <v>17913</v>
      </c>
      <c r="K874" s="470"/>
      <c r="L874" s="470">
        <f t="shared" si="239"/>
        <v>0</v>
      </c>
      <c r="M874" s="470">
        <f t="shared" si="240"/>
        <v>89566</v>
      </c>
      <c r="N874" s="470">
        <f t="shared" si="240"/>
        <v>17913</v>
      </c>
      <c r="O874" s="457"/>
      <c r="P874" s="767"/>
    </row>
    <row r="875" spans="2:17" ht="15.2" customHeight="1">
      <c r="B875" s="766" t="s">
        <v>1165</v>
      </c>
      <c r="C875" s="766"/>
      <c r="D875" s="84"/>
      <c r="E875" s="87">
        <v>0.1</v>
      </c>
      <c r="F875" s="86" t="s">
        <v>1163</v>
      </c>
      <c r="G875" s="470"/>
      <c r="H875" s="470">
        <f t="shared" si="237"/>
        <v>0</v>
      </c>
      <c r="I875" s="470">
        <f>SUMIF('노임(2015)'!$B$4:$B$87,B875,'노임(2015)'!$C$4:$C$87)+SUMIF('노임(2015)'!$E$4:$E$87,B875,'노임(2015)'!$F$4:$F$87)</f>
        <v>111771</v>
      </c>
      <c r="J875" s="470">
        <f t="shared" si="238"/>
        <v>11177</v>
      </c>
      <c r="K875" s="470"/>
      <c r="L875" s="470">
        <f t="shared" si="239"/>
        <v>0</v>
      </c>
      <c r="M875" s="470">
        <f t="shared" si="240"/>
        <v>111771</v>
      </c>
      <c r="N875" s="470">
        <f t="shared" si="240"/>
        <v>11177</v>
      </c>
      <c r="O875" s="457"/>
      <c r="P875" s="767"/>
    </row>
    <row r="876" spans="2:17" ht="15.2" customHeight="1">
      <c r="B876" s="766" t="s">
        <v>3656</v>
      </c>
      <c r="C876" s="766"/>
      <c r="D876" s="84" t="s">
        <v>1036</v>
      </c>
      <c r="E876" s="448">
        <v>0.8</v>
      </c>
      <c r="F876" s="86" t="s">
        <v>453</v>
      </c>
      <c r="G876" s="470">
        <f>중기사용료!$M$169</f>
        <v>26523</v>
      </c>
      <c r="H876" s="470">
        <f t="shared" si="237"/>
        <v>21218</v>
      </c>
      <c r="I876" s="470">
        <f>중기사용료!$M$163</f>
        <v>27168</v>
      </c>
      <c r="J876" s="470">
        <f t="shared" si="238"/>
        <v>21734</v>
      </c>
      <c r="K876" s="470">
        <f>중기사용료!$M$157</f>
        <v>23559</v>
      </c>
      <c r="L876" s="470">
        <f t="shared" si="239"/>
        <v>18847</v>
      </c>
      <c r="M876" s="470">
        <f t="shared" si="240"/>
        <v>77250</v>
      </c>
      <c r="N876" s="470">
        <f t="shared" si="240"/>
        <v>61799</v>
      </c>
      <c r="O876" s="460">
        <f>중기사용료!$A$154</f>
        <v>9</v>
      </c>
      <c r="P876" s="767"/>
    </row>
    <row r="877" spans="2:17" ht="15.2" customHeight="1">
      <c r="B877" s="766" t="s">
        <v>2225</v>
      </c>
      <c r="C877" s="766"/>
      <c r="D877" s="84" t="s">
        <v>2435</v>
      </c>
      <c r="E877" s="448">
        <v>0.8</v>
      </c>
      <c r="F877" s="86" t="s">
        <v>453</v>
      </c>
      <c r="G877" s="470">
        <f>$H$1390</f>
        <v>10970</v>
      </c>
      <c r="H877" s="470">
        <f t="shared" si="237"/>
        <v>8776</v>
      </c>
      <c r="I877" s="470">
        <f>$J$1390</f>
        <v>27168</v>
      </c>
      <c r="J877" s="470">
        <f t="shared" si="238"/>
        <v>21734</v>
      </c>
      <c r="K877" s="470">
        <f>$L$1390</f>
        <v>15334</v>
      </c>
      <c r="L877" s="470">
        <f t="shared" si="239"/>
        <v>12267</v>
      </c>
      <c r="M877" s="470">
        <f t="shared" si="240"/>
        <v>53472</v>
      </c>
      <c r="N877" s="470">
        <f t="shared" si="240"/>
        <v>42777</v>
      </c>
      <c r="O877" s="462">
        <f>$P$1388</f>
        <v>242</v>
      </c>
      <c r="P877" s="767"/>
    </row>
    <row r="878" spans="2:17" ht="15.2" customHeight="1">
      <c r="B878" s="766" t="s">
        <v>426</v>
      </c>
      <c r="C878" s="766"/>
      <c r="D878" s="84" t="s">
        <v>2434</v>
      </c>
      <c r="E878" s="448">
        <v>0.8</v>
      </c>
      <c r="F878" s="86" t="s">
        <v>453</v>
      </c>
      <c r="G878" s="470">
        <f>$H$1384</f>
        <v>20870</v>
      </c>
      <c r="H878" s="470">
        <f t="shared" si="237"/>
        <v>16696</v>
      </c>
      <c r="I878" s="470">
        <f>$J$1384</f>
        <v>27168</v>
      </c>
      <c r="J878" s="470">
        <f t="shared" si="238"/>
        <v>21734</v>
      </c>
      <c r="K878" s="470">
        <f>$L$1384</f>
        <v>22837</v>
      </c>
      <c r="L878" s="470">
        <f t="shared" si="239"/>
        <v>18269</v>
      </c>
      <c r="M878" s="470">
        <f t="shared" si="240"/>
        <v>70875</v>
      </c>
      <c r="N878" s="470">
        <f t="shared" si="240"/>
        <v>56699</v>
      </c>
      <c r="O878" s="462">
        <f>$P$1382</f>
        <v>240</v>
      </c>
      <c r="P878" s="767"/>
    </row>
    <row r="879" spans="2:17" ht="15.2" customHeight="1">
      <c r="B879" s="766" t="s">
        <v>1266</v>
      </c>
      <c r="C879" s="766"/>
      <c r="D879" s="84" t="s">
        <v>1037</v>
      </c>
      <c r="E879" s="448">
        <v>0.8</v>
      </c>
      <c r="F879" s="86" t="s">
        <v>453</v>
      </c>
      <c r="G879" s="470">
        <f>중기사용료!$M$1613</f>
        <v>18696</v>
      </c>
      <c r="H879" s="470">
        <f t="shared" si="237"/>
        <v>14956</v>
      </c>
      <c r="I879" s="470">
        <f>중기사용료!$M$1607</f>
        <v>24483</v>
      </c>
      <c r="J879" s="470">
        <f t="shared" si="238"/>
        <v>19586</v>
      </c>
      <c r="K879" s="470">
        <f>중기사용료!$M$1601</f>
        <v>15005</v>
      </c>
      <c r="L879" s="470">
        <f t="shared" si="239"/>
        <v>12004</v>
      </c>
      <c r="M879" s="470">
        <f t="shared" si="240"/>
        <v>58184</v>
      </c>
      <c r="N879" s="470">
        <f t="shared" si="240"/>
        <v>46546</v>
      </c>
      <c r="O879" s="460">
        <f>중기사용료!$A$1598</f>
        <v>85</v>
      </c>
      <c r="P879" s="767"/>
    </row>
    <row r="880" spans="2:17" ht="15.2" customHeight="1">
      <c r="B880" s="766" t="s">
        <v>855</v>
      </c>
      <c r="C880" s="766"/>
      <c r="D880" s="84"/>
      <c r="E880" s="87"/>
      <c r="F880" s="86"/>
      <c r="G880" s="470"/>
      <c r="H880" s="470">
        <f>SUM(H872:H879)</f>
        <v>484502</v>
      </c>
      <c r="I880" s="470"/>
      <c r="J880" s="470">
        <f>SUM(J872:J879)</f>
        <v>113878</v>
      </c>
      <c r="K880" s="470"/>
      <c r="L880" s="470">
        <f>SUM(L872:L879)</f>
        <v>61387</v>
      </c>
      <c r="M880" s="470"/>
      <c r="N880" s="470">
        <f>SUM(N872:N879)</f>
        <v>659767</v>
      </c>
      <c r="O880" s="457"/>
      <c r="P880" s="767"/>
      <c r="Q880" s="80" t="s">
        <v>3244</v>
      </c>
    </row>
    <row r="881" spans="2:17" ht="15.2" customHeight="1">
      <c r="B881" s="96">
        <f>P881</f>
        <v>157</v>
      </c>
      <c r="C881" s="770" t="s">
        <v>1048</v>
      </c>
      <c r="D881" s="770"/>
      <c r="E881" s="770"/>
      <c r="F881" s="771"/>
      <c r="G881" s="470"/>
      <c r="H881" s="470"/>
      <c r="I881" s="470"/>
      <c r="J881" s="470"/>
      <c r="K881" s="470"/>
      <c r="L881" s="470"/>
      <c r="M881" s="470"/>
      <c r="N881" s="470"/>
      <c r="O881" s="457"/>
      <c r="P881" s="767">
        <f>MAX($P$5:P880)+1</f>
        <v>157</v>
      </c>
      <c r="Q881" s="80" t="s">
        <v>3243</v>
      </c>
    </row>
    <row r="882" spans="2:17" ht="15.2" customHeight="1">
      <c r="B882" s="766" t="s">
        <v>1045</v>
      </c>
      <c r="C882" s="766"/>
      <c r="D882" s="84" t="s">
        <v>1046</v>
      </c>
      <c r="E882" s="88">
        <v>25.584</v>
      </c>
      <c r="F882" s="86" t="s">
        <v>301</v>
      </c>
      <c r="G882" s="470">
        <f>사급자재!$M$17</f>
        <v>16500</v>
      </c>
      <c r="H882" s="470">
        <f t="shared" ref="H882:H889" si="241">TRUNC(E882*G882,0)</f>
        <v>422136</v>
      </c>
      <c r="I882" s="470"/>
      <c r="J882" s="470">
        <f t="shared" ref="J882:J889" si="242">TRUNC(I882*E882,0)</f>
        <v>0</v>
      </c>
      <c r="K882" s="470"/>
      <c r="L882" s="470">
        <f t="shared" ref="L882:L889" si="243">TRUNC(K882*E882,0)</f>
        <v>0</v>
      </c>
      <c r="M882" s="470">
        <f t="shared" ref="M882:M889" si="244">G882+I882+K882</f>
        <v>16500</v>
      </c>
      <c r="N882" s="470">
        <f t="shared" ref="N882:N889" si="245">H882+J882+L882</f>
        <v>422136</v>
      </c>
      <c r="O882" s="457"/>
      <c r="P882" s="767"/>
    </row>
    <row r="883" spans="2:17" ht="15.2" customHeight="1">
      <c r="B883" s="766" t="s">
        <v>455</v>
      </c>
      <c r="C883" s="766"/>
      <c r="D883" s="84"/>
      <c r="E883" s="87">
        <v>2</v>
      </c>
      <c r="F883" s="86" t="s">
        <v>1193</v>
      </c>
      <c r="G883" s="470">
        <f>사급자재!$M$86</f>
        <v>360</v>
      </c>
      <c r="H883" s="470">
        <f t="shared" si="241"/>
        <v>720</v>
      </c>
      <c r="I883" s="470"/>
      <c r="J883" s="470">
        <f t="shared" si="242"/>
        <v>0</v>
      </c>
      <c r="K883" s="470"/>
      <c r="L883" s="470">
        <f t="shared" si="243"/>
        <v>0</v>
      </c>
      <c r="M883" s="470">
        <f t="shared" si="244"/>
        <v>360</v>
      </c>
      <c r="N883" s="470">
        <f t="shared" si="245"/>
        <v>720</v>
      </c>
      <c r="O883" s="457"/>
      <c r="P883" s="767"/>
    </row>
    <row r="884" spans="2:17" ht="15.2" customHeight="1">
      <c r="B884" s="766" t="s">
        <v>1162</v>
      </c>
      <c r="C884" s="766"/>
      <c r="D884" s="84"/>
      <c r="E884" s="87">
        <v>0.08</v>
      </c>
      <c r="F884" s="86" t="s">
        <v>1163</v>
      </c>
      <c r="G884" s="470"/>
      <c r="H884" s="470">
        <f t="shared" si="241"/>
        <v>0</v>
      </c>
      <c r="I884" s="470">
        <f>SUMIF('노임(2015)'!$B$4:$B$87,B884,'노임(2015)'!$C$4:$C$87)+SUMIF('노임(2015)'!$E$4:$E$87,B884,'노임(2015)'!$F$4:$F$87)</f>
        <v>89566</v>
      </c>
      <c r="J884" s="470">
        <f t="shared" si="242"/>
        <v>7165</v>
      </c>
      <c r="K884" s="470"/>
      <c r="L884" s="470">
        <f t="shared" si="243"/>
        <v>0</v>
      </c>
      <c r="M884" s="470">
        <f t="shared" si="244"/>
        <v>89566</v>
      </c>
      <c r="N884" s="470">
        <f t="shared" si="245"/>
        <v>7165</v>
      </c>
      <c r="O884" s="457"/>
      <c r="P884" s="767"/>
    </row>
    <row r="885" spans="2:17" ht="15.2" customHeight="1">
      <c r="B885" s="766" t="s">
        <v>1165</v>
      </c>
      <c r="C885" s="766"/>
      <c r="D885" s="84"/>
      <c r="E885" s="87">
        <v>0.04</v>
      </c>
      <c r="F885" s="86" t="s">
        <v>1163</v>
      </c>
      <c r="G885" s="470"/>
      <c r="H885" s="470">
        <f t="shared" si="241"/>
        <v>0</v>
      </c>
      <c r="I885" s="470">
        <f>SUMIF('노임(2015)'!$B$4:$B$87,B885,'노임(2015)'!$C$4:$C$87)+SUMIF('노임(2015)'!$E$4:$E$87,B885,'노임(2015)'!$F$4:$F$87)</f>
        <v>111771</v>
      </c>
      <c r="J885" s="470">
        <f t="shared" si="242"/>
        <v>4470</v>
      </c>
      <c r="K885" s="470"/>
      <c r="L885" s="470">
        <f t="shared" si="243"/>
        <v>0</v>
      </c>
      <c r="M885" s="470">
        <f t="shared" si="244"/>
        <v>111771</v>
      </c>
      <c r="N885" s="470">
        <f t="shared" si="245"/>
        <v>4470</v>
      </c>
      <c r="O885" s="457"/>
      <c r="P885" s="767"/>
    </row>
    <row r="886" spans="2:17" ht="15.2" customHeight="1">
      <c r="B886" s="766" t="s">
        <v>1317</v>
      </c>
      <c r="C886" s="766"/>
      <c r="D886" s="84" t="s">
        <v>1318</v>
      </c>
      <c r="E886" s="87">
        <v>0.32</v>
      </c>
      <c r="F886" s="86" t="s">
        <v>453</v>
      </c>
      <c r="G886" s="470">
        <f>중기사용료!$M$454</f>
        <v>25105</v>
      </c>
      <c r="H886" s="470">
        <f t="shared" si="241"/>
        <v>8033</v>
      </c>
      <c r="I886" s="470">
        <f>중기사용료!$M$448</f>
        <v>27168</v>
      </c>
      <c r="J886" s="470">
        <f t="shared" si="242"/>
        <v>8693</v>
      </c>
      <c r="K886" s="470">
        <f>중기사용료!$M$442</f>
        <v>33896</v>
      </c>
      <c r="L886" s="470">
        <f t="shared" si="243"/>
        <v>10846</v>
      </c>
      <c r="M886" s="470">
        <f t="shared" si="244"/>
        <v>86169</v>
      </c>
      <c r="N886" s="470">
        <f t="shared" si="245"/>
        <v>27572</v>
      </c>
      <c r="O886" s="460">
        <f>중기사용료!$A$439</f>
        <v>24</v>
      </c>
      <c r="P886" s="767"/>
    </row>
    <row r="887" spans="2:17" ht="15.2" customHeight="1">
      <c r="B887" s="766" t="s">
        <v>2225</v>
      </c>
      <c r="C887" s="766"/>
      <c r="D887" s="84" t="s">
        <v>2435</v>
      </c>
      <c r="E887" s="87">
        <v>0.32</v>
      </c>
      <c r="F887" s="86" t="s">
        <v>453</v>
      </c>
      <c r="G887" s="470">
        <f>$H$1390</f>
        <v>10970</v>
      </c>
      <c r="H887" s="470">
        <f t="shared" si="241"/>
        <v>3510</v>
      </c>
      <c r="I887" s="470">
        <f>$J$1390</f>
        <v>27168</v>
      </c>
      <c r="J887" s="470">
        <f t="shared" si="242"/>
        <v>8693</v>
      </c>
      <c r="K887" s="470">
        <f>$L$1390</f>
        <v>15334</v>
      </c>
      <c r="L887" s="470">
        <f t="shared" si="243"/>
        <v>4906</v>
      </c>
      <c r="M887" s="470">
        <f t="shared" si="244"/>
        <v>53472</v>
      </c>
      <c r="N887" s="470">
        <f t="shared" si="245"/>
        <v>17109</v>
      </c>
      <c r="O887" s="462">
        <f>$P$1388</f>
        <v>242</v>
      </c>
      <c r="P887" s="767"/>
    </row>
    <row r="888" spans="2:17" ht="15.2" customHeight="1">
      <c r="B888" s="766" t="s">
        <v>426</v>
      </c>
      <c r="C888" s="766"/>
      <c r="D888" s="84" t="s">
        <v>2434</v>
      </c>
      <c r="E888" s="87">
        <v>0.32</v>
      </c>
      <c r="F888" s="86" t="s">
        <v>453</v>
      </c>
      <c r="G888" s="470">
        <f>$H$1384</f>
        <v>20870</v>
      </c>
      <c r="H888" s="470">
        <f t="shared" si="241"/>
        <v>6678</v>
      </c>
      <c r="I888" s="470">
        <f>$J$1384</f>
        <v>27168</v>
      </c>
      <c r="J888" s="470">
        <f t="shared" si="242"/>
        <v>8693</v>
      </c>
      <c r="K888" s="470">
        <f>$L$1384</f>
        <v>22837</v>
      </c>
      <c r="L888" s="470">
        <f t="shared" si="243"/>
        <v>7307</v>
      </c>
      <c r="M888" s="470">
        <f t="shared" si="244"/>
        <v>70875</v>
      </c>
      <c r="N888" s="470">
        <f t="shared" si="245"/>
        <v>22678</v>
      </c>
      <c r="O888" s="462">
        <f>$P$1382</f>
        <v>240</v>
      </c>
      <c r="P888" s="767"/>
    </row>
    <row r="889" spans="2:17" ht="15.2" customHeight="1">
      <c r="B889" s="766" t="s">
        <v>1266</v>
      </c>
      <c r="C889" s="766"/>
      <c r="D889" s="84" t="s">
        <v>1037</v>
      </c>
      <c r="E889" s="87">
        <v>0.32</v>
      </c>
      <c r="F889" s="86" t="s">
        <v>453</v>
      </c>
      <c r="G889" s="470">
        <f>중기사용료!$M$1613</f>
        <v>18696</v>
      </c>
      <c r="H889" s="470">
        <f t="shared" si="241"/>
        <v>5982</v>
      </c>
      <c r="I889" s="470">
        <f>중기사용료!$M$1607</f>
        <v>24483</v>
      </c>
      <c r="J889" s="470">
        <f t="shared" si="242"/>
        <v>7834</v>
      </c>
      <c r="K889" s="470">
        <f>중기사용료!$M$1601</f>
        <v>15005</v>
      </c>
      <c r="L889" s="470">
        <f t="shared" si="243"/>
        <v>4801</v>
      </c>
      <c r="M889" s="470">
        <f t="shared" si="244"/>
        <v>58184</v>
      </c>
      <c r="N889" s="470">
        <f t="shared" si="245"/>
        <v>18617</v>
      </c>
      <c r="O889" s="460">
        <f>중기사용료!$A$1598</f>
        <v>85</v>
      </c>
      <c r="P889" s="767"/>
    </row>
    <row r="890" spans="2:17" ht="15.2" customHeight="1">
      <c r="B890" s="766" t="s">
        <v>855</v>
      </c>
      <c r="C890" s="766"/>
      <c r="D890" s="84"/>
      <c r="E890" s="87"/>
      <c r="F890" s="86"/>
      <c r="G890" s="470"/>
      <c r="H890" s="470">
        <f>SUM(H882:H889)</f>
        <v>447059</v>
      </c>
      <c r="I890" s="470"/>
      <c r="J890" s="470">
        <f>SUM(J882:J889)</f>
        <v>45548</v>
      </c>
      <c r="K890" s="470"/>
      <c r="L890" s="470">
        <f>SUM(L882:L889)</f>
        <v>27860</v>
      </c>
      <c r="M890" s="470"/>
      <c r="N890" s="470">
        <f>SUM(N882:N889)</f>
        <v>520467</v>
      </c>
      <c r="O890" s="457"/>
      <c r="P890" s="767"/>
      <c r="Q890" s="80" t="s">
        <v>3244</v>
      </c>
    </row>
    <row r="891" spans="2:17" ht="15.2" customHeight="1">
      <c r="B891" s="96">
        <f>P891</f>
        <v>158</v>
      </c>
      <c r="C891" s="770" t="s">
        <v>1049</v>
      </c>
      <c r="D891" s="770"/>
      <c r="E891" s="770"/>
      <c r="F891" s="771"/>
      <c r="G891" s="470"/>
      <c r="H891" s="470"/>
      <c r="I891" s="470"/>
      <c r="J891" s="470"/>
      <c r="K891" s="470"/>
      <c r="L891" s="470"/>
      <c r="M891" s="470"/>
      <c r="N891" s="470"/>
      <c r="O891" s="457"/>
      <c r="P891" s="767">
        <f>MAX($P$5:P890)+1</f>
        <v>158</v>
      </c>
      <c r="Q891" s="80" t="s">
        <v>3243</v>
      </c>
    </row>
    <row r="892" spans="2:17" ht="15.2" customHeight="1">
      <c r="B892" s="766" t="s">
        <v>1050</v>
      </c>
      <c r="C892" s="766"/>
      <c r="D892" s="84" t="s">
        <v>427</v>
      </c>
      <c r="E892" s="88">
        <v>17.748000000000001</v>
      </c>
      <c r="F892" s="86" t="s">
        <v>1193</v>
      </c>
      <c r="G892" s="470"/>
      <c r="H892" s="470">
        <f>TRUNC(E892*G892,0)</f>
        <v>0</v>
      </c>
      <c r="I892" s="470"/>
      <c r="J892" s="470">
        <f>TRUNC(I892*E892,0)</f>
        <v>0</v>
      </c>
      <c r="K892" s="470"/>
      <c r="L892" s="470">
        <f>TRUNC(K892*E892,0)</f>
        <v>0</v>
      </c>
      <c r="M892" s="470">
        <f t="shared" ref="M892:N894" si="246">G892+I892+K892</f>
        <v>0</v>
      </c>
      <c r="N892" s="470">
        <f t="shared" si="246"/>
        <v>0</v>
      </c>
      <c r="O892" s="457"/>
      <c r="P892" s="767"/>
    </row>
    <row r="893" spans="2:17" ht="15.2" customHeight="1">
      <c r="B893" s="766" t="s">
        <v>455</v>
      </c>
      <c r="C893" s="766"/>
      <c r="D893" s="84"/>
      <c r="E893" s="87">
        <v>0.5</v>
      </c>
      <c r="F893" s="86" t="s">
        <v>1193</v>
      </c>
      <c r="G893" s="470">
        <f>사급자재!$M$86</f>
        <v>360</v>
      </c>
      <c r="H893" s="470">
        <f>TRUNC(E893*G893,0)</f>
        <v>180</v>
      </c>
      <c r="I893" s="470"/>
      <c r="J893" s="470">
        <f>TRUNC(I893*E893,0)</f>
        <v>0</v>
      </c>
      <c r="K893" s="470"/>
      <c r="L893" s="470">
        <f>TRUNC(K893*E893,0)</f>
        <v>0</v>
      </c>
      <c r="M893" s="470">
        <f t="shared" si="246"/>
        <v>360</v>
      </c>
      <c r="N893" s="470">
        <f t="shared" si="246"/>
        <v>180</v>
      </c>
      <c r="O893" s="457"/>
      <c r="P893" s="767"/>
    </row>
    <row r="894" spans="2:17" ht="15.2" customHeight="1">
      <c r="B894" s="766" t="s">
        <v>1191</v>
      </c>
      <c r="C894" s="766"/>
      <c r="D894" s="84"/>
      <c r="E894" s="651">
        <v>0.33300000000000002</v>
      </c>
      <c r="F894" s="86" t="s">
        <v>1163</v>
      </c>
      <c r="G894" s="470"/>
      <c r="H894" s="470">
        <f>TRUNC(E894*G894,0)</f>
        <v>0</v>
      </c>
      <c r="I894" s="470">
        <f>SUMIF('노임(2015)'!$B$4:$B$87,B894,'노임(2015)'!$C$4:$C$87)+SUMIF('노임(2015)'!$E$4:$E$87,B894,'노임(2015)'!$F$4:$F$87)</f>
        <v>126728</v>
      </c>
      <c r="J894" s="470">
        <f>TRUNC(I894*E894,0)</f>
        <v>42200</v>
      </c>
      <c r="K894" s="470"/>
      <c r="L894" s="470">
        <f>TRUNC(K894*E894,0)</f>
        <v>0</v>
      </c>
      <c r="M894" s="470">
        <f t="shared" si="246"/>
        <v>126728</v>
      </c>
      <c r="N894" s="470">
        <f t="shared" si="246"/>
        <v>42200</v>
      </c>
      <c r="O894" s="457"/>
      <c r="P894" s="767"/>
    </row>
    <row r="895" spans="2:17" ht="15.2" customHeight="1">
      <c r="B895" s="766" t="s">
        <v>1162</v>
      </c>
      <c r="C895" s="766"/>
      <c r="D895" s="84" t="s">
        <v>428</v>
      </c>
      <c r="E895" s="651">
        <v>0.33300000000000002</v>
      </c>
      <c r="F895" s="86" t="s">
        <v>1163</v>
      </c>
      <c r="G895" s="470"/>
      <c r="H895" s="470">
        <f t="shared" ref="H895:H900" si="247">TRUNC(E895*G895,0)</f>
        <v>0</v>
      </c>
      <c r="I895" s="470">
        <f>SUMIF('노임(2015)'!$B$4:$B$87,B895,'노임(2015)'!$C$4:$C$87)+SUMIF('노임(2015)'!$E$4:$E$87,B895,'노임(2015)'!$F$4:$F$87)</f>
        <v>89566</v>
      </c>
      <c r="J895" s="470">
        <f t="shared" ref="J895:J900" si="248">TRUNC(I895*E895,0)</f>
        <v>29825</v>
      </c>
      <c r="K895" s="470"/>
      <c r="L895" s="470">
        <f t="shared" ref="L895:L900" si="249">TRUNC(K895*E895,0)</f>
        <v>0</v>
      </c>
      <c r="M895" s="470">
        <f t="shared" ref="M895:M900" si="250">G895+I895+K895</f>
        <v>89566</v>
      </c>
      <c r="N895" s="470">
        <f t="shared" ref="N895:N900" si="251">H895+J895+L895</f>
        <v>29825</v>
      </c>
      <c r="O895" s="457"/>
      <c r="P895" s="767"/>
    </row>
    <row r="896" spans="2:17" ht="15.2" customHeight="1">
      <c r="B896" s="766" t="s">
        <v>1162</v>
      </c>
      <c r="C896" s="766"/>
      <c r="D896" s="84" t="s">
        <v>429</v>
      </c>
      <c r="E896" s="651">
        <v>0.33300000000000002</v>
      </c>
      <c r="F896" s="86" t="s">
        <v>1163</v>
      </c>
      <c r="G896" s="470"/>
      <c r="H896" s="470">
        <f t="shared" si="247"/>
        <v>0</v>
      </c>
      <c r="I896" s="470">
        <f>SUMIF('노임(2015)'!$B$4:$B$87,B896,'노임(2015)'!$C$4:$C$87)+SUMIF('노임(2015)'!$E$4:$E$87,B896,'노임(2015)'!$F$4:$F$87)</f>
        <v>89566</v>
      </c>
      <c r="J896" s="470">
        <f t="shared" si="248"/>
        <v>29825</v>
      </c>
      <c r="K896" s="470"/>
      <c r="L896" s="470">
        <f t="shared" si="249"/>
        <v>0</v>
      </c>
      <c r="M896" s="470">
        <f t="shared" si="250"/>
        <v>89566</v>
      </c>
      <c r="N896" s="470">
        <f t="shared" si="251"/>
        <v>29825</v>
      </c>
      <c r="O896" s="457"/>
      <c r="P896" s="767"/>
    </row>
    <row r="897" spans="2:17" ht="15.2" customHeight="1">
      <c r="B897" s="766" t="s">
        <v>430</v>
      </c>
      <c r="C897" s="766"/>
      <c r="D897" s="84" t="s">
        <v>1586</v>
      </c>
      <c r="E897" s="651">
        <v>2.6659999999999999</v>
      </c>
      <c r="F897" s="86" t="s">
        <v>453</v>
      </c>
      <c r="G897" s="470">
        <f>중기사용료!$M$815</f>
        <v>1589</v>
      </c>
      <c r="H897" s="470">
        <f t="shared" si="247"/>
        <v>4236</v>
      </c>
      <c r="I897" s="470">
        <f>중기사용료!$M$809</f>
        <v>18939</v>
      </c>
      <c r="J897" s="470">
        <f t="shared" si="248"/>
        <v>50491</v>
      </c>
      <c r="K897" s="470">
        <f>중기사용료!$M$803</f>
        <v>555</v>
      </c>
      <c r="L897" s="470">
        <f t="shared" si="249"/>
        <v>1479</v>
      </c>
      <c r="M897" s="470">
        <f t="shared" si="250"/>
        <v>21083</v>
      </c>
      <c r="N897" s="470">
        <f t="shared" si="251"/>
        <v>56206</v>
      </c>
      <c r="O897" s="460">
        <f>중기사용료!$A$800</f>
        <v>43</v>
      </c>
      <c r="P897" s="767"/>
    </row>
    <row r="898" spans="2:17" ht="15.2" customHeight="1">
      <c r="B898" s="766" t="s">
        <v>1034</v>
      </c>
      <c r="C898" s="766"/>
      <c r="D898" s="84" t="s">
        <v>156</v>
      </c>
      <c r="E898" s="651">
        <v>2.6659999999999999</v>
      </c>
      <c r="F898" s="86" t="s">
        <v>453</v>
      </c>
      <c r="G898" s="470">
        <f>중기사용료!$M$701</f>
        <v>2771</v>
      </c>
      <c r="H898" s="470">
        <f t="shared" si="247"/>
        <v>7387</v>
      </c>
      <c r="I898" s="470">
        <f>중기사용료!$M$695</f>
        <v>27168</v>
      </c>
      <c r="J898" s="470">
        <f t="shared" si="248"/>
        <v>72429</v>
      </c>
      <c r="K898" s="470">
        <f>중기사용료!$M$689</f>
        <v>1563</v>
      </c>
      <c r="L898" s="470">
        <f t="shared" si="249"/>
        <v>4166</v>
      </c>
      <c r="M898" s="470">
        <f t="shared" si="250"/>
        <v>31502</v>
      </c>
      <c r="N898" s="470">
        <f t="shared" si="251"/>
        <v>83982</v>
      </c>
      <c r="O898" s="460">
        <f>중기사용료!$A$686</f>
        <v>37</v>
      </c>
      <c r="P898" s="767"/>
    </row>
    <row r="899" spans="2:17" ht="15.2" customHeight="1">
      <c r="B899" s="766" t="s">
        <v>1051</v>
      </c>
      <c r="C899" s="766"/>
      <c r="D899" s="84" t="s">
        <v>1052</v>
      </c>
      <c r="E899" s="651">
        <v>2.6659999999999999</v>
      </c>
      <c r="F899" s="86" t="s">
        <v>453</v>
      </c>
      <c r="G899" s="470">
        <f>중기사용료!$M$397</f>
        <v>5619</v>
      </c>
      <c r="H899" s="470">
        <f t="shared" si="247"/>
        <v>14980</v>
      </c>
      <c r="I899" s="470">
        <f>중기사용료!$M$391</f>
        <v>27168</v>
      </c>
      <c r="J899" s="470">
        <f t="shared" si="248"/>
        <v>72429</v>
      </c>
      <c r="K899" s="470">
        <f>중기사용료!$M$385</f>
        <v>5767</v>
      </c>
      <c r="L899" s="470">
        <f t="shared" si="249"/>
        <v>15374</v>
      </c>
      <c r="M899" s="470">
        <f t="shared" si="250"/>
        <v>38554</v>
      </c>
      <c r="N899" s="470">
        <f t="shared" si="251"/>
        <v>102783</v>
      </c>
      <c r="O899" s="460">
        <f>중기사용료!$A$382</f>
        <v>21</v>
      </c>
      <c r="P899" s="767"/>
    </row>
    <row r="900" spans="2:17" ht="15.2" customHeight="1">
      <c r="B900" s="766" t="s">
        <v>1266</v>
      </c>
      <c r="C900" s="766"/>
      <c r="D900" s="456" t="s">
        <v>3213</v>
      </c>
      <c r="E900" s="651">
        <v>1.1850000000000001</v>
      </c>
      <c r="F900" s="86" t="s">
        <v>453</v>
      </c>
      <c r="G900" s="470">
        <f>중기사용료!$M$1594</f>
        <v>13479</v>
      </c>
      <c r="H900" s="470">
        <f t="shared" si="247"/>
        <v>15972</v>
      </c>
      <c r="I900" s="470">
        <f>중기사용료!$M$1588</f>
        <v>24483</v>
      </c>
      <c r="J900" s="470">
        <f t="shared" si="248"/>
        <v>29012</v>
      </c>
      <c r="K900" s="470">
        <f>중기사용료!$M$1582</f>
        <v>7823</v>
      </c>
      <c r="L900" s="470">
        <f t="shared" si="249"/>
        <v>9270</v>
      </c>
      <c r="M900" s="470">
        <f t="shared" si="250"/>
        <v>45785</v>
      </c>
      <c r="N900" s="470">
        <f t="shared" si="251"/>
        <v>54254</v>
      </c>
      <c r="O900" s="460">
        <f>중기사용료!$A$1579</f>
        <v>84</v>
      </c>
      <c r="P900" s="767"/>
    </row>
    <row r="901" spans="2:17" ht="15.2" customHeight="1">
      <c r="B901" s="766" t="s">
        <v>855</v>
      </c>
      <c r="C901" s="766"/>
      <c r="D901" s="84"/>
      <c r="E901" s="87"/>
      <c r="F901" s="86"/>
      <c r="G901" s="470"/>
      <c r="H901" s="470">
        <f>SUM(H892:H900)</f>
        <v>42755</v>
      </c>
      <c r="I901" s="470"/>
      <c r="J901" s="470">
        <f>SUM(J892:J900)</f>
        <v>326211</v>
      </c>
      <c r="K901" s="470"/>
      <c r="L901" s="470">
        <f>SUM(L892:L900)</f>
        <v>30289</v>
      </c>
      <c r="M901" s="470"/>
      <c r="N901" s="470">
        <f>SUM(N892:N900)</f>
        <v>399255</v>
      </c>
      <c r="O901" s="457"/>
      <c r="P901" s="767"/>
      <c r="Q901" s="80" t="s">
        <v>3244</v>
      </c>
    </row>
    <row r="902" spans="2:17" ht="15.2" customHeight="1">
      <c r="B902" s="96">
        <f>P902</f>
        <v>159</v>
      </c>
      <c r="C902" s="770" t="s">
        <v>2520</v>
      </c>
      <c r="D902" s="770"/>
      <c r="E902" s="770"/>
      <c r="F902" s="771"/>
      <c r="G902" s="470"/>
      <c r="H902" s="470"/>
      <c r="I902" s="470"/>
      <c r="J902" s="470"/>
      <c r="K902" s="470"/>
      <c r="L902" s="470"/>
      <c r="M902" s="470"/>
      <c r="N902" s="470"/>
      <c r="O902" s="457"/>
      <c r="P902" s="767">
        <f>MAX($P$5:P901)+1</f>
        <v>159</v>
      </c>
      <c r="Q902" s="80" t="s">
        <v>3243</v>
      </c>
    </row>
    <row r="903" spans="2:17" ht="15.2" customHeight="1">
      <c r="B903" s="766" t="s">
        <v>1050</v>
      </c>
      <c r="C903" s="766"/>
      <c r="D903" s="84" t="s">
        <v>427</v>
      </c>
      <c r="E903" s="88">
        <v>17.748000000000001</v>
      </c>
      <c r="F903" s="86" t="s">
        <v>1193</v>
      </c>
      <c r="G903" s="470"/>
      <c r="H903" s="470">
        <f t="shared" ref="H903:H911" si="252">TRUNC(E903*G903,0)</f>
        <v>0</v>
      </c>
      <c r="I903" s="470"/>
      <c r="J903" s="470">
        <f t="shared" ref="J903:J911" si="253">TRUNC(I903*E903,0)</f>
        <v>0</v>
      </c>
      <c r="K903" s="470"/>
      <c r="L903" s="470">
        <f t="shared" ref="L903:L911" si="254">TRUNC(K903*E903,0)</f>
        <v>0</v>
      </c>
      <c r="M903" s="470">
        <f t="shared" ref="M903:M911" si="255">G903+I903+K903</f>
        <v>0</v>
      </c>
      <c r="N903" s="470">
        <f t="shared" ref="N903:N911" si="256">H903+J903+L903</f>
        <v>0</v>
      </c>
      <c r="O903" s="457"/>
      <c r="P903" s="767"/>
    </row>
    <row r="904" spans="2:17" ht="15.2" customHeight="1">
      <c r="B904" s="766" t="s">
        <v>455</v>
      </c>
      <c r="C904" s="766"/>
      <c r="D904" s="84"/>
      <c r="E904" s="87">
        <v>0.5</v>
      </c>
      <c r="F904" s="86" t="s">
        <v>1193</v>
      </c>
      <c r="G904" s="470">
        <f>사급자재!$M$86</f>
        <v>360</v>
      </c>
      <c r="H904" s="470">
        <f t="shared" si="252"/>
        <v>180</v>
      </c>
      <c r="I904" s="470"/>
      <c r="J904" s="470">
        <f t="shared" si="253"/>
        <v>0</v>
      </c>
      <c r="K904" s="470"/>
      <c r="L904" s="470">
        <f t="shared" si="254"/>
        <v>0</v>
      </c>
      <c r="M904" s="470">
        <f t="shared" si="255"/>
        <v>360</v>
      </c>
      <c r="N904" s="470">
        <f t="shared" si="256"/>
        <v>180</v>
      </c>
      <c r="O904" s="457"/>
      <c r="P904" s="767"/>
    </row>
    <row r="905" spans="2:17" ht="15.2" customHeight="1">
      <c r="B905" s="766" t="s">
        <v>1162</v>
      </c>
      <c r="C905" s="766"/>
      <c r="D905" s="84"/>
      <c r="E905" s="92">
        <v>2.5000000000000001E-2</v>
      </c>
      <c r="F905" s="86" t="s">
        <v>1163</v>
      </c>
      <c r="G905" s="470"/>
      <c r="H905" s="470">
        <f t="shared" si="252"/>
        <v>0</v>
      </c>
      <c r="I905" s="470">
        <f>SUMIF('노임(2015)'!$B$4:$B$87,B905,'노임(2015)'!$C$4:$C$87)+SUMIF('노임(2015)'!$E$4:$E$87,B905,'노임(2015)'!$F$4:$F$87)</f>
        <v>89566</v>
      </c>
      <c r="J905" s="470">
        <f t="shared" si="253"/>
        <v>2239</v>
      </c>
      <c r="K905" s="470"/>
      <c r="L905" s="470">
        <f t="shared" si="254"/>
        <v>0</v>
      </c>
      <c r="M905" s="470">
        <f t="shared" si="255"/>
        <v>89566</v>
      </c>
      <c r="N905" s="470">
        <f t="shared" si="256"/>
        <v>2239</v>
      </c>
      <c r="O905" s="457"/>
      <c r="P905" s="767"/>
    </row>
    <row r="906" spans="2:17" ht="15.2" customHeight="1">
      <c r="B906" s="766" t="s">
        <v>1191</v>
      </c>
      <c r="C906" s="766"/>
      <c r="D906" s="84"/>
      <c r="E906" s="89">
        <v>0.1</v>
      </c>
      <c r="F906" s="86" t="s">
        <v>1163</v>
      </c>
      <c r="G906" s="470"/>
      <c r="H906" s="470">
        <f t="shared" si="252"/>
        <v>0</v>
      </c>
      <c r="I906" s="470">
        <f>SUMIF('노임(2015)'!$B$4:$B$87,B906,'노임(2015)'!$C$4:$C$87)+SUMIF('노임(2015)'!$E$4:$E$87,B906,'노임(2015)'!$F$4:$F$87)</f>
        <v>126728</v>
      </c>
      <c r="J906" s="470">
        <f t="shared" si="253"/>
        <v>12672</v>
      </c>
      <c r="K906" s="470"/>
      <c r="L906" s="470">
        <f t="shared" si="254"/>
        <v>0</v>
      </c>
      <c r="M906" s="470">
        <f t="shared" si="255"/>
        <v>126728</v>
      </c>
      <c r="N906" s="470">
        <f t="shared" si="256"/>
        <v>12672</v>
      </c>
      <c r="O906" s="457"/>
      <c r="P906" s="767"/>
    </row>
    <row r="907" spans="2:17" ht="15.2" customHeight="1">
      <c r="B907" s="766" t="s">
        <v>2450</v>
      </c>
      <c r="C907" s="766"/>
      <c r="D907" s="84" t="s">
        <v>800</v>
      </c>
      <c r="E907" s="448">
        <v>0.2</v>
      </c>
      <c r="F907" s="86" t="s">
        <v>453</v>
      </c>
      <c r="G907" s="470">
        <f>중기사용료!$M$1214</f>
        <v>15508</v>
      </c>
      <c r="H907" s="470">
        <f>TRUNC(E907*G907,0)</f>
        <v>3101</v>
      </c>
      <c r="I907" s="470">
        <f>중기사용료!$M$1208</f>
        <v>27168</v>
      </c>
      <c r="J907" s="470">
        <f>TRUNC(I907*E907,0)</f>
        <v>5433</v>
      </c>
      <c r="K907" s="470">
        <f>중기사용료!$M$1202</f>
        <v>40728</v>
      </c>
      <c r="L907" s="470">
        <f>TRUNC(K907*E907,0)</f>
        <v>8145</v>
      </c>
      <c r="M907" s="470">
        <f>G907+I907+K907</f>
        <v>83404</v>
      </c>
      <c r="N907" s="470">
        <f>H907+J907+L907</f>
        <v>16679</v>
      </c>
      <c r="O907" s="460">
        <f>중기사용료!$A$1199</f>
        <v>64</v>
      </c>
      <c r="P907" s="767"/>
    </row>
    <row r="908" spans="2:17" ht="15.2" customHeight="1">
      <c r="B908" s="766" t="s">
        <v>1394</v>
      </c>
      <c r="C908" s="766"/>
      <c r="D908" s="84" t="s">
        <v>2451</v>
      </c>
      <c r="E908" s="448">
        <v>0.2</v>
      </c>
      <c r="F908" s="86" t="s">
        <v>453</v>
      </c>
      <c r="G908" s="470">
        <f>중기사용료!$M$606</f>
        <v>12234</v>
      </c>
      <c r="H908" s="470">
        <f t="shared" si="252"/>
        <v>2446</v>
      </c>
      <c r="I908" s="470">
        <f>중기사용료!$M$600</f>
        <v>27168</v>
      </c>
      <c r="J908" s="470">
        <f t="shared" si="253"/>
        <v>5433</v>
      </c>
      <c r="K908" s="470">
        <f>중기사용료!$M$594</f>
        <v>10966</v>
      </c>
      <c r="L908" s="470">
        <f t="shared" si="254"/>
        <v>2193</v>
      </c>
      <c r="M908" s="470">
        <f t="shared" si="255"/>
        <v>50368</v>
      </c>
      <c r="N908" s="470">
        <f t="shared" si="256"/>
        <v>10072</v>
      </c>
      <c r="O908" s="460">
        <f>중기사용료!$A$591</f>
        <v>32</v>
      </c>
      <c r="P908" s="767"/>
    </row>
    <row r="909" spans="2:17" ht="15.2" customHeight="1">
      <c r="B909" s="766" t="s">
        <v>2225</v>
      </c>
      <c r="C909" s="766"/>
      <c r="D909" s="84" t="s">
        <v>2435</v>
      </c>
      <c r="E909" s="448">
        <v>0.2</v>
      </c>
      <c r="F909" s="86" t="s">
        <v>453</v>
      </c>
      <c r="G909" s="470">
        <f>$H$1390</f>
        <v>10970</v>
      </c>
      <c r="H909" s="470">
        <f t="shared" si="252"/>
        <v>2194</v>
      </c>
      <c r="I909" s="470">
        <f>$J$1390</f>
        <v>27168</v>
      </c>
      <c r="J909" s="470">
        <f t="shared" si="253"/>
        <v>5433</v>
      </c>
      <c r="K909" s="470">
        <f>$L$1390</f>
        <v>15334</v>
      </c>
      <c r="L909" s="470">
        <f t="shared" si="254"/>
        <v>3066</v>
      </c>
      <c r="M909" s="470">
        <f t="shared" si="255"/>
        <v>53472</v>
      </c>
      <c r="N909" s="470">
        <f t="shared" si="256"/>
        <v>10693</v>
      </c>
      <c r="O909" s="462">
        <f>$P$1388</f>
        <v>242</v>
      </c>
      <c r="P909" s="767"/>
    </row>
    <row r="910" spans="2:17" ht="15.2" customHeight="1">
      <c r="B910" s="766" t="s">
        <v>426</v>
      </c>
      <c r="C910" s="766"/>
      <c r="D910" s="84" t="s">
        <v>2434</v>
      </c>
      <c r="E910" s="448">
        <v>0.2</v>
      </c>
      <c r="F910" s="86" t="s">
        <v>453</v>
      </c>
      <c r="G910" s="470">
        <f>$H$1384</f>
        <v>20870</v>
      </c>
      <c r="H910" s="470">
        <f t="shared" si="252"/>
        <v>4174</v>
      </c>
      <c r="I910" s="470">
        <f>$J$1384</f>
        <v>27168</v>
      </c>
      <c r="J910" s="470">
        <f t="shared" si="253"/>
        <v>5433</v>
      </c>
      <c r="K910" s="470">
        <f>$L$1384</f>
        <v>22837</v>
      </c>
      <c r="L910" s="470">
        <f t="shared" si="254"/>
        <v>4567</v>
      </c>
      <c r="M910" s="470">
        <f t="shared" si="255"/>
        <v>70875</v>
      </c>
      <c r="N910" s="470">
        <f t="shared" si="256"/>
        <v>14174</v>
      </c>
      <c r="O910" s="462">
        <f>$P$1382</f>
        <v>240</v>
      </c>
      <c r="P910" s="767"/>
    </row>
    <row r="911" spans="2:17" ht="15.2" customHeight="1">
      <c r="B911" s="766" t="s">
        <v>1266</v>
      </c>
      <c r="C911" s="766"/>
      <c r="D911" s="84" t="s">
        <v>1037</v>
      </c>
      <c r="E911" s="448">
        <v>0.2</v>
      </c>
      <c r="F911" s="86" t="s">
        <v>453</v>
      </c>
      <c r="G911" s="470">
        <f>중기사용료!$M$1613</f>
        <v>18696</v>
      </c>
      <c r="H911" s="470">
        <f t="shared" si="252"/>
        <v>3739</v>
      </c>
      <c r="I911" s="470">
        <f>중기사용료!$M$1607</f>
        <v>24483</v>
      </c>
      <c r="J911" s="470">
        <f t="shared" si="253"/>
        <v>4896</v>
      </c>
      <c r="K911" s="470">
        <f>중기사용료!$M$1601</f>
        <v>15005</v>
      </c>
      <c r="L911" s="470">
        <f t="shared" si="254"/>
        <v>3001</v>
      </c>
      <c r="M911" s="470">
        <f t="shared" si="255"/>
        <v>58184</v>
      </c>
      <c r="N911" s="470">
        <f t="shared" si="256"/>
        <v>11636</v>
      </c>
      <c r="O911" s="460">
        <f>중기사용료!$A$1598</f>
        <v>85</v>
      </c>
      <c r="P911" s="767"/>
    </row>
    <row r="912" spans="2:17" ht="15.2" customHeight="1">
      <c r="B912" s="766" t="s">
        <v>855</v>
      </c>
      <c r="C912" s="766"/>
      <c r="D912" s="84"/>
      <c r="E912" s="87"/>
      <c r="F912" s="86"/>
      <c r="G912" s="470"/>
      <c r="H912" s="470">
        <f>SUM(H903:H911)</f>
        <v>15834</v>
      </c>
      <c r="I912" s="470"/>
      <c r="J912" s="470">
        <f>SUM(J903:J911)</f>
        <v>41539</v>
      </c>
      <c r="K912" s="470"/>
      <c r="L912" s="470">
        <f>SUM(L903:L911)</f>
        <v>20972</v>
      </c>
      <c r="M912" s="470"/>
      <c r="N912" s="470">
        <f>SUM(N903:N911)</f>
        <v>78345</v>
      </c>
      <c r="O912" s="457"/>
      <c r="P912" s="767"/>
      <c r="Q912" s="80" t="s">
        <v>3244</v>
      </c>
    </row>
    <row r="913" spans="2:17" ht="15.2" customHeight="1">
      <c r="B913" s="96">
        <f>P913</f>
        <v>160</v>
      </c>
      <c r="C913" s="770" t="s">
        <v>1061</v>
      </c>
      <c r="D913" s="770"/>
      <c r="E913" s="770"/>
      <c r="F913" s="771"/>
      <c r="G913" s="470"/>
      <c r="H913" s="470"/>
      <c r="I913" s="470"/>
      <c r="J913" s="470"/>
      <c r="K913" s="470"/>
      <c r="L913" s="470"/>
      <c r="M913" s="470"/>
      <c r="N913" s="470"/>
      <c r="O913" s="457"/>
      <c r="P913" s="767">
        <f>MAX($P$5:P912)+1</f>
        <v>160</v>
      </c>
      <c r="Q913" s="80" t="s">
        <v>3243</v>
      </c>
    </row>
    <row r="914" spans="2:17" ht="15.2" customHeight="1">
      <c r="B914" s="766" t="s">
        <v>2452</v>
      </c>
      <c r="C914" s="766"/>
      <c r="D914" s="84" t="s">
        <v>1062</v>
      </c>
      <c r="E914" s="87">
        <v>75</v>
      </c>
      <c r="F914" s="86" t="s">
        <v>456</v>
      </c>
      <c r="G914" s="470">
        <f>사급자재!$M$80</f>
        <v>800</v>
      </c>
      <c r="H914" s="470">
        <f>TRUNC(E914*G914,0)</f>
        <v>60000</v>
      </c>
      <c r="I914" s="470"/>
      <c r="J914" s="470">
        <f>TRUNC(I914*E914,0)</f>
        <v>0</v>
      </c>
      <c r="K914" s="470">
        <f>자재운반비!$T$26</f>
        <v>32</v>
      </c>
      <c r="L914" s="470">
        <f>TRUNC(K914*E914,0)</f>
        <v>2400</v>
      </c>
      <c r="M914" s="470">
        <f t="shared" ref="M914:N916" si="257">G914+I914+K914</f>
        <v>832</v>
      </c>
      <c r="N914" s="470">
        <f t="shared" si="257"/>
        <v>62400</v>
      </c>
      <c r="O914" s="457"/>
      <c r="P914" s="767"/>
    </row>
    <row r="915" spans="2:17" ht="15.2" customHeight="1">
      <c r="B915" s="766" t="s">
        <v>1162</v>
      </c>
      <c r="C915" s="766"/>
      <c r="D915" s="84"/>
      <c r="E915" s="651">
        <v>2.5000000000000001E-2</v>
      </c>
      <c r="F915" s="86" t="s">
        <v>1163</v>
      </c>
      <c r="G915" s="470"/>
      <c r="H915" s="470">
        <f>TRUNC(E915*G915,0)</f>
        <v>0</v>
      </c>
      <c r="I915" s="470">
        <f>SUMIF('노임(2015)'!$B$4:$B$87,B915,'노임(2015)'!$C$4:$C$87)+SUMIF('노임(2015)'!$E$4:$E$87,B915,'노임(2015)'!$F$4:$F$87)</f>
        <v>89566</v>
      </c>
      <c r="J915" s="470">
        <f>TRUNC(I915*E915,0)</f>
        <v>2239</v>
      </c>
      <c r="K915" s="470"/>
      <c r="L915" s="470">
        <f>TRUNC(K915*E915,0)</f>
        <v>0</v>
      </c>
      <c r="M915" s="470">
        <f t="shared" si="257"/>
        <v>89566</v>
      </c>
      <c r="N915" s="470">
        <f t="shared" si="257"/>
        <v>2239</v>
      </c>
      <c r="O915" s="457"/>
      <c r="P915" s="767"/>
    </row>
    <row r="916" spans="2:17" ht="15.2" customHeight="1">
      <c r="B916" s="766" t="s">
        <v>908</v>
      </c>
      <c r="C916" s="766"/>
      <c r="D916" s="84" t="s">
        <v>1063</v>
      </c>
      <c r="E916" s="448">
        <v>0.1</v>
      </c>
      <c r="F916" s="86" t="s">
        <v>453</v>
      </c>
      <c r="G916" s="470">
        <f>중기사용료!$M$1252</f>
        <v>1684</v>
      </c>
      <c r="H916" s="470">
        <f>TRUNC(E916*G916,0)</f>
        <v>168</v>
      </c>
      <c r="I916" s="470">
        <f>중기사용료!$M$1246</f>
        <v>27168</v>
      </c>
      <c r="J916" s="470">
        <f>TRUNC(I916*E916,0)</f>
        <v>2716</v>
      </c>
      <c r="K916" s="470">
        <f>중기사용료!$M$1240</f>
        <v>689</v>
      </c>
      <c r="L916" s="470">
        <f>TRUNC(K916*E916,0)</f>
        <v>68</v>
      </c>
      <c r="M916" s="470">
        <f t="shared" si="257"/>
        <v>29541</v>
      </c>
      <c r="N916" s="470">
        <f t="shared" si="257"/>
        <v>2952</v>
      </c>
      <c r="O916" s="463">
        <f>중기사용료!$A$1237</f>
        <v>66</v>
      </c>
      <c r="P916" s="767"/>
    </row>
    <row r="917" spans="2:17" ht="15.2" customHeight="1">
      <c r="B917" s="766" t="s">
        <v>855</v>
      </c>
      <c r="C917" s="766"/>
      <c r="D917" s="84"/>
      <c r="E917" s="87"/>
      <c r="F917" s="86"/>
      <c r="G917" s="470"/>
      <c r="H917" s="470">
        <f>SUM(H914:H916)</f>
        <v>60168</v>
      </c>
      <c r="I917" s="470"/>
      <c r="J917" s="470">
        <f>SUM(J914:J916)</f>
        <v>4955</v>
      </c>
      <c r="K917" s="470"/>
      <c r="L917" s="470">
        <f>SUM(L914:L916)</f>
        <v>2468</v>
      </c>
      <c r="M917" s="470"/>
      <c r="N917" s="470">
        <f>SUM(N914:N916)</f>
        <v>67591</v>
      </c>
      <c r="O917" s="457"/>
      <c r="P917" s="767"/>
      <c r="Q917" s="80" t="s">
        <v>3244</v>
      </c>
    </row>
    <row r="918" spans="2:17" ht="15.2" customHeight="1">
      <c r="B918" s="96">
        <f>P918</f>
        <v>161</v>
      </c>
      <c r="C918" s="770" t="s">
        <v>1064</v>
      </c>
      <c r="D918" s="770"/>
      <c r="E918" s="770"/>
      <c r="F918" s="771"/>
      <c r="G918" s="470"/>
      <c r="H918" s="470"/>
      <c r="I918" s="470"/>
      <c r="J918" s="470"/>
      <c r="K918" s="470"/>
      <c r="L918" s="470"/>
      <c r="M918" s="470"/>
      <c r="N918" s="470"/>
      <c r="O918" s="457"/>
      <c r="P918" s="767">
        <f>MAX($P$5:P917)+1</f>
        <v>161</v>
      </c>
      <c r="Q918" s="80" t="s">
        <v>3243</v>
      </c>
    </row>
    <row r="919" spans="2:17" ht="15.2" customHeight="1">
      <c r="B919" s="766" t="s">
        <v>2452</v>
      </c>
      <c r="C919" s="766"/>
      <c r="D919" s="84" t="s">
        <v>1065</v>
      </c>
      <c r="E919" s="87">
        <v>30</v>
      </c>
      <c r="F919" s="86" t="s">
        <v>456</v>
      </c>
      <c r="G919" s="470">
        <f>사급자재!$M$82</f>
        <v>800</v>
      </c>
      <c r="H919" s="470">
        <f>TRUNC(E919*G919,0)</f>
        <v>24000</v>
      </c>
      <c r="I919" s="470"/>
      <c r="J919" s="470">
        <f>TRUNC(I919*E919,0)</f>
        <v>0</v>
      </c>
      <c r="K919" s="470">
        <f>자재운반비!$T$26</f>
        <v>32</v>
      </c>
      <c r="L919" s="470">
        <f>TRUNC(K919*E919,0)</f>
        <v>960</v>
      </c>
      <c r="M919" s="470">
        <f t="shared" ref="M919:N921" si="258">G919+I919+K919</f>
        <v>832</v>
      </c>
      <c r="N919" s="470">
        <f t="shared" si="258"/>
        <v>24960</v>
      </c>
      <c r="O919" s="457"/>
      <c r="P919" s="767"/>
    </row>
    <row r="920" spans="2:17" ht="15.2" customHeight="1">
      <c r="B920" s="766" t="s">
        <v>1162</v>
      </c>
      <c r="C920" s="766"/>
      <c r="D920" s="84"/>
      <c r="E920" s="651">
        <v>2.5000000000000001E-2</v>
      </c>
      <c r="F920" s="86" t="s">
        <v>1163</v>
      </c>
      <c r="G920" s="470"/>
      <c r="H920" s="470">
        <f>TRUNC(E920*G920,0)</f>
        <v>0</v>
      </c>
      <c r="I920" s="470">
        <f>SUMIF('노임(2015)'!$B$4:$B$87,B920,'노임(2015)'!$C$4:$C$87)+SUMIF('노임(2015)'!$E$4:$E$87,B920,'노임(2015)'!$F$4:$F$87)</f>
        <v>89566</v>
      </c>
      <c r="J920" s="470">
        <f>TRUNC(I920*E920,0)</f>
        <v>2239</v>
      </c>
      <c r="K920" s="470"/>
      <c r="L920" s="470">
        <f>TRUNC(K920*E920,0)</f>
        <v>0</v>
      </c>
      <c r="M920" s="470">
        <f t="shared" si="258"/>
        <v>89566</v>
      </c>
      <c r="N920" s="470">
        <f t="shared" si="258"/>
        <v>2239</v>
      </c>
      <c r="O920" s="457"/>
      <c r="P920" s="767"/>
    </row>
    <row r="921" spans="2:17" ht="15.2" customHeight="1">
      <c r="B921" s="766" t="s">
        <v>908</v>
      </c>
      <c r="C921" s="766"/>
      <c r="D921" s="84" t="s">
        <v>1063</v>
      </c>
      <c r="E921" s="448">
        <v>0.1</v>
      </c>
      <c r="F921" s="86" t="s">
        <v>453</v>
      </c>
      <c r="G921" s="470">
        <f>중기사용료!$M$1252</f>
        <v>1684</v>
      </c>
      <c r="H921" s="470">
        <f>TRUNC(E921*G921,0)</f>
        <v>168</v>
      </c>
      <c r="I921" s="470">
        <f>중기사용료!$M$1246</f>
        <v>27168</v>
      </c>
      <c r="J921" s="470">
        <f>TRUNC(I921*E921,0)</f>
        <v>2716</v>
      </c>
      <c r="K921" s="470">
        <f>중기사용료!$M$1240</f>
        <v>689</v>
      </c>
      <c r="L921" s="470">
        <f>TRUNC(K921*E921,0)</f>
        <v>68</v>
      </c>
      <c r="M921" s="470">
        <f t="shared" si="258"/>
        <v>29541</v>
      </c>
      <c r="N921" s="470">
        <f t="shared" si="258"/>
        <v>2952</v>
      </c>
      <c r="O921" s="463">
        <f>중기사용료!$A$1237</f>
        <v>66</v>
      </c>
      <c r="P921" s="767"/>
    </row>
    <row r="922" spans="2:17" ht="15.2" customHeight="1">
      <c r="B922" s="766" t="s">
        <v>855</v>
      </c>
      <c r="C922" s="766"/>
      <c r="D922" s="84"/>
      <c r="E922" s="87"/>
      <c r="F922" s="86"/>
      <c r="G922" s="470"/>
      <c r="H922" s="470">
        <f>SUM(H919:H921)</f>
        <v>24168</v>
      </c>
      <c r="I922" s="470"/>
      <c r="J922" s="470">
        <f>SUM(J919:J921)</f>
        <v>4955</v>
      </c>
      <c r="K922" s="470"/>
      <c r="L922" s="470">
        <f>SUM(L919:L921)</f>
        <v>1028</v>
      </c>
      <c r="M922" s="470"/>
      <c r="N922" s="470">
        <f>SUM(N919:N921)</f>
        <v>30151</v>
      </c>
      <c r="O922" s="457"/>
      <c r="P922" s="767"/>
      <c r="Q922" s="80" t="s">
        <v>3244</v>
      </c>
    </row>
    <row r="923" spans="2:17" ht="15.2" customHeight="1">
      <c r="B923" s="96">
        <f>P923</f>
        <v>162</v>
      </c>
      <c r="C923" s="770" t="s">
        <v>1066</v>
      </c>
      <c r="D923" s="770"/>
      <c r="E923" s="770"/>
      <c r="F923" s="771"/>
      <c r="G923" s="470"/>
      <c r="H923" s="470"/>
      <c r="I923" s="470"/>
      <c r="J923" s="470"/>
      <c r="K923" s="470"/>
      <c r="L923" s="470"/>
      <c r="M923" s="470"/>
      <c r="N923" s="470"/>
      <c r="O923" s="457"/>
      <c r="P923" s="767">
        <f>MAX($P$5:P922)+1</f>
        <v>162</v>
      </c>
      <c r="Q923" s="80" t="s">
        <v>3243</v>
      </c>
    </row>
    <row r="924" spans="2:17" ht="15.2" customHeight="1">
      <c r="B924" s="766" t="s">
        <v>1050</v>
      </c>
      <c r="C924" s="766"/>
      <c r="D924" s="84" t="s">
        <v>427</v>
      </c>
      <c r="E924" s="88">
        <v>11.832000000000001</v>
      </c>
      <c r="F924" s="86" t="s">
        <v>1193</v>
      </c>
      <c r="G924" s="470"/>
      <c r="H924" s="470">
        <f t="shared" ref="H924:H932" si="259">TRUNC(E924*G924,0)</f>
        <v>0</v>
      </c>
      <c r="I924" s="470"/>
      <c r="J924" s="470">
        <f t="shared" ref="J924:J932" si="260">TRUNC(I924*E924,0)</f>
        <v>0</v>
      </c>
      <c r="K924" s="470"/>
      <c r="L924" s="470">
        <f t="shared" ref="L924:L932" si="261">TRUNC(K924*E924,0)</f>
        <v>0</v>
      </c>
      <c r="M924" s="470">
        <f t="shared" ref="M924:M932" si="262">G924+I924+K924</f>
        <v>0</v>
      </c>
      <c r="N924" s="470">
        <f t="shared" ref="N924:N932" si="263">H924+J924+L924</f>
        <v>0</v>
      </c>
      <c r="O924" s="457"/>
      <c r="P924" s="767"/>
    </row>
    <row r="925" spans="2:17" ht="15.2" customHeight="1">
      <c r="B925" s="766" t="s">
        <v>455</v>
      </c>
      <c r="C925" s="766"/>
      <c r="D925" s="84"/>
      <c r="E925" s="87">
        <v>0.5</v>
      </c>
      <c r="F925" s="86" t="s">
        <v>1193</v>
      </c>
      <c r="G925" s="470">
        <f>사급자재!$M$86</f>
        <v>360</v>
      </c>
      <c r="H925" s="470">
        <f t="shared" si="259"/>
        <v>180</v>
      </c>
      <c r="I925" s="470"/>
      <c r="J925" s="470">
        <f t="shared" si="260"/>
        <v>0</v>
      </c>
      <c r="K925" s="470"/>
      <c r="L925" s="470">
        <f t="shared" si="261"/>
        <v>0</v>
      </c>
      <c r="M925" s="470">
        <f t="shared" si="262"/>
        <v>360</v>
      </c>
      <c r="N925" s="470">
        <f t="shared" si="263"/>
        <v>180</v>
      </c>
      <c r="O925" s="457"/>
      <c r="P925" s="767"/>
    </row>
    <row r="926" spans="2:17" ht="15.2" customHeight="1">
      <c r="B926" s="766" t="s">
        <v>1191</v>
      </c>
      <c r="C926" s="766"/>
      <c r="D926" s="84"/>
      <c r="E926" s="651">
        <v>0.33300000000000002</v>
      </c>
      <c r="F926" s="86" t="s">
        <v>1163</v>
      </c>
      <c r="G926" s="470"/>
      <c r="H926" s="470">
        <f>TRUNC(E926*G926,0)</f>
        <v>0</v>
      </c>
      <c r="I926" s="470">
        <f>SUMIF('노임(2015)'!$B$4:$B$87,B926,'노임(2015)'!$C$4:$C$87)+SUMIF('노임(2015)'!$E$4:$E$87,B926,'노임(2015)'!$F$4:$F$87)</f>
        <v>126728</v>
      </c>
      <c r="J926" s="470">
        <f>TRUNC(I926*E926,0)</f>
        <v>42200</v>
      </c>
      <c r="K926" s="470"/>
      <c r="L926" s="470">
        <f>TRUNC(K926*E926,0)</f>
        <v>0</v>
      </c>
      <c r="M926" s="470">
        <f>G926+I926+K926</f>
        <v>126728</v>
      </c>
      <c r="N926" s="470">
        <f>H926+J926+L926</f>
        <v>42200</v>
      </c>
      <c r="O926" s="457"/>
      <c r="P926" s="767"/>
    </row>
    <row r="927" spans="2:17" ht="15.2" customHeight="1">
      <c r="B927" s="766" t="s">
        <v>1162</v>
      </c>
      <c r="C927" s="766"/>
      <c r="D927" s="84" t="s">
        <v>428</v>
      </c>
      <c r="E927" s="651">
        <v>0.33300000000000002</v>
      </c>
      <c r="F927" s="86" t="s">
        <v>1163</v>
      </c>
      <c r="G927" s="470"/>
      <c r="H927" s="470">
        <f t="shared" si="259"/>
        <v>0</v>
      </c>
      <c r="I927" s="470">
        <f>SUMIF('노임(2015)'!$B$4:$B$87,B927,'노임(2015)'!$C$4:$C$87)+SUMIF('노임(2015)'!$E$4:$E$87,B927,'노임(2015)'!$F$4:$F$87)</f>
        <v>89566</v>
      </c>
      <c r="J927" s="470">
        <f t="shared" si="260"/>
        <v>29825</v>
      </c>
      <c r="K927" s="470"/>
      <c r="L927" s="470">
        <f t="shared" si="261"/>
        <v>0</v>
      </c>
      <c r="M927" s="470">
        <f t="shared" si="262"/>
        <v>89566</v>
      </c>
      <c r="N927" s="470">
        <f t="shared" si="263"/>
        <v>29825</v>
      </c>
      <c r="O927" s="457"/>
      <c r="P927" s="767"/>
    </row>
    <row r="928" spans="2:17" ht="15.2" customHeight="1">
      <c r="B928" s="766" t="s">
        <v>1162</v>
      </c>
      <c r="C928" s="766"/>
      <c r="D928" s="84" t="s">
        <v>429</v>
      </c>
      <c r="E928" s="651">
        <v>0.33300000000000002</v>
      </c>
      <c r="F928" s="86" t="s">
        <v>1163</v>
      </c>
      <c r="G928" s="470"/>
      <c r="H928" s="470">
        <f t="shared" si="259"/>
        <v>0</v>
      </c>
      <c r="I928" s="470">
        <f>SUMIF('노임(2015)'!$B$4:$B$87,B928,'노임(2015)'!$C$4:$C$87)+SUMIF('노임(2015)'!$E$4:$E$87,B928,'노임(2015)'!$F$4:$F$87)</f>
        <v>89566</v>
      </c>
      <c r="J928" s="470">
        <f t="shared" si="260"/>
        <v>29825</v>
      </c>
      <c r="K928" s="470"/>
      <c r="L928" s="470">
        <f t="shared" si="261"/>
        <v>0</v>
      </c>
      <c r="M928" s="470">
        <f t="shared" si="262"/>
        <v>89566</v>
      </c>
      <c r="N928" s="470">
        <f t="shared" si="263"/>
        <v>29825</v>
      </c>
      <c r="O928" s="457"/>
      <c r="P928" s="767"/>
    </row>
    <row r="929" spans="2:17" ht="15.2" customHeight="1">
      <c r="B929" s="766" t="s">
        <v>430</v>
      </c>
      <c r="C929" s="766"/>
      <c r="D929" s="84" t="s">
        <v>1586</v>
      </c>
      <c r="E929" s="651">
        <v>2.6659999999999999</v>
      </c>
      <c r="F929" s="86" t="s">
        <v>453</v>
      </c>
      <c r="G929" s="470">
        <f>중기사용료!$M$815</f>
        <v>1589</v>
      </c>
      <c r="H929" s="470">
        <f t="shared" si="259"/>
        <v>4236</v>
      </c>
      <c r="I929" s="470">
        <f>중기사용료!$M$809</f>
        <v>18939</v>
      </c>
      <c r="J929" s="470">
        <f t="shared" si="260"/>
        <v>50491</v>
      </c>
      <c r="K929" s="470">
        <f>중기사용료!$M$803</f>
        <v>555</v>
      </c>
      <c r="L929" s="470">
        <f t="shared" si="261"/>
        <v>1479</v>
      </c>
      <c r="M929" s="470">
        <f t="shared" si="262"/>
        <v>21083</v>
      </c>
      <c r="N929" s="470">
        <f t="shared" si="263"/>
        <v>56206</v>
      </c>
      <c r="O929" s="460">
        <f>중기사용료!$A$800</f>
        <v>43</v>
      </c>
      <c r="P929" s="767"/>
    </row>
    <row r="930" spans="2:17" ht="15.2" customHeight="1">
      <c r="B930" s="766" t="s">
        <v>1034</v>
      </c>
      <c r="C930" s="766"/>
      <c r="D930" s="84" t="s">
        <v>156</v>
      </c>
      <c r="E930" s="651">
        <v>2.6659999999999999</v>
      </c>
      <c r="F930" s="86" t="s">
        <v>453</v>
      </c>
      <c r="G930" s="470">
        <f>중기사용료!$M$701</f>
        <v>2771</v>
      </c>
      <c r="H930" s="470">
        <f t="shared" si="259"/>
        <v>7387</v>
      </c>
      <c r="I930" s="470">
        <f>중기사용료!$M$695</f>
        <v>27168</v>
      </c>
      <c r="J930" s="470">
        <f t="shared" si="260"/>
        <v>72429</v>
      </c>
      <c r="K930" s="470">
        <f>중기사용료!$M$689</f>
        <v>1563</v>
      </c>
      <c r="L930" s="470">
        <f t="shared" si="261"/>
        <v>4166</v>
      </c>
      <c r="M930" s="470">
        <f t="shared" si="262"/>
        <v>31502</v>
      </c>
      <c r="N930" s="470">
        <f t="shared" si="263"/>
        <v>83982</v>
      </c>
      <c r="O930" s="460">
        <f>중기사용료!$A$686</f>
        <v>37</v>
      </c>
      <c r="P930" s="767"/>
    </row>
    <row r="931" spans="2:17" ht="15.2" customHeight="1">
      <c r="B931" s="766" t="s">
        <v>1051</v>
      </c>
      <c r="C931" s="766"/>
      <c r="D931" s="84" t="s">
        <v>1052</v>
      </c>
      <c r="E931" s="651">
        <v>2.6659999999999999</v>
      </c>
      <c r="F931" s="86" t="s">
        <v>453</v>
      </c>
      <c r="G931" s="470">
        <f>중기사용료!$M$397</f>
        <v>5619</v>
      </c>
      <c r="H931" s="470">
        <f t="shared" si="259"/>
        <v>14980</v>
      </c>
      <c r="I931" s="470">
        <f>중기사용료!$M$391</f>
        <v>27168</v>
      </c>
      <c r="J931" s="470">
        <f t="shared" si="260"/>
        <v>72429</v>
      </c>
      <c r="K931" s="470">
        <f>중기사용료!$M$385</f>
        <v>5767</v>
      </c>
      <c r="L931" s="470">
        <f t="shared" si="261"/>
        <v>15374</v>
      </c>
      <c r="M931" s="470">
        <f t="shared" si="262"/>
        <v>38554</v>
      </c>
      <c r="N931" s="470">
        <f t="shared" si="263"/>
        <v>102783</v>
      </c>
      <c r="O931" s="460">
        <f>중기사용료!$A$382</f>
        <v>21</v>
      </c>
      <c r="P931" s="767"/>
    </row>
    <row r="932" spans="2:17" ht="15.2" customHeight="1">
      <c r="B932" s="766" t="s">
        <v>1266</v>
      </c>
      <c r="C932" s="766"/>
      <c r="D932" s="456" t="s">
        <v>3213</v>
      </c>
      <c r="E932" s="651">
        <v>1.1850000000000001</v>
      </c>
      <c r="F932" s="86" t="s">
        <v>453</v>
      </c>
      <c r="G932" s="470">
        <f>중기사용료!$M$1594</f>
        <v>13479</v>
      </c>
      <c r="H932" s="470">
        <f t="shared" si="259"/>
        <v>15972</v>
      </c>
      <c r="I932" s="470">
        <f>중기사용료!$M$1588</f>
        <v>24483</v>
      </c>
      <c r="J932" s="470">
        <f t="shared" si="260"/>
        <v>29012</v>
      </c>
      <c r="K932" s="470">
        <f>중기사용료!$M$1582</f>
        <v>7823</v>
      </c>
      <c r="L932" s="470">
        <f t="shared" si="261"/>
        <v>9270</v>
      </c>
      <c r="M932" s="470">
        <f t="shared" si="262"/>
        <v>45785</v>
      </c>
      <c r="N932" s="470">
        <f t="shared" si="263"/>
        <v>54254</v>
      </c>
      <c r="O932" s="460">
        <f>중기사용료!$A$1579</f>
        <v>84</v>
      </c>
      <c r="P932" s="767"/>
    </row>
    <row r="933" spans="2:17" ht="15.2" customHeight="1">
      <c r="B933" s="766" t="s">
        <v>2224</v>
      </c>
      <c r="C933" s="766"/>
      <c r="D933" s="84"/>
      <c r="E933" s="85">
        <v>1</v>
      </c>
      <c r="F933" s="86" t="s">
        <v>933</v>
      </c>
      <c r="G933" s="470">
        <f>$H$1034</f>
        <v>210</v>
      </c>
      <c r="H933" s="470">
        <f>TRUNC(E933*G933,0)</f>
        <v>210</v>
      </c>
      <c r="I933" s="470">
        <f>$J$1034</f>
        <v>8956</v>
      </c>
      <c r="J933" s="470">
        <f>TRUNC(I933*E933,0)</f>
        <v>8956</v>
      </c>
      <c r="K933" s="470">
        <f>$L$1034</f>
        <v>0</v>
      </c>
      <c r="L933" s="470">
        <f>TRUNC(K933*E933,0)</f>
        <v>0</v>
      </c>
      <c r="M933" s="470">
        <f>G933+I933+K933</f>
        <v>9166</v>
      </c>
      <c r="N933" s="470">
        <f>H933+J933+L933</f>
        <v>9166</v>
      </c>
      <c r="O933" s="462">
        <f>$P$1031</f>
        <v>171</v>
      </c>
      <c r="P933" s="767"/>
    </row>
    <row r="934" spans="2:17" ht="15.2" customHeight="1">
      <c r="B934" s="766" t="s">
        <v>855</v>
      </c>
      <c r="C934" s="766"/>
      <c r="D934" s="84"/>
      <c r="E934" s="87"/>
      <c r="F934" s="86"/>
      <c r="G934" s="470"/>
      <c r="H934" s="470">
        <f>SUM(H924:H933)</f>
        <v>42965</v>
      </c>
      <c r="I934" s="470"/>
      <c r="J934" s="470">
        <f>SUM(J924:J933)</f>
        <v>335167</v>
      </c>
      <c r="K934" s="470"/>
      <c r="L934" s="470">
        <f>SUM(L924:L933)</f>
        <v>30289</v>
      </c>
      <c r="M934" s="470"/>
      <c r="N934" s="470">
        <f>SUM(N924:N933)</f>
        <v>408421</v>
      </c>
      <c r="O934" s="457"/>
      <c r="P934" s="767"/>
      <c r="Q934" s="80" t="s">
        <v>3244</v>
      </c>
    </row>
    <row r="935" spans="2:17" ht="15.2" customHeight="1">
      <c r="B935" s="96">
        <f>P935</f>
        <v>163</v>
      </c>
      <c r="C935" s="770" t="s">
        <v>1067</v>
      </c>
      <c r="D935" s="770"/>
      <c r="E935" s="770"/>
      <c r="F935" s="771"/>
      <c r="G935" s="470"/>
      <c r="H935" s="470"/>
      <c r="I935" s="470"/>
      <c r="J935" s="470"/>
      <c r="K935" s="470"/>
      <c r="L935" s="470"/>
      <c r="M935" s="470"/>
      <c r="N935" s="470"/>
      <c r="O935" s="457"/>
      <c r="P935" s="767">
        <f>MAX($P$5:P934)+1</f>
        <v>163</v>
      </c>
      <c r="Q935" s="80" t="s">
        <v>3243</v>
      </c>
    </row>
    <row r="936" spans="2:17" ht="15.2" customHeight="1">
      <c r="B936" s="766" t="s">
        <v>1050</v>
      </c>
      <c r="C936" s="766"/>
      <c r="D936" s="84" t="s">
        <v>427</v>
      </c>
      <c r="E936" s="88">
        <v>11.832000000000001</v>
      </c>
      <c r="F936" s="86" t="s">
        <v>1193</v>
      </c>
      <c r="G936" s="470"/>
      <c r="H936" s="470">
        <f t="shared" ref="H936:H945" si="264">TRUNC(E936*G936,0)</f>
        <v>0</v>
      </c>
      <c r="I936" s="470"/>
      <c r="J936" s="470">
        <f t="shared" ref="J936:J945" si="265">TRUNC(I936*E936,0)</f>
        <v>0</v>
      </c>
      <c r="K936" s="470"/>
      <c r="L936" s="470">
        <f t="shared" ref="L936:L945" si="266">TRUNC(K936*E936,0)</f>
        <v>0</v>
      </c>
      <c r="M936" s="470">
        <f t="shared" ref="M936:M945" si="267">G936+I936+K936</f>
        <v>0</v>
      </c>
      <c r="N936" s="470">
        <f t="shared" ref="N936:N945" si="268">H936+J936+L936</f>
        <v>0</v>
      </c>
      <c r="O936" s="457"/>
      <c r="P936" s="767"/>
    </row>
    <row r="937" spans="2:17" ht="15.2" customHeight="1">
      <c r="B937" s="766" t="s">
        <v>455</v>
      </c>
      <c r="C937" s="766"/>
      <c r="D937" s="84"/>
      <c r="E937" s="87">
        <v>0.5</v>
      </c>
      <c r="F937" s="86" t="s">
        <v>1193</v>
      </c>
      <c r="G937" s="470">
        <f>사급자재!$M$86</f>
        <v>360</v>
      </c>
      <c r="H937" s="470">
        <f t="shared" si="264"/>
        <v>180</v>
      </c>
      <c r="I937" s="470"/>
      <c r="J937" s="470">
        <f t="shared" si="265"/>
        <v>0</v>
      </c>
      <c r="K937" s="470"/>
      <c r="L937" s="470">
        <f t="shared" si="266"/>
        <v>0</v>
      </c>
      <c r="M937" s="470">
        <f t="shared" si="267"/>
        <v>360</v>
      </c>
      <c r="N937" s="470">
        <f t="shared" si="268"/>
        <v>180</v>
      </c>
      <c r="O937" s="457"/>
      <c r="P937" s="767"/>
    </row>
    <row r="938" spans="2:17" ht="15.2" customHeight="1">
      <c r="B938" s="766" t="s">
        <v>1191</v>
      </c>
      <c r="C938" s="766"/>
      <c r="D938" s="84"/>
      <c r="E938" s="89">
        <v>0.2</v>
      </c>
      <c r="F938" s="86" t="s">
        <v>1163</v>
      </c>
      <c r="G938" s="470"/>
      <c r="H938" s="470">
        <f t="shared" si="264"/>
        <v>0</v>
      </c>
      <c r="I938" s="470">
        <f>SUMIF('노임(2015)'!$B$4:$B$87,B938,'노임(2015)'!$C$4:$C$87)+SUMIF('노임(2015)'!$E$4:$E$87,B938,'노임(2015)'!$F$4:$F$87)</f>
        <v>126728</v>
      </c>
      <c r="J938" s="470">
        <f t="shared" si="265"/>
        <v>25345</v>
      </c>
      <c r="K938" s="470"/>
      <c r="L938" s="470">
        <f t="shared" si="266"/>
        <v>0</v>
      </c>
      <c r="M938" s="470">
        <f t="shared" si="267"/>
        <v>126728</v>
      </c>
      <c r="N938" s="470">
        <f t="shared" si="268"/>
        <v>25345</v>
      </c>
      <c r="O938" s="457"/>
      <c r="P938" s="767"/>
    </row>
    <row r="939" spans="2:17" ht="15.2" customHeight="1">
      <c r="B939" s="766" t="s">
        <v>1162</v>
      </c>
      <c r="C939" s="766"/>
      <c r="D939" s="84"/>
      <c r="E939" s="92">
        <v>0.05</v>
      </c>
      <c r="F939" s="86" t="s">
        <v>1163</v>
      </c>
      <c r="G939" s="470"/>
      <c r="H939" s="470">
        <f t="shared" si="264"/>
        <v>0</v>
      </c>
      <c r="I939" s="470">
        <f>SUMIF('노임(2015)'!$B$4:$B$87,B939,'노임(2015)'!$C$4:$C$87)+SUMIF('노임(2015)'!$E$4:$E$87,B939,'노임(2015)'!$F$4:$F$87)</f>
        <v>89566</v>
      </c>
      <c r="J939" s="470">
        <f t="shared" si="265"/>
        <v>4478</v>
      </c>
      <c r="K939" s="470"/>
      <c r="L939" s="470">
        <f t="shared" si="266"/>
        <v>0</v>
      </c>
      <c r="M939" s="470">
        <f t="shared" si="267"/>
        <v>89566</v>
      </c>
      <c r="N939" s="470">
        <f t="shared" si="268"/>
        <v>4478</v>
      </c>
      <c r="O939" s="457"/>
      <c r="P939" s="767"/>
    </row>
    <row r="940" spans="2:17" ht="15.2" customHeight="1">
      <c r="B940" s="766" t="s">
        <v>2450</v>
      </c>
      <c r="C940" s="766"/>
      <c r="D940" s="84" t="s">
        <v>800</v>
      </c>
      <c r="E940" s="89">
        <v>0.4</v>
      </c>
      <c r="F940" s="86" t="s">
        <v>453</v>
      </c>
      <c r="G940" s="470">
        <f>중기사용료!$M$1214</f>
        <v>15508</v>
      </c>
      <c r="H940" s="470">
        <f t="shared" si="264"/>
        <v>6203</v>
      </c>
      <c r="I940" s="470">
        <f>중기사용료!$M$1208</f>
        <v>27168</v>
      </c>
      <c r="J940" s="470">
        <f t="shared" si="265"/>
        <v>10867</v>
      </c>
      <c r="K940" s="470">
        <f>중기사용료!$M$1202</f>
        <v>40728</v>
      </c>
      <c r="L940" s="470">
        <f t="shared" si="266"/>
        <v>16291</v>
      </c>
      <c r="M940" s="470">
        <f t="shared" si="267"/>
        <v>83404</v>
      </c>
      <c r="N940" s="470">
        <f t="shared" si="268"/>
        <v>33361</v>
      </c>
      <c r="O940" s="460">
        <f>중기사용료!$A$1199</f>
        <v>64</v>
      </c>
      <c r="P940" s="767"/>
    </row>
    <row r="941" spans="2:17" ht="15.2" customHeight="1">
      <c r="B941" s="766" t="s">
        <v>1394</v>
      </c>
      <c r="C941" s="766"/>
      <c r="D941" s="84" t="s">
        <v>2451</v>
      </c>
      <c r="E941" s="89">
        <v>0.4</v>
      </c>
      <c r="F941" s="86" t="s">
        <v>453</v>
      </c>
      <c r="G941" s="470">
        <f>중기사용료!$M$606</f>
        <v>12234</v>
      </c>
      <c r="H941" s="470">
        <f t="shared" si="264"/>
        <v>4893</v>
      </c>
      <c r="I941" s="470">
        <f>중기사용료!$M$600</f>
        <v>27168</v>
      </c>
      <c r="J941" s="470">
        <f t="shared" si="265"/>
        <v>10867</v>
      </c>
      <c r="K941" s="470">
        <f>중기사용료!$M$594</f>
        <v>10966</v>
      </c>
      <c r="L941" s="470">
        <f t="shared" si="266"/>
        <v>4386</v>
      </c>
      <c r="M941" s="470">
        <f t="shared" si="267"/>
        <v>50368</v>
      </c>
      <c r="N941" s="470">
        <f t="shared" si="268"/>
        <v>20146</v>
      </c>
      <c r="O941" s="460">
        <f>중기사용료!$A$591</f>
        <v>32</v>
      </c>
      <c r="P941" s="767"/>
    </row>
    <row r="942" spans="2:17" ht="15.2" customHeight="1">
      <c r="B942" s="766" t="s">
        <v>2225</v>
      </c>
      <c r="C942" s="766"/>
      <c r="D942" s="84" t="s">
        <v>2435</v>
      </c>
      <c r="E942" s="89">
        <v>0.4</v>
      </c>
      <c r="F942" s="86" t="s">
        <v>453</v>
      </c>
      <c r="G942" s="470">
        <f>$H$1390</f>
        <v>10970</v>
      </c>
      <c r="H942" s="470">
        <f t="shared" si="264"/>
        <v>4388</v>
      </c>
      <c r="I942" s="470">
        <f>$J$1390</f>
        <v>27168</v>
      </c>
      <c r="J942" s="470">
        <f t="shared" si="265"/>
        <v>10867</v>
      </c>
      <c r="K942" s="470">
        <f>$L$1390</f>
        <v>15334</v>
      </c>
      <c r="L942" s="470">
        <f t="shared" si="266"/>
        <v>6133</v>
      </c>
      <c r="M942" s="470">
        <f t="shared" si="267"/>
        <v>53472</v>
      </c>
      <c r="N942" s="470">
        <f t="shared" si="268"/>
        <v>21388</v>
      </c>
      <c r="O942" s="462">
        <f>$P$1388</f>
        <v>242</v>
      </c>
      <c r="P942" s="767"/>
    </row>
    <row r="943" spans="2:17" ht="15.2" customHeight="1">
      <c r="B943" s="766" t="s">
        <v>2430</v>
      </c>
      <c r="C943" s="766"/>
      <c r="D943" s="84" t="s">
        <v>2431</v>
      </c>
      <c r="E943" s="89">
        <v>0.4</v>
      </c>
      <c r="F943" s="86" t="s">
        <v>453</v>
      </c>
      <c r="G943" s="470">
        <f>중기사용료!$M$625</f>
        <v>6577</v>
      </c>
      <c r="H943" s="470">
        <f t="shared" si="264"/>
        <v>2630</v>
      </c>
      <c r="I943" s="470">
        <f>중기사용료!$M$619</f>
        <v>27168</v>
      </c>
      <c r="J943" s="470">
        <f t="shared" si="265"/>
        <v>10867</v>
      </c>
      <c r="K943" s="470">
        <f>중기사용료!$M$613</f>
        <v>7405</v>
      </c>
      <c r="L943" s="470">
        <f t="shared" si="266"/>
        <v>2962</v>
      </c>
      <c r="M943" s="470">
        <f t="shared" si="267"/>
        <v>41150</v>
      </c>
      <c r="N943" s="470">
        <f t="shared" si="268"/>
        <v>16459</v>
      </c>
      <c r="O943" s="460">
        <f>중기사용료!$A$610</f>
        <v>33</v>
      </c>
      <c r="P943" s="767"/>
    </row>
    <row r="944" spans="2:17" ht="15.2" customHeight="1">
      <c r="B944" s="766" t="s">
        <v>1266</v>
      </c>
      <c r="C944" s="766"/>
      <c r="D944" s="84" t="s">
        <v>1037</v>
      </c>
      <c r="E944" s="89">
        <v>0.4</v>
      </c>
      <c r="F944" s="86" t="s">
        <v>453</v>
      </c>
      <c r="G944" s="470">
        <f>중기사용료!$M$1613</f>
        <v>18696</v>
      </c>
      <c r="H944" s="470">
        <f t="shared" si="264"/>
        <v>7478</v>
      </c>
      <c r="I944" s="470">
        <f>중기사용료!$M$1607</f>
        <v>24483</v>
      </c>
      <c r="J944" s="470">
        <f t="shared" si="265"/>
        <v>9793</v>
      </c>
      <c r="K944" s="470">
        <f>중기사용료!$M$1601</f>
        <v>15005</v>
      </c>
      <c r="L944" s="470">
        <f t="shared" si="266"/>
        <v>6002</v>
      </c>
      <c r="M944" s="470">
        <f t="shared" si="267"/>
        <v>58184</v>
      </c>
      <c r="N944" s="470">
        <f t="shared" si="268"/>
        <v>23273</v>
      </c>
      <c r="O944" s="460">
        <f>중기사용료!$A$1598</f>
        <v>85</v>
      </c>
      <c r="P944" s="767"/>
    </row>
    <row r="945" spans="2:17" ht="15.2" customHeight="1">
      <c r="B945" s="766" t="s">
        <v>2224</v>
      </c>
      <c r="C945" s="766"/>
      <c r="D945" s="84"/>
      <c r="E945" s="85">
        <v>1</v>
      </c>
      <c r="F945" s="86" t="s">
        <v>933</v>
      </c>
      <c r="G945" s="470">
        <f>$H$1034</f>
        <v>210</v>
      </c>
      <c r="H945" s="470">
        <f t="shared" si="264"/>
        <v>210</v>
      </c>
      <c r="I945" s="470">
        <f>$J$1034</f>
        <v>8956</v>
      </c>
      <c r="J945" s="470">
        <f t="shared" si="265"/>
        <v>8956</v>
      </c>
      <c r="K945" s="470">
        <f>$L$1034</f>
        <v>0</v>
      </c>
      <c r="L945" s="470">
        <f t="shared" si="266"/>
        <v>0</v>
      </c>
      <c r="M945" s="470">
        <f t="shared" si="267"/>
        <v>9166</v>
      </c>
      <c r="N945" s="470">
        <f t="shared" si="268"/>
        <v>9166</v>
      </c>
      <c r="O945" s="462">
        <f>$P$1031</f>
        <v>171</v>
      </c>
      <c r="P945" s="767"/>
    </row>
    <row r="946" spans="2:17" ht="15.2" customHeight="1">
      <c r="B946" s="766" t="s">
        <v>855</v>
      </c>
      <c r="C946" s="766"/>
      <c r="D946" s="84"/>
      <c r="E946" s="87"/>
      <c r="F946" s="86"/>
      <c r="G946" s="470"/>
      <c r="H946" s="470">
        <f>SUM(H936:H945)</f>
        <v>25982</v>
      </c>
      <c r="I946" s="470"/>
      <c r="J946" s="470">
        <f>SUM(J936:J945)</f>
        <v>92040</v>
      </c>
      <c r="K946" s="470"/>
      <c r="L946" s="470">
        <f>SUM(L936:L945)</f>
        <v>35774</v>
      </c>
      <c r="M946" s="470"/>
      <c r="N946" s="470">
        <f>SUM(N936:N945)</f>
        <v>153796</v>
      </c>
      <c r="O946" s="457"/>
      <c r="P946" s="767"/>
      <c r="Q946" s="80" t="s">
        <v>3244</v>
      </c>
    </row>
    <row r="947" spans="2:17" ht="15.2" customHeight="1">
      <c r="B947" s="96">
        <f>P947</f>
        <v>164</v>
      </c>
      <c r="C947" s="770" t="s">
        <v>1068</v>
      </c>
      <c r="D947" s="770"/>
      <c r="E947" s="770"/>
      <c r="F947" s="771"/>
      <c r="G947" s="470"/>
      <c r="H947" s="470"/>
      <c r="I947" s="470"/>
      <c r="J947" s="470"/>
      <c r="K947" s="470"/>
      <c r="L947" s="470"/>
      <c r="M947" s="470"/>
      <c r="N947" s="470"/>
      <c r="O947" s="457"/>
      <c r="P947" s="767">
        <f>MAX($P$5:P946)+1</f>
        <v>164</v>
      </c>
      <c r="Q947" s="80" t="s">
        <v>3243</v>
      </c>
    </row>
    <row r="948" spans="2:17" ht="15.2" customHeight="1">
      <c r="B948" s="766" t="s">
        <v>1050</v>
      </c>
      <c r="C948" s="766"/>
      <c r="D948" s="84" t="s">
        <v>427</v>
      </c>
      <c r="E948" s="88">
        <v>11.832000000000001</v>
      </c>
      <c r="F948" s="86" t="s">
        <v>1193</v>
      </c>
      <c r="G948" s="470"/>
      <c r="H948" s="470">
        <f t="shared" ref="H948:H957" si="269">TRUNC(E948*G948,0)</f>
        <v>0</v>
      </c>
      <c r="I948" s="470"/>
      <c r="J948" s="470">
        <f t="shared" ref="J948:J957" si="270">TRUNC(I948*E948,0)</f>
        <v>0</v>
      </c>
      <c r="K948" s="470"/>
      <c r="L948" s="470">
        <f t="shared" ref="L948:L957" si="271">TRUNC(K948*E948,0)</f>
        <v>0</v>
      </c>
      <c r="M948" s="470">
        <f t="shared" ref="M948:M957" si="272">G948+I948+K948</f>
        <v>0</v>
      </c>
      <c r="N948" s="470">
        <f t="shared" ref="N948:N957" si="273">H948+J948+L948</f>
        <v>0</v>
      </c>
      <c r="O948" s="457"/>
      <c r="P948" s="767"/>
    </row>
    <row r="949" spans="2:17" ht="15.2" customHeight="1">
      <c r="B949" s="766" t="s">
        <v>455</v>
      </c>
      <c r="C949" s="766"/>
      <c r="D949" s="84"/>
      <c r="E949" s="87">
        <v>0.5</v>
      </c>
      <c r="F949" s="86" t="s">
        <v>1193</v>
      </c>
      <c r="G949" s="470">
        <f>사급자재!$M$86</f>
        <v>360</v>
      </c>
      <c r="H949" s="470">
        <f t="shared" si="269"/>
        <v>180</v>
      </c>
      <c r="I949" s="470"/>
      <c r="J949" s="470">
        <f t="shared" si="270"/>
        <v>0</v>
      </c>
      <c r="K949" s="470"/>
      <c r="L949" s="470">
        <f t="shared" si="271"/>
        <v>0</v>
      </c>
      <c r="M949" s="470">
        <f t="shared" si="272"/>
        <v>360</v>
      </c>
      <c r="N949" s="470">
        <f t="shared" si="273"/>
        <v>180</v>
      </c>
      <c r="O949" s="457"/>
      <c r="P949" s="767"/>
    </row>
    <row r="950" spans="2:17" ht="15.2" customHeight="1">
      <c r="B950" s="766" t="s">
        <v>1191</v>
      </c>
      <c r="C950" s="766"/>
      <c r="D950" s="84"/>
      <c r="E950" s="87">
        <v>0.08</v>
      </c>
      <c r="F950" s="86" t="s">
        <v>1163</v>
      </c>
      <c r="G950" s="470"/>
      <c r="H950" s="470">
        <f t="shared" si="269"/>
        <v>0</v>
      </c>
      <c r="I950" s="470">
        <f>SUMIF('노임(2015)'!$B$4:$B$87,B950,'노임(2015)'!$C$4:$C$87)+SUMIF('노임(2015)'!$E$4:$E$87,B950,'노임(2015)'!$F$4:$F$87)</f>
        <v>126728</v>
      </c>
      <c r="J950" s="470">
        <f t="shared" si="270"/>
        <v>10138</v>
      </c>
      <c r="K950" s="470"/>
      <c r="L950" s="470">
        <f t="shared" si="271"/>
        <v>0</v>
      </c>
      <c r="M950" s="470">
        <f t="shared" si="272"/>
        <v>126728</v>
      </c>
      <c r="N950" s="470">
        <f t="shared" si="273"/>
        <v>10138</v>
      </c>
      <c r="O950" s="457"/>
      <c r="P950" s="767"/>
    </row>
    <row r="951" spans="2:17" ht="15.2" customHeight="1">
      <c r="B951" s="766" t="s">
        <v>1162</v>
      </c>
      <c r="C951" s="766"/>
      <c r="D951" s="84"/>
      <c r="E951" s="87">
        <v>0.02</v>
      </c>
      <c r="F951" s="86" t="s">
        <v>1163</v>
      </c>
      <c r="G951" s="470"/>
      <c r="H951" s="470">
        <f t="shared" si="269"/>
        <v>0</v>
      </c>
      <c r="I951" s="470">
        <f>SUMIF('노임(2015)'!$B$4:$B$87,B951,'노임(2015)'!$C$4:$C$87)+SUMIF('노임(2015)'!$E$4:$E$87,B951,'노임(2015)'!$F$4:$F$87)</f>
        <v>89566</v>
      </c>
      <c r="J951" s="470">
        <f t="shared" si="270"/>
        <v>1791</v>
      </c>
      <c r="K951" s="470"/>
      <c r="L951" s="470">
        <f t="shared" si="271"/>
        <v>0</v>
      </c>
      <c r="M951" s="470">
        <f t="shared" si="272"/>
        <v>89566</v>
      </c>
      <c r="N951" s="470">
        <f t="shared" si="273"/>
        <v>1791</v>
      </c>
      <c r="O951" s="457"/>
      <c r="P951" s="767"/>
    </row>
    <row r="952" spans="2:17" ht="15.2" customHeight="1">
      <c r="B952" s="766" t="s">
        <v>2450</v>
      </c>
      <c r="C952" s="766"/>
      <c r="D952" s="84" t="s">
        <v>800</v>
      </c>
      <c r="E952" s="87">
        <v>0.16</v>
      </c>
      <c r="F952" s="86" t="s">
        <v>453</v>
      </c>
      <c r="G952" s="470">
        <f>중기사용료!$M$1214</f>
        <v>15508</v>
      </c>
      <c r="H952" s="470">
        <f t="shared" si="269"/>
        <v>2481</v>
      </c>
      <c r="I952" s="470">
        <f>중기사용료!$M$1208</f>
        <v>27168</v>
      </c>
      <c r="J952" s="470">
        <f t="shared" si="270"/>
        <v>4346</v>
      </c>
      <c r="K952" s="470">
        <f>중기사용료!$M$1202</f>
        <v>40728</v>
      </c>
      <c r="L952" s="470">
        <f t="shared" si="271"/>
        <v>6516</v>
      </c>
      <c r="M952" s="470">
        <f t="shared" si="272"/>
        <v>83404</v>
      </c>
      <c r="N952" s="470">
        <f t="shared" si="273"/>
        <v>13343</v>
      </c>
      <c r="O952" s="460">
        <f>중기사용료!$A$1199</f>
        <v>64</v>
      </c>
      <c r="P952" s="767"/>
    </row>
    <row r="953" spans="2:17" ht="15.2" customHeight="1">
      <c r="B953" s="766" t="s">
        <v>1394</v>
      </c>
      <c r="C953" s="766"/>
      <c r="D953" s="84" t="s">
        <v>2451</v>
      </c>
      <c r="E953" s="92">
        <v>0.16</v>
      </c>
      <c r="F953" s="86" t="s">
        <v>453</v>
      </c>
      <c r="G953" s="470">
        <f>중기사용료!$M$606</f>
        <v>12234</v>
      </c>
      <c r="H953" s="470">
        <f t="shared" si="269"/>
        <v>1957</v>
      </c>
      <c r="I953" s="470">
        <f>중기사용료!$M$600</f>
        <v>27168</v>
      </c>
      <c r="J953" s="470">
        <f t="shared" si="270"/>
        <v>4346</v>
      </c>
      <c r="K953" s="470">
        <f>중기사용료!$M$594</f>
        <v>10966</v>
      </c>
      <c r="L953" s="470">
        <f t="shared" si="271"/>
        <v>1754</v>
      </c>
      <c r="M953" s="470">
        <f t="shared" si="272"/>
        <v>50368</v>
      </c>
      <c r="N953" s="470">
        <f t="shared" si="273"/>
        <v>8057</v>
      </c>
      <c r="O953" s="460">
        <f>중기사용료!$A$591</f>
        <v>32</v>
      </c>
      <c r="P953" s="767"/>
    </row>
    <row r="954" spans="2:17" ht="15.2" customHeight="1">
      <c r="B954" s="766" t="s">
        <v>2225</v>
      </c>
      <c r="C954" s="766"/>
      <c r="D954" s="84" t="s">
        <v>2435</v>
      </c>
      <c r="E954" s="87">
        <v>0.16</v>
      </c>
      <c r="F954" s="86" t="s">
        <v>453</v>
      </c>
      <c r="G954" s="470">
        <f>$H$1390</f>
        <v>10970</v>
      </c>
      <c r="H954" s="470">
        <f t="shared" si="269"/>
        <v>1755</v>
      </c>
      <c r="I954" s="470">
        <f>$J$1390</f>
        <v>27168</v>
      </c>
      <c r="J954" s="470">
        <f t="shared" si="270"/>
        <v>4346</v>
      </c>
      <c r="K954" s="470">
        <f>$L$1390</f>
        <v>15334</v>
      </c>
      <c r="L954" s="470">
        <f t="shared" si="271"/>
        <v>2453</v>
      </c>
      <c r="M954" s="470">
        <f t="shared" si="272"/>
        <v>53472</v>
      </c>
      <c r="N954" s="470">
        <f t="shared" si="273"/>
        <v>8554</v>
      </c>
      <c r="O954" s="462">
        <f>$P$1388</f>
        <v>242</v>
      </c>
      <c r="P954" s="767"/>
    </row>
    <row r="955" spans="2:17" ht="15.2" customHeight="1">
      <c r="B955" s="766" t="s">
        <v>2430</v>
      </c>
      <c r="C955" s="766"/>
      <c r="D955" s="84" t="s">
        <v>2431</v>
      </c>
      <c r="E955" s="87">
        <v>0.16</v>
      </c>
      <c r="F955" s="86" t="s">
        <v>453</v>
      </c>
      <c r="G955" s="470">
        <f>중기사용료!$M$625</f>
        <v>6577</v>
      </c>
      <c r="H955" s="470">
        <f t="shared" si="269"/>
        <v>1052</v>
      </c>
      <c r="I955" s="470">
        <f>중기사용료!$M$619</f>
        <v>27168</v>
      </c>
      <c r="J955" s="470">
        <f t="shared" si="270"/>
        <v>4346</v>
      </c>
      <c r="K955" s="470">
        <f>중기사용료!$M$613</f>
        <v>7405</v>
      </c>
      <c r="L955" s="470">
        <f t="shared" si="271"/>
        <v>1184</v>
      </c>
      <c r="M955" s="470">
        <f t="shared" si="272"/>
        <v>41150</v>
      </c>
      <c r="N955" s="470">
        <f t="shared" si="273"/>
        <v>6582</v>
      </c>
      <c r="O955" s="460">
        <f>중기사용료!$A$610</f>
        <v>33</v>
      </c>
      <c r="P955" s="767"/>
    </row>
    <row r="956" spans="2:17" ht="15.2" customHeight="1">
      <c r="B956" s="766" t="s">
        <v>1266</v>
      </c>
      <c r="C956" s="766"/>
      <c r="D956" s="84" t="s">
        <v>1037</v>
      </c>
      <c r="E956" s="87">
        <v>0.16</v>
      </c>
      <c r="F956" s="86" t="s">
        <v>453</v>
      </c>
      <c r="G956" s="470">
        <f>중기사용료!$M$1613</f>
        <v>18696</v>
      </c>
      <c r="H956" s="470">
        <f t="shared" si="269"/>
        <v>2991</v>
      </c>
      <c r="I956" s="470">
        <f>중기사용료!$M$1607</f>
        <v>24483</v>
      </c>
      <c r="J956" s="470">
        <f t="shared" si="270"/>
        <v>3917</v>
      </c>
      <c r="K956" s="470">
        <f>중기사용료!$M$1601</f>
        <v>15005</v>
      </c>
      <c r="L956" s="470">
        <f t="shared" si="271"/>
        <v>2400</v>
      </c>
      <c r="M956" s="470">
        <f t="shared" si="272"/>
        <v>58184</v>
      </c>
      <c r="N956" s="470">
        <f t="shared" si="273"/>
        <v>9308</v>
      </c>
      <c r="O956" s="460">
        <f>중기사용료!$A$1598</f>
        <v>85</v>
      </c>
      <c r="P956" s="767"/>
    </row>
    <row r="957" spans="2:17" ht="15.2" customHeight="1">
      <c r="B957" s="766" t="s">
        <v>2224</v>
      </c>
      <c r="C957" s="766"/>
      <c r="D957" s="84"/>
      <c r="E957" s="85">
        <v>1</v>
      </c>
      <c r="F957" s="86" t="s">
        <v>933</v>
      </c>
      <c r="G957" s="470">
        <f>$H$1034</f>
        <v>210</v>
      </c>
      <c r="H957" s="470">
        <f t="shared" si="269"/>
        <v>210</v>
      </c>
      <c r="I957" s="470">
        <f>$J$1034</f>
        <v>8956</v>
      </c>
      <c r="J957" s="470">
        <f t="shared" si="270"/>
        <v>8956</v>
      </c>
      <c r="K957" s="470">
        <f>$L$1034</f>
        <v>0</v>
      </c>
      <c r="L957" s="470">
        <f t="shared" si="271"/>
        <v>0</v>
      </c>
      <c r="M957" s="470">
        <f t="shared" si="272"/>
        <v>9166</v>
      </c>
      <c r="N957" s="470">
        <f t="shared" si="273"/>
        <v>9166</v>
      </c>
      <c r="O957" s="462">
        <f>$P$1031</f>
        <v>171</v>
      </c>
      <c r="P957" s="767"/>
    </row>
    <row r="958" spans="2:17" ht="15.2" customHeight="1">
      <c r="B958" s="766" t="s">
        <v>855</v>
      </c>
      <c r="C958" s="766"/>
      <c r="D958" s="84"/>
      <c r="E958" s="87"/>
      <c r="F958" s="86"/>
      <c r="G958" s="470"/>
      <c r="H958" s="470">
        <f>SUM(H948:H957)</f>
        <v>10626</v>
      </c>
      <c r="I958" s="470"/>
      <c r="J958" s="470">
        <f>SUM(J948:J957)</f>
        <v>42186</v>
      </c>
      <c r="K958" s="470"/>
      <c r="L958" s="470">
        <f>SUM(L948:L957)</f>
        <v>14307</v>
      </c>
      <c r="M958" s="470"/>
      <c r="N958" s="470">
        <f>SUM(N948:N957)</f>
        <v>67119</v>
      </c>
      <c r="O958" s="457"/>
      <c r="P958" s="767"/>
      <c r="Q958" s="80" t="s">
        <v>3244</v>
      </c>
    </row>
    <row r="959" spans="2:17" ht="15.2" customHeight="1">
      <c r="B959" s="96">
        <f>P959</f>
        <v>165</v>
      </c>
      <c r="C959" s="770" t="s">
        <v>1069</v>
      </c>
      <c r="D959" s="770"/>
      <c r="E959" s="770"/>
      <c r="F959" s="771"/>
      <c r="G959" s="470"/>
      <c r="H959" s="470"/>
      <c r="I959" s="470"/>
      <c r="J959" s="470"/>
      <c r="K959" s="470"/>
      <c r="L959" s="470"/>
      <c r="M959" s="470"/>
      <c r="N959" s="470"/>
      <c r="O959" s="457"/>
      <c r="P959" s="767">
        <f>MAX($P$5:P958)+1</f>
        <v>165</v>
      </c>
      <c r="Q959" s="80" t="s">
        <v>3243</v>
      </c>
    </row>
    <row r="960" spans="2:17" ht="15.2" customHeight="1">
      <c r="B960" s="766" t="s">
        <v>1050</v>
      </c>
      <c r="C960" s="766"/>
      <c r="D960" s="84" t="s">
        <v>427</v>
      </c>
      <c r="E960" s="88">
        <v>11.832000000000001</v>
      </c>
      <c r="F960" s="86" t="s">
        <v>1193</v>
      </c>
      <c r="G960" s="470"/>
      <c r="H960" s="470">
        <f t="shared" ref="H960:H969" si="274">TRUNC(E960*G960,0)</f>
        <v>0</v>
      </c>
      <c r="I960" s="470"/>
      <c r="J960" s="470">
        <f t="shared" ref="J960:J969" si="275">TRUNC(I960*E960,0)</f>
        <v>0</v>
      </c>
      <c r="K960" s="470"/>
      <c r="L960" s="470">
        <f t="shared" ref="L960:L969" si="276">TRUNC(K960*E960,0)</f>
        <v>0</v>
      </c>
      <c r="M960" s="470">
        <f t="shared" ref="M960:M969" si="277">G960+I960+K960</f>
        <v>0</v>
      </c>
      <c r="N960" s="470">
        <f t="shared" ref="N960:N969" si="278">H960+J960+L960</f>
        <v>0</v>
      </c>
      <c r="O960" s="457"/>
      <c r="P960" s="767"/>
    </row>
    <row r="961" spans="2:17" ht="15.2" customHeight="1">
      <c r="B961" s="766" t="s">
        <v>455</v>
      </c>
      <c r="C961" s="766"/>
      <c r="D961" s="84"/>
      <c r="E961" s="87">
        <v>0.5</v>
      </c>
      <c r="F961" s="86" t="s">
        <v>1193</v>
      </c>
      <c r="G961" s="470">
        <f>사급자재!$M$86</f>
        <v>360</v>
      </c>
      <c r="H961" s="470">
        <f t="shared" si="274"/>
        <v>180</v>
      </c>
      <c r="I961" s="470"/>
      <c r="J961" s="470">
        <f t="shared" si="275"/>
        <v>0</v>
      </c>
      <c r="K961" s="470"/>
      <c r="L961" s="470">
        <f t="shared" si="276"/>
        <v>0</v>
      </c>
      <c r="M961" s="470">
        <f t="shared" si="277"/>
        <v>360</v>
      </c>
      <c r="N961" s="470">
        <f t="shared" si="278"/>
        <v>180</v>
      </c>
      <c r="O961" s="457"/>
      <c r="P961" s="767"/>
    </row>
    <row r="962" spans="2:17" ht="15.2" customHeight="1">
      <c r="B962" s="766" t="s">
        <v>1191</v>
      </c>
      <c r="C962" s="766"/>
      <c r="D962" s="84"/>
      <c r="E962" s="89">
        <v>0.2</v>
      </c>
      <c r="F962" s="86" t="s">
        <v>1163</v>
      </c>
      <c r="G962" s="470"/>
      <c r="H962" s="470">
        <f t="shared" si="274"/>
        <v>0</v>
      </c>
      <c r="I962" s="470">
        <f>SUMIF('노임(2015)'!$B$4:$B$87,B962,'노임(2015)'!$C$4:$C$87)+SUMIF('노임(2015)'!$E$4:$E$87,B962,'노임(2015)'!$F$4:$F$87)</f>
        <v>126728</v>
      </c>
      <c r="J962" s="470">
        <f t="shared" si="275"/>
        <v>25345</v>
      </c>
      <c r="K962" s="470"/>
      <c r="L962" s="470">
        <f t="shared" si="276"/>
        <v>0</v>
      </c>
      <c r="M962" s="470">
        <f t="shared" si="277"/>
        <v>126728</v>
      </c>
      <c r="N962" s="470">
        <f t="shared" si="278"/>
        <v>25345</v>
      </c>
      <c r="O962" s="457"/>
      <c r="P962" s="767"/>
    </row>
    <row r="963" spans="2:17" ht="15.2" customHeight="1">
      <c r="B963" s="766" t="s">
        <v>1162</v>
      </c>
      <c r="C963" s="766"/>
      <c r="D963" s="84"/>
      <c r="E963" s="89">
        <v>0.05</v>
      </c>
      <c r="F963" s="86" t="s">
        <v>1163</v>
      </c>
      <c r="G963" s="470"/>
      <c r="H963" s="470">
        <f t="shared" si="274"/>
        <v>0</v>
      </c>
      <c r="I963" s="470">
        <f>SUMIF('노임(2015)'!$B$4:$B$87,B963,'노임(2015)'!$C$4:$C$87)+SUMIF('노임(2015)'!$E$4:$E$87,B963,'노임(2015)'!$F$4:$F$87)</f>
        <v>89566</v>
      </c>
      <c r="J963" s="470">
        <f t="shared" si="275"/>
        <v>4478</v>
      </c>
      <c r="K963" s="470"/>
      <c r="L963" s="470">
        <f t="shared" si="276"/>
        <v>0</v>
      </c>
      <c r="M963" s="470">
        <f t="shared" si="277"/>
        <v>89566</v>
      </c>
      <c r="N963" s="470">
        <f t="shared" si="278"/>
        <v>4478</v>
      </c>
      <c r="O963" s="457"/>
      <c r="P963" s="767"/>
    </row>
    <row r="964" spans="2:17" ht="15.2" customHeight="1">
      <c r="B964" s="766" t="s">
        <v>2450</v>
      </c>
      <c r="C964" s="766"/>
      <c r="D964" s="84" t="s">
        <v>800</v>
      </c>
      <c r="E964" s="89">
        <v>0.4</v>
      </c>
      <c r="F964" s="86" t="s">
        <v>453</v>
      </c>
      <c r="G964" s="470">
        <f>중기사용료!$M$1214</f>
        <v>15508</v>
      </c>
      <c r="H964" s="470">
        <f t="shared" si="274"/>
        <v>6203</v>
      </c>
      <c r="I964" s="470">
        <f>중기사용료!$M$1208</f>
        <v>27168</v>
      </c>
      <c r="J964" s="470">
        <f t="shared" si="275"/>
        <v>10867</v>
      </c>
      <c r="K964" s="470">
        <f>중기사용료!$M$1202</f>
        <v>40728</v>
      </c>
      <c r="L964" s="470">
        <f t="shared" si="276"/>
        <v>16291</v>
      </c>
      <c r="M964" s="470">
        <f t="shared" si="277"/>
        <v>83404</v>
      </c>
      <c r="N964" s="470">
        <f t="shared" si="278"/>
        <v>33361</v>
      </c>
      <c r="O964" s="460">
        <f>중기사용료!$A$1199</f>
        <v>64</v>
      </c>
      <c r="P964" s="767"/>
    </row>
    <row r="965" spans="2:17" ht="15.2" customHeight="1">
      <c r="B965" s="766" t="s">
        <v>1394</v>
      </c>
      <c r="C965" s="766"/>
      <c r="D965" s="84" t="s">
        <v>2451</v>
      </c>
      <c r="E965" s="89">
        <v>0.4</v>
      </c>
      <c r="F965" s="86" t="s">
        <v>453</v>
      </c>
      <c r="G965" s="470">
        <f>중기사용료!$M$606</f>
        <v>12234</v>
      </c>
      <c r="H965" s="470">
        <f t="shared" si="274"/>
        <v>4893</v>
      </c>
      <c r="I965" s="470">
        <f>중기사용료!$M$600</f>
        <v>27168</v>
      </c>
      <c r="J965" s="470">
        <f t="shared" si="275"/>
        <v>10867</v>
      </c>
      <c r="K965" s="470">
        <f>중기사용료!$M$594</f>
        <v>10966</v>
      </c>
      <c r="L965" s="470">
        <f t="shared" si="276"/>
        <v>4386</v>
      </c>
      <c r="M965" s="470">
        <f t="shared" si="277"/>
        <v>50368</v>
      </c>
      <c r="N965" s="470">
        <f t="shared" si="278"/>
        <v>20146</v>
      </c>
      <c r="O965" s="460">
        <f>중기사용료!$A$591</f>
        <v>32</v>
      </c>
      <c r="P965" s="767"/>
    </row>
    <row r="966" spans="2:17" ht="15.2" customHeight="1">
      <c r="B966" s="766" t="s">
        <v>2225</v>
      </c>
      <c r="C966" s="766"/>
      <c r="D966" s="84" t="s">
        <v>2435</v>
      </c>
      <c r="E966" s="89">
        <v>0.4</v>
      </c>
      <c r="F966" s="86" t="s">
        <v>453</v>
      </c>
      <c r="G966" s="470">
        <f>$H$1390</f>
        <v>10970</v>
      </c>
      <c r="H966" s="470">
        <f t="shared" si="274"/>
        <v>4388</v>
      </c>
      <c r="I966" s="470">
        <f>$J$1390</f>
        <v>27168</v>
      </c>
      <c r="J966" s="470">
        <f t="shared" si="275"/>
        <v>10867</v>
      </c>
      <c r="K966" s="470">
        <f>$L$1390</f>
        <v>15334</v>
      </c>
      <c r="L966" s="470">
        <f t="shared" si="276"/>
        <v>6133</v>
      </c>
      <c r="M966" s="470">
        <f t="shared" si="277"/>
        <v>53472</v>
      </c>
      <c r="N966" s="470">
        <f t="shared" si="278"/>
        <v>21388</v>
      </c>
      <c r="O966" s="462">
        <f>$P$1388</f>
        <v>242</v>
      </c>
      <c r="P966" s="767"/>
    </row>
    <row r="967" spans="2:17" ht="15.2" customHeight="1">
      <c r="B967" s="766" t="s">
        <v>2430</v>
      </c>
      <c r="C967" s="766"/>
      <c r="D967" s="84" t="s">
        <v>2431</v>
      </c>
      <c r="E967" s="89">
        <v>0.4</v>
      </c>
      <c r="F967" s="86" t="s">
        <v>453</v>
      </c>
      <c r="G967" s="470">
        <f>중기사용료!$M$625</f>
        <v>6577</v>
      </c>
      <c r="H967" s="470">
        <f t="shared" si="274"/>
        <v>2630</v>
      </c>
      <c r="I967" s="470">
        <f>중기사용료!$M$619</f>
        <v>27168</v>
      </c>
      <c r="J967" s="470">
        <f t="shared" si="275"/>
        <v>10867</v>
      </c>
      <c r="K967" s="470">
        <f>중기사용료!$M$613</f>
        <v>7405</v>
      </c>
      <c r="L967" s="470">
        <f t="shared" si="276"/>
        <v>2962</v>
      </c>
      <c r="M967" s="470">
        <f t="shared" si="277"/>
        <v>41150</v>
      </c>
      <c r="N967" s="470">
        <f t="shared" si="278"/>
        <v>16459</v>
      </c>
      <c r="O967" s="460">
        <f>중기사용료!$A$610</f>
        <v>33</v>
      </c>
      <c r="P967" s="767"/>
    </row>
    <row r="968" spans="2:17" ht="15.2" customHeight="1">
      <c r="B968" s="766" t="s">
        <v>1266</v>
      </c>
      <c r="C968" s="766"/>
      <c r="D968" s="84" t="s">
        <v>1037</v>
      </c>
      <c r="E968" s="89">
        <v>0.4</v>
      </c>
      <c r="F968" s="86" t="s">
        <v>453</v>
      </c>
      <c r="G968" s="470">
        <f>중기사용료!$M$1613</f>
        <v>18696</v>
      </c>
      <c r="H968" s="470">
        <f t="shared" si="274"/>
        <v>7478</v>
      </c>
      <c r="I968" s="470">
        <f>중기사용료!$M$1607</f>
        <v>24483</v>
      </c>
      <c r="J968" s="470">
        <f t="shared" si="275"/>
        <v>9793</v>
      </c>
      <c r="K968" s="470">
        <f>중기사용료!$M$1601</f>
        <v>15005</v>
      </c>
      <c r="L968" s="470">
        <f t="shared" si="276"/>
        <v>6002</v>
      </c>
      <c r="M968" s="470">
        <f t="shared" si="277"/>
        <v>58184</v>
      </c>
      <c r="N968" s="470">
        <f t="shared" si="278"/>
        <v>23273</v>
      </c>
      <c r="O968" s="460">
        <f>중기사용료!$A$1598</f>
        <v>85</v>
      </c>
      <c r="P968" s="767"/>
    </row>
    <row r="969" spans="2:17" ht="15.2" customHeight="1">
      <c r="B969" s="766" t="s">
        <v>2224</v>
      </c>
      <c r="C969" s="766"/>
      <c r="D969" s="84"/>
      <c r="E969" s="85">
        <v>1</v>
      </c>
      <c r="F969" s="86" t="s">
        <v>933</v>
      </c>
      <c r="G969" s="470">
        <f>$H$1034</f>
        <v>210</v>
      </c>
      <c r="H969" s="470">
        <f t="shared" si="274"/>
        <v>210</v>
      </c>
      <c r="I969" s="470">
        <f>$J$1034</f>
        <v>8956</v>
      </c>
      <c r="J969" s="470">
        <f t="shared" si="275"/>
        <v>8956</v>
      </c>
      <c r="K969" s="470">
        <f>$L$1034</f>
        <v>0</v>
      </c>
      <c r="L969" s="470">
        <f t="shared" si="276"/>
        <v>0</v>
      </c>
      <c r="M969" s="470">
        <f t="shared" si="277"/>
        <v>9166</v>
      </c>
      <c r="N969" s="470">
        <f t="shared" si="278"/>
        <v>9166</v>
      </c>
      <c r="O969" s="462">
        <f>$P$1031</f>
        <v>171</v>
      </c>
      <c r="P969" s="767"/>
    </row>
    <row r="970" spans="2:17" ht="15.2" customHeight="1">
      <c r="B970" s="766" t="s">
        <v>855</v>
      </c>
      <c r="C970" s="766"/>
      <c r="D970" s="84"/>
      <c r="E970" s="87"/>
      <c r="F970" s="86"/>
      <c r="G970" s="470"/>
      <c r="H970" s="470">
        <f>SUM(H960:H969)</f>
        <v>25982</v>
      </c>
      <c r="I970" s="470"/>
      <c r="J970" s="470">
        <f>SUM(J960:J969)</f>
        <v>92040</v>
      </c>
      <c r="K970" s="470"/>
      <c r="L970" s="470">
        <f>SUM(L960:L969)</f>
        <v>35774</v>
      </c>
      <c r="M970" s="470"/>
      <c r="N970" s="470">
        <f>SUM(N960:N969)</f>
        <v>153796</v>
      </c>
      <c r="O970" s="457"/>
      <c r="P970" s="767"/>
      <c r="Q970" s="80" t="s">
        <v>3244</v>
      </c>
    </row>
    <row r="971" spans="2:17" ht="15.2" customHeight="1">
      <c r="B971" s="96">
        <f>P971</f>
        <v>166</v>
      </c>
      <c r="C971" s="770" t="s">
        <v>1070</v>
      </c>
      <c r="D971" s="770"/>
      <c r="E971" s="770"/>
      <c r="F971" s="771"/>
      <c r="G971" s="470"/>
      <c r="H971" s="470"/>
      <c r="I971" s="470"/>
      <c r="J971" s="470"/>
      <c r="K971" s="470"/>
      <c r="L971" s="470"/>
      <c r="M971" s="470"/>
      <c r="N971" s="470"/>
      <c r="O971" s="457"/>
      <c r="P971" s="767">
        <f>MAX($P$5:P970)+1</f>
        <v>166</v>
      </c>
      <c r="Q971" s="80" t="s">
        <v>3243</v>
      </c>
    </row>
    <row r="972" spans="2:17" ht="15.2" customHeight="1">
      <c r="B972" s="766" t="s">
        <v>1050</v>
      </c>
      <c r="C972" s="766"/>
      <c r="D972" s="84" t="s">
        <v>427</v>
      </c>
      <c r="E972" s="88">
        <v>11.832000000000001</v>
      </c>
      <c r="F972" s="86" t="s">
        <v>1193</v>
      </c>
      <c r="G972" s="470"/>
      <c r="H972" s="470">
        <f t="shared" ref="H972:H981" si="279">TRUNC(E972*G972,0)</f>
        <v>0</v>
      </c>
      <c r="I972" s="470"/>
      <c r="J972" s="470">
        <f t="shared" ref="J972:J981" si="280">TRUNC(I972*E972,0)</f>
        <v>0</v>
      </c>
      <c r="K972" s="470"/>
      <c r="L972" s="470">
        <f t="shared" ref="L972:L981" si="281">TRUNC(K972*E972,0)</f>
        <v>0</v>
      </c>
      <c r="M972" s="470">
        <f t="shared" ref="M972:M981" si="282">G972+I972+K972</f>
        <v>0</v>
      </c>
      <c r="N972" s="470">
        <f t="shared" ref="N972:N981" si="283">H972+J972+L972</f>
        <v>0</v>
      </c>
      <c r="O972" s="457"/>
      <c r="P972" s="767"/>
    </row>
    <row r="973" spans="2:17" ht="15.2" customHeight="1">
      <c r="B973" s="766" t="s">
        <v>455</v>
      </c>
      <c r="C973" s="766"/>
      <c r="D973" s="84"/>
      <c r="E973" s="87">
        <v>0.5</v>
      </c>
      <c r="F973" s="86" t="s">
        <v>1193</v>
      </c>
      <c r="G973" s="470">
        <f>사급자재!$M$86</f>
        <v>360</v>
      </c>
      <c r="H973" s="470">
        <f t="shared" si="279"/>
        <v>180</v>
      </c>
      <c r="I973" s="470"/>
      <c r="J973" s="470">
        <f t="shared" si="280"/>
        <v>0</v>
      </c>
      <c r="K973" s="470"/>
      <c r="L973" s="470">
        <f t="shared" si="281"/>
        <v>0</v>
      </c>
      <c r="M973" s="470">
        <f t="shared" si="282"/>
        <v>360</v>
      </c>
      <c r="N973" s="470">
        <f t="shared" si="283"/>
        <v>180</v>
      </c>
      <c r="O973" s="457"/>
      <c r="P973" s="767"/>
    </row>
    <row r="974" spans="2:17" ht="15.2" customHeight="1">
      <c r="B974" s="766" t="s">
        <v>1191</v>
      </c>
      <c r="C974" s="766"/>
      <c r="D974" s="84"/>
      <c r="E974" s="87">
        <v>0.08</v>
      </c>
      <c r="F974" s="86" t="s">
        <v>1163</v>
      </c>
      <c r="G974" s="470"/>
      <c r="H974" s="470">
        <f t="shared" si="279"/>
        <v>0</v>
      </c>
      <c r="I974" s="470">
        <f>SUMIF('노임(2015)'!$B$4:$B$87,B974,'노임(2015)'!$C$4:$C$87)+SUMIF('노임(2015)'!$E$4:$E$87,B974,'노임(2015)'!$F$4:$F$87)</f>
        <v>126728</v>
      </c>
      <c r="J974" s="470">
        <f t="shared" si="280"/>
        <v>10138</v>
      </c>
      <c r="K974" s="470"/>
      <c r="L974" s="470">
        <f t="shared" si="281"/>
        <v>0</v>
      </c>
      <c r="M974" s="470">
        <f t="shared" si="282"/>
        <v>126728</v>
      </c>
      <c r="N974" s="470">
        <f t="shared" si="283"/>
        <v>10138</v>
      </c>
      <c r="O974" s="457"/>
      <c r="P974" s="767"/>
    </row>
    <row r="975" spans="2:17" ht="15.2" customHeight="1">
      <c r="B975" s="766" t="s">
        <v>1162</v>
      </c>
      <c r="C975" s="766"/>
      <c r="D975" s="84"/>
      <c r="E975" s="87">
        <v>0.02</v>
      </c>
      <c r="F975" s="86" t="s">
        <v>1163</v>
      </c>
      <c r="G975" s="470"/>
      <c r="H975" s="470">
        <f t="shared" si="279"/>
        <v>0</v>
      </c>
      <c r="I975" s="470">
        <f>SUMIF('노임(2015)'!$B$4:$B$87,B975,'노임(2015)'!$C$4:$C$87)+SUMIF('노임(2015)'!$E$4:$E$87,B975,'노임(2015)'!$F$4:$F$87)</f>
        <v>89566</v>
      </c>
      <c r="J975" s="470">
        <f t="shared" si="280"/>
        <v>1791</v>
      </c>
      <c r="K975" s="470"/>
      <c r="L975" s="470">
        <f t="shared" si="281"/>
        <v>0</v>
      </c>
      <c r="M975" s="470">
        <f t="shared" si="282"/>
        <v>89566</v>
      </c>
      <c r="N975" s="470">
        <f t="shared" si="283"/>
        <v>1791</v>
      </c>
      <c r="O975" s="457"/>
      <c r="P975" s="767"/>
    </row>
    <row r="976" spans="2:17" ht="15.2" customHeight="1">
      <c r="B976" s="766" t="s">
        <v>2450</v>
      </c>
      <c r="C976" s="766"/>
      <c r="D976" s="84" t="s">
        <v>800</v>
      </c>
      <c r="E976" s="87">
        <v>0.16</v>
      </c>
      <c r="F976" s="86" t="s">
        <v>453</v>
      </c>
      <c r="G976" s="470">
        <f>중기사용료!$M$1214</f>
        <v>15508</v>
      </c>
      <c r="H976" s="470">
        <f t="shared" si="279"/>
        <v>2481</v>
      </c>
      <c r="I976" s="470">
        <f>중기사용료!$M$1208</f>
        <v>27168</v>
      </c>
      <c r="J976" s="470">
        <f t="shared" si="280"/>
        <v>4346</v>
      </c>
      <c r="K976" s="470">
        <f>중기사용료!$M$1202</f>
        <v>40728</v>
      </c>
      <c r="L976" s="470">
        <f t="shared" si="281"/>
        <v>6516</v>
      </c>
      <c r="M976" s="470">
        <f t="shared" si="282"/>
        <v>83404</v>
      </c>
      <c r="N976" s="470">
        <f t="shared" si="283"/>
        <v>13343</v>
      </c>
      <c r="O976" s="460">
        <f>중기사용료!$A$1199</f>
        <v>64</v>
      </c>
      <c r="P976" s="767"/>
    </row>
    <row r="977" spans="2:17" ht="15.2" customHeight="1">
      <c r="B977" s="766" t="s">
        <v>1394</v>
      </c>
      <c r="C977" s="766"/>
      <c r="D977" s="84" t="s">
        <v>2451</v>
      </c>
      <c r="E977" s="650">
        <v>0.16</v>
      </c>
      <c r="F977" s="86" t="s">
        <v>453</v>
      </c>
      <c r="G977" s="470">
        <f>중기사용료!$M$606</f>
        <v>12234</v>
      </c>
      <c r="H977" s="470">
        <f t="shared" si="279"/>
        <v>1957</v>
      </c>
      <c r="I977" s="470">
        <f>중기사용료!$M$600</f>
        <v>27168</v>
      </c>
      <c r="J977" s="470">
        <f t="shared" si="280"/>
        <v>4346</v>
      </c>
      <c r="K977" s="470">
        <f>중기사용료!$M$594</f>
        <v>10966</v>
      </c>
      <c r="L977" s="470">
        <f t="shared" si="281"/>
        <v>1754</v>
      </c>
      <c r="M977" s="470">
        <f t="shared" si="282"/>
        <v>50368</v>
      </c>
      <c r="N977" s="470">
        <f t="shared" si="283"/>
        <v>8057</v>
      </c>
      <c r="O977" s="460">
        <f>중기사용료!$A$591</f>
        <v>32</v>
      </c>
      <c r="P977" s="767"/>
    </row>
    <row r="978" spans="2:17" ht="15.2" customHeight="1">
      <c r="B978" s="766" t="s">
        <v>2225</v>
      </c>
      <c r="C978" s="766"/>
      <c r="D978" s="84" t="s">
        <v>2435</v>
      </c>
      <c r="E978" s="87">
        <v>0.16</v>
      </c>
      <c r="F978" s="86" t="s">
        <v>453</v>
      </c>
      <c r="G978" s="470">
        <f>$H$1390</f>
        <v>10970</v>
      </c>
      <c r="H978" s="470">
        <f t="shared" si="279"/>
        <v>1755</v>
      </c>
      <c r="I978" s="470">
        <f>$J$1390</f>
        <v>27168</v>
      </c>
      <c r="J978" s="470">
        <f t="shared" si="280"/>
        <v>4346</v>
      </c>
      <c r="K978" s="470">
        <f>$L$1390</f>
        <v>15334</v>
      </c>
      <c r="L978" s="470">
        <f t="shared" si="281"/>
        <v>2453</v>
      </c>
      <c r="M978" s="470">
        <f t="shared" si="282"/>
        <v>53472</v>
      </c>
      <c r="N978" s="470">
        <f t="shared" si="283"/>
        <v>8554</v>
      </c>
      <c r="O978" s="462">
        <f>$P$1388</f>
        <v>242</v>
      </c>
      <c r="P978" s="767"/>
    </row>
    <row r="979" spans="2:17" ht="15.2" customHeight="1">
      <c r="B979" s="766" t="s">
        <v>2430</v>
      </c>
      <c r="C979" s="766"/>
      <c r="D979" s="84" t="s">
        <v>2431</v>
      </c>
      <c r="E979" s="87">
        <v>0.16</v>
      </c>
      <c r="F979" s="86" t="s">
        <v>453</v>
      </c>
      <c r="G979" s="470">
        <f>중기사용료!$M$625</f>
        <v>6577</v>
      </c>
      <c r="H979" s="470">
        <f t="shared" si="279"/>
        <v>1052</v>
      </c>
      <c r="I979" s="470">
        <f>중기사용료!$M$619</f>
        <v>27168</v>
      </c>
      <c r="J979" s="470">
        <f t="shared" si="280"/>
        <v>4346</v>
      </c>
      <c r="K979" s="470">
        <f>중기사용료!$M$613</f>
        <v>7405</v>
      </c>
      <c r="L979" s="470">
        <f t="shared" si="281"/>
        <v>1184</v>
      </c>
      <c r="M979" s="470">
        <f t="shared" si="282"/>
        <v>41150</v>
      </c>
      <c r="N979" s="470">
        <f t="shared" si="283"/>
        <v>6582</v>
      </c>
      <c r="O979" s="460">
        <f>중기사용료!$A$610</f>
        <v>33</v>
      </c>
      <c r="P979" s="767"/>
    </row>
    <row r="980" spans="2:17" ht="15.2" customHeight="1">
      <c r="B980" s="766" t="s">
        <v>1266</v>
      </c>
      <c r="C980" s="766"/>
      <c r="D980" s="84" t="s">
        <v>1037</v>
      </c>
      <c r="E980" s="87">
        <v>0.16</v>
      </c>
      <c r="F980" s="86" t="s">
        <v>453</v>
      </c>
      <c r="G980" s="470">
        <f>중기사용료!$M$1613</f>
        <v>18696</v>
      </c>
      <c r="H980" s="470">
        <f t="shared" si="279"/>
        <v>2991</v>
      </c>
      <c r="I980" s="470">
        <f>중기사용료!$M$1607</f>
        <v>24483</v>
      </c>
      <c r="J980" s="470">
        <f t="shared" si="280"/>
        <v>3917</v>
      </c>
      <c r="K980" s="470">
        <f>중기사용료!$M$1601</f>
        <v>15005</v>
      </c>
      <c r="L980" s="470">
        <f t="shared" si="281"/>
        <v>2400</v>
      </c>
      <c r="M980" s="470">
        <f t="shared" si="282"/>
        <v>58184</v>
      </c>
      <c r="N980" s="470">
        <f t="shared" si="283"/>
        <v>9308</v>
      </c>
      <c r="O980" s="460">
        <f>중기사용료!$A$1598</f>
        <v>85</v>
      </c>
      <c r="P980" s="767"/>
    </row>
    <row r="981" spans="2:17" ht="15.2" customHeight="1">
      <c r="B981" s="766" t="s">
        <v>2224</v>
      </c>
      <c r="C981" s="766"/>
      <c r="D981" s="84"/>
      <c r="E981" s="85">
        <v>1</v>
      </c>
      <c r="F981" s="86" t="s">
        <v>933</v>
      </c>
      <c r="G981" s="470">
        <f>$H$1034</f>
        <v>210</v>
      </c>
      <c r="H981" s="470">
        <f t="shared" si="279"/>
        <v>210</v>
      </c>
      <c r="I981" s="470">
        <f>$J$1034</f>
        <v>8956</v>
      </c>
      <c r="J981" s="470">
        <f t="shared" si="280"/>
        <v>8956</v>
      </c>
      <c r="K981" s="470">
        <f>$L$1034</f>
        <v>0</v>
      </c>
      <c r="L981" s="470">
        <f t="shared" si="281"/>
        <v>0</v>
      </c>
      <c r="M981" s="470">
        <f t="shared" si="282"/>
        <v>9166</v>
      </c>
      <c r="N981" s="470">
        <f t="shared" si="283"/>
        <v>9166</v>
      </c>
      <c r="O981" s="462">
        <f>$P$1031</f>
        <v>171</v>
      </c>
      <c r="P981" s="767"/>
    </row>
    <row r="982" spans="2:17" ht="15.2" customHeight="1">
      <c r="B982" s="766" t="s">
        <v>855</v>
      </c>
      <c r="C982" s="766"/>
      <c r="D982" s="84"/>
      <c r="E982" s="87"/>
      <c r="F982" s="86"/>
      <c r="G982" s="470"/>
      <c r="H982" s="470">
        <f>SUM(H972:H981)</f>
        <v>10626</v>
      </c>
      <c r="I982" s="470"/>
      <c r="J982" s="470">
        <f>SUM(J972:J981)</f>
        <v>42186</v>
      </c>
      <c r="K982" s="470"/>
      <c r="L982" s="470">
        <f>SUM(L972:L981)</f>
        <v>14307</v>
      </c>
      <c r="M982" s="470"/>
      <c r="N982" s="470">
        <f>SUM(N972:N981)</f>
        <v>67119</v>
      </c>
      <c r="O982" s="457"/>
      <c r="P982" s="767"/>
      <c r="Q982" s="80" t="s">
        <v>3244</v>
      </c>
    </row>
    <row r="983" spans="2:17" ht="15.2" customHeight="1">
      <c r="B983" s="96">
        <f>P983</f>
        <v>167</v>
      </c>
      <c r="C983" s="770" t="s">
        <v>1071</v>
      </c>
      <c r="D983" s="770"/>
      <c r="E983" s="770"/>
      <c r="F983" s="771"/>
      <c r="G983" s="470"/>
      <c r="H983" s="470"/>
      <c r="I983" s="470"/>
      <c r="J983" s="470"/>
      <c r="K983" s="470"/>
      <c r="L983" s="470"/>
      <c r="M983" s="470"/>
      <c r="N983" s="470"/>
      <c r="O983" s="457"/>
      <c r="P983" s="767">
        <f>MAX($P$5:P982)+1</f>
        <v>167</v>
      </c>
      <c r="Q983" s="80" t="s">
        <v>3243</v>
      </c>
    </row>
    <row r="984" spans="2:17" ht="15.2" customHeight="1">
      <c r="B984" s="766" t="s">
        <v>1050</v>
      </c>
      <c r="C984" s="766"/>
      <c r="D984" s="84" t="s">
        <v>427</v>
      </c>
      <c r="E984" s="88">
        <v>11.832000000000001</v>
      </c>
      <c r="F984" s="86" t="s">
        <v>1193</v>
      </c>
      <c r="G984" s="470"/>
      <c r="H984" s="470">
        <f t="shared" ref="H984:H994" si="284">TRUNC(E984*G984,0)</f>
        <v>0</v>
      </c>
      <c r="I984" s="470"/>
      <c r="J984" s="470">
        <f t="shared" ref="J984:J994" si="285">TRUNC(I984*E984,0)</f>
        <v>0</v>
      </c>
      <c r="K984" s="470"/>
      <c r="L984" s="470">
        <f t="shared" ref="L984:L994" si="286">TRUNC(K984*E984,0)</f>
        <v>0</v>
      </c>
      <c r="M984" s="470">
        <f t="shared" ref="M984:M993" si="287">G984+I984+K984</f>
        <v>0</v>
      </c>
      <c r="N984" s="470">
        <f t="shared" ref="N984:N993" si="288">H984+J984+L984</f>
        <v>0</v>
      </c>
      <c r="O984" s="457"/>
      <c r="P984" s="767"/>
    </row>
    <row r="985" spans="2:17" ht="15.2" customHeight="1">
      <c r="B985" s="766" t="s">
        <v>455</v>
      </c>
      <c r="C985" s="766"/>
      <c r="D985" s="84"/>
      <c r="E985" s="87">
        <v>0.5</v>
      </c>
      <c r="F985" s="86" t="s">
        <v>1193</v>
      </c>
      <c r="G985" s="470">
        <f>사급자재!$M$86</f>
        <v>360</v>
      </c>
      <c r="H985" s="470">
        <f t="shared" si="284"/>
        <v>180</v>
      </c>
      <c r="I985" s="470"/>
      <c r="J985" s="470">
        <f t="shared" si="285"/>
        <v>0</v>
      </c>
      <c r="K985" s="470"/>
      <c r="L985" s="470">
        <f t="shared" si="286"/>
        <v>0</v>
      </c>
      <c r="M985" s="470">
        <f t="shared" si="287"/>
        <v>360</v>
      </c>
      <c r="N985" s="470">
        <f t="shared" si="288"/>
        <v>180</v>
      </c>
      <c r="O985" s="457"/>
      <c r="P985" s="767"/>
    </row>
    <row r="986" spans="2:17" ht="15.2" customHeight="1">
      <c r="B986" s="766" t="s">
        <v>1191</v>
      </c>
      <c r="C986" s="766"/>
      <c r="D986" s="84"/>
      <c r="E986" s="87">
        <v>0.02</v>
      </c>
      <c r="F986" s="86" t="s">
        <v>1163</v>
      </c>
      <c r="G986" s="470"/>
      <c r="H986" s="470">
        <f t="shared" si="284"/>
        <v>0</v>
      </c>
      <c r="I986" s="470">
        <f>SUMIF('노임(2015)'!$B$4:$B$87,B986,'노임(2015)'!$C$4:$C$87)+SUMIF('노임(2015)'!$E$4:$E$87,B986,'노임(2015)'!$F$4:$F$87)</f>
        <v>126728</v>
      </c>
      <c r="J986" s="470">
        <f t="shared" si="285"/>
        <v>2534</v>
      </c>
      <c r="K986" s="470"/>
      <c r="L986" s="470">
        <f t="shared" si="286"/>
        <v>0</v>
      </c>
      <c r="M986" s="470">
        <f t="shared" si="287"/>
        <v>126728</v>
      </c>
      <c r="N986" s="470">
        <f t="shared" si="288"/>
        <v>2534</v>
      </c>
      <c r="O986" s="457"/>
      <c r="P986" s="767"/>
    </row>
    <row r="987" spans="2:17" ht="15.2" customHeight="1">
      <c r="B987" s="766" t="s">
        <v>1162</v>
      </c>
      <c r="C987" s="766"/>
      <c r="D987" s="84"/>
      <c r="E987" s="87">
        <v>0.1</v>
      </c>
      <c r="F987" s="86" t="s">
        <v>1163</v>
      </c>
      <c r="G987" s="470"/>
      <c r="H987" s="470">
        <f t="shared" si="284"/>
        <v>0</v>
      </c>
      <c r="I987" s="470">
        <f>SUMIF('노임(2015)'!$B$4:$B$87,B987,'노임(2015)'!$C$4:$C$87)+SUMIF('노임(2015)'!$E$4:$E$87,B987,'노임(2015)'!$F$4:$F$87)</f>
        <v>89566</v>
      </c>
      <c r="J987" s="470">
        <f t="shared" si="285"/>
        <v>8956</v>
      </c>
      <c r="K987" s="470"/>
      <c r="L987" s="470">
        <f t="shared" si="286"/>
        <v>0</v>
      </c>
      <c r="M987" s="470">
        <f t="shared" si="287"/>
        <v>89566</v>
      </c>
      <c r="N987" s="470">
        <f t="shared" si="288"/>
        <v>8956</v>
      </c>
      <c r="O987" s="457"/>
      <c r="P987" s="767"/>
    </row>
    <row r="988" spans="2:17" ht="15.2" customHeight="1">
      <c r="B988" s="766" t="s">
        <v>2450</v>
      </c>
      <c r="C988" s="766"/>
      <c r="D988" s="84" t="s">
        <v>800</v>
      </c>
      <c r="E988" s="87">
        <v>0.4</v>
      </c>
      <c r="F988" s="86" t="s">
        <v>453</v>
      </c>
      <c r="G988" s="470">
        <f>중기사용료!$M$1214</f>
        <v>15508</v>
      </c>
      <c r="H988" s="470">
        <f t="shared" si="284"/>
        <v>6203</v>
      </c>
      <c r="I988" s="470">
        <f>중기사용료!$M$1208</f>
        <v>27168</v>
      </c>
      <c r="J988" s="470">
        <f t="shared" si="285"/>
        <v>10867</v>
      </c>
      <c r="K988" s="470">
        <f>중기사용료!$M$1202</f>
        <v>40728</v>
      </c>
      <c r="L988" s="470">
        <f t="shared" si="286"/>
        <v>16291</v>
      </c>
      <c r="M988" s="470">
        <f t="shared" si="287"/>
        <v>83404</v>
      </c>
      <c r="N988" s="470">
        <f t="shared" si="288"/>
        <v>33361</v>
      </c>
      <c r="O988" s="460">
        <f>중기사용료!$A$1199</f>
        <v>64</v>
      </c>
      <c r="P988" s="767"/>
    </row>
    <row r="989" spans="2:17" ht="15.2" customHeight="1">
      <c r="B989" s="766" t="s">
        <v>1394</v>
      </c>
      <c r="C989" s="766"/>
      <c r="D989" s="84" t="s">
        <v>2451</v>
      </c>
      <c r="E989" s="87">
        <v>0.4</v>
      </c>
      <c r="F989" s="86" t="s">
        <v>453</v>
      </c>
      <c r="G989" s="470">
        <f>중기사용료!$M$606</f>
        <v>12234</v>
      </c>
      <c r="H989" s="470">
        <f t="shared" si="284"/>
        <v>4893</v>
      </c>
      <c r="I989" s="470">
        <f>중기사용료!$M$600</f>
        <v>27168</v>
      </c>
      <c r="J989" s="470">
        <f t="shared" si="285"/>
        <v>10867</v>
      </c>
      <c r="K989" s="470">
        <f>중기사용료!$M$594</f>
        <v>10966</v>
      </c>
      <c r="L989" s="470">
        <f t="shared" si="286"/>
        <v>4386</v>
      </c>
      <c r="M989" s="470">
        <f t="shared" si="287"/>
        <v>50368</v>
      </c>
      <c r="N989" s="470">
        <f t="shared" si="288"/>
        <v>20146</v>
      </c>
      <c r="O989" s="460">
        <f>중기사용료!$A$591</f>
        <v>32</v>
      </c>
      <c r="P989" s="767"/>
    </row>
    <row r="990" spans="2:17" ht="15.2" customHeight="1">
      <c r="B990" s="766" t="s">
        <v>2225</v>
      </c>
      <c r="C990" s="766"/>
      <c r="D990" s="84" t="s">
        <v>2435</v>
      </c>
      <c r="E990" s="87">
        <v>0.4</v>
      </c>
      <c r="F990" s="86" t="s">
        <v>453</v>
      </c>
      <c r="G990" s="470">
        <f>$H$1390</f>
        <v>10970</v>
      </c>
      <c r="H990" s="470">
        <f t="shared" si="284"/>
        <v>4388</v>
      </c>
      <c r="I990" s="470">
        <f>$J$1390</f>
        <v>27168</v>
      </c>
      <c r="J990" s="470">
        <f t="shared" si="285"/>
        <v>10867</v>
      </c>
      <c r="K990" s="470">
        <f>$L$1390</f>
        <v>15334</v>
      </c>
      <c r="L990" s="470">
        <f t="shared" si="286"/>
        <v>6133</v>
      </c>
      <c r="M990" s="470">
        <f t="shared" si="287"/>
        <v>53472</v>
      </c>
      <c r="N990" s="470">
        <f t="shared" si="288"/>
        <v>21388</v>
      </c>
      <c r="O990" s="462">
        <f>$P$1388</f>
        <v>242</v>
      </c>
      <c r="P990" s="767"/>
    </row>
    <row r="991" spans="2:17" ht="15.2" customHeight="1">
      <c r="B991" s="766" t="s">
        <v>2430</v>
      </c>
      <c r="C991" s="766"/>
      <c r="D991" s="84" t="s">
        <v>2431</v>
      </c>
      <c r="E991" s="87">
        <v>0.4</v>
      </c>
      <c r="F991" s="86" t="s">
        <v>453</v>
      </c>
      <c r="G991" s="470">
        <f>중기사용료!$M$625</f>
        <v>6577</v>
      </c>
      <c r="H991" s="470">
        <f t="shared" si="284"/>
        <v>2630</v>
      </c>
      <c r="I991" s="470">
        <f>중기사용료!$M$619</f>
        <v>27168</v>
      </c>
      <c r="J991" s="470">
        <f t="shared" si="285"/>
        <v>10867</v>
      </c>
      <c r="K991" s="470">
        <f>중기사용료!$M$613</f>
        <v>7405</v>
      </c>
      <c r="L991" s="470">
        <f t="shared" si="286"/>
        <v>2962</v>
      </c>
      <c r="M991" s="470">
        <f t="shared" si="287"/>
        <v>41150</v>
      </c>
      <c r="N991" s="470">
        <f t="shared" si="288"/>
        <v>16459</v>
      </c>
      <c r="O991" s="460">
        <f>중기사용료!$A$610</f>
        <v>33</v>
      </c>
      <c r="P991" s="767"/>
    </row>
    <row r="992" spans="2:17" ht="15.2" customHeight="1">
      <c r="B992" s="766" t="s">
        <v>1266</v>
      </c>
      <c r="C992" s="766"/>
      <c r="D992" s="84" t="s">
        <v>1037</v>
      </c>
      <c r="E992" s="87">
        <v>0.4</v>
      </c>
      <c r="F992" s="86" t="s">
        <v>453</v>
      </c>
      <c r="G992" s="470">
        <f>중기사용료!$M$1613</f>
        <v>18696</v>
      </c>
      <c r="H992" s="470">
        <f t="shared" si="284"/>
        <v>7478</v>
      </c>
      <c r="I992" s="470">
        <f>중기사용료!$M$1607</f>
        <v>24483</v>
      </c>
      <c r="J992" s="470">
        <f t="shared" si="285"/>
        <v>9793</v>
      </c>
      <c r="K992" s="470">
        <f>중기사용료!$M$1601</f>
        <v>15005</v>
      </c>
      <c r="L992" s="470">
        <f t="shared" si="286"/>
        <v>6002</v>
      </c>
      <c r="M992" s="470">
        <f t="shared" si="287"/>
        <v>58184</v>
      </c>
      <c r="N992" s="470">
        <f t="shared" si="288"/>
        <v>23273</v>
      </c>
      <c r="O992" s="460">
        <f>중기사용료!$A$1598</f>
        <v>85</v>
      </c>
      <c r="P992" s="767"/>
    </row>
    <row r="993" spans="2:17" ht="15.2" customHeight="1">
      <c r="B993" s="766" t="s">
        <v>2224</v>
      </c>
      <c r="C993" s="766"/>
      <c r="D993" s="84"/>
      <c r="E993" s="87">
        <v>1</v>
      </c>
      <c r="F993" s="86" t="s">
        <v>933</v>
      </c>
      <c r="G993" s="470">
        <f>$H$1034</f>
        <v>210</v>
      </c>
      <c r="H993" s="470">
        <f t="shared" si="284"/>
        <v>210</v>
      </c>
      <c r="I993" s="470">
        <f>$J$1034</f>
        <v>8956</v>
      </c>
      <c r="J993" s="470">
        <f t="shared" si="285"/>
        <v>8956</v>
      </c>
      <c r="K993" s="470">
        <f>$L$1034</f>
        <v>0</v>
      </c>
      <c r="L993" s="470">
        <f t="shared" si="286"/>
        <v>0</v>
      </c>
      <c r="M993" s="470">
        <f t="shared" si="287"/>
        <v>9166</v>
      </c>
      <c r="N993" s="470">
        <f t="shared" si="288"/>
        <v>9166</v>
      </c>
      <c r="O993" s="462">
        <f>$P$1031</f>
        <v>171</v>
      </c>
      <c r="P993" s="767"/>
    </row>
    <row r="994" spans="2:17" ht="15.2" customHeight="1">
      <c r="B994" s="768" t="s">
        <v>491</v>
      </c>
      <c r="C994" s="769"/>
      <c r="D994" s="84" t="s">
        <v>1801</v>
      </c>
      <c r="E994" s="87">
        <v>0.4</v>
      </c>
      <c r="F994" s="86" t="s">
        <v>453</v>
      </c>
      <c r="G994" s="470">
        <f>중기사용료!M1480</f>
        <v>68156</v>
      </c>
      <c r="H994" s="470">
        <f t="shared" si="284"/>
        <v>27262</v>
      </c>
      <c r="I994" s="470">
        <f>중기사용료!M1474</f>
        <v>27168</v>
      </c>
      <c r="J994" s="470">
        <f t="shared" si="285"/>
        <v>10867</v>
      </c>
      <c r="K994" s="470">
        <f>중기사용료!M1468</f>
        <v>164374</v>
      </c>
      <c r="L994" s="470">
        <f t="shared" si="286"/>
        <v>65749</v>
      </c>
      <c r="M994" s="470">
        <f>G994+I994+K994</f>
        <v>259698</v>
      </c>
      <c r="N994" s="470">
        <f>H994+J994+L994</f>
        <v>103878</v>
      </c>
      <c r="O994" s="459">
        <f>중기사용료!Q1468</f>
        <v>0</v>
      </c>
      <c r="P994" s="767"/>
    </row>
    <row r="995" spans="2:17" ht="15.2" customHeight="1">
      <c r="B995" s="766" t="s">
        <v>1051</v>
      </c>
      <c r="C995" s="766"/>
      <c r="D995" s="84" t="s">
        <v>1052</v>
      </c>
      <c r="E995" s="87">
        <v>0.4</v>
      </c>
      <c r="F995" s="86" t="s">
        <v>453</v>
      </c>
      <c r="G995" s="470">
        <f>중기사용료!$M$397</f>
        <v>5619</v>
      </c>
      <c r="H995" s="470">
        <f>TRUNC(E995*G995,0)</f>
        <v>2247</v>
      </c>
      <c r="I995" s="470">
        <f>중기사용료!$M$391</f>
        <v>27168</v>
      </c>
      <c r="J995" s="470">
        <f>TRUNC(I995*E995,0)</f>
        <v>10867</v>
      </c>
      <c r="K995" s="470">
        <f>중기사용료!$M$385</f>
        <v>5767</v>
      </c>
      <c r="L995" s="470">
        <f>TRUNC(K995*E995,0)</f>
        <v>2306</v>
      </c>
      <c r="M995" s="470">
        <f>G995+I995+K995</f>
        <v>38554</v>
      </c>
      <c r="N995" s="470">
        <f>H995+J995+L995</f>
        <v>15420</v>
      </c>
      <c r="O995" s="460">
        <f>중기사용료!$A$382</f>
        <v>21</v>
      </c>
      <c r="P995" s="767"/>
    </row>
    <row r="996" spans="2:17" ht="15.2" customHeight="1">
      <c r="B996" s="766" t="s">
        <v>855</v>
      </c>
      <c r="C996" s="766"/>
      <c r="D996" s="84"/>
      <c r="E996" s="87"/>
      <c r="F996" s="86"/>
      <c r="G996" s="470"/>
      <c r="H996" s="470">
        <f>SUM(H984:H995)</f>
        <v>55491</v>
      </c>
      <c r="I996" s="470"/>
      <c r="J996" s="470">
        <f>SUM(J984:J995)</f>
        <v>95441</v>
      </c>
      <c r="K996" s="470"/>
      <c r="L996" s="470">
        <f>SUM(L984:L995)</f>
        <v>103829</v>
      </c>
      <c r="M996" s="470"/>
      <c r="N996" s="470">
        <f>SUM(N984:N995)</f>
        <v>254761</v>
      </c>
      <c r="O996" s="457"/>
      <c r="P996" s="767"/>
      <c r="Q996" s="80" t="s">
        <v>3244</v>
      </c>
    </row>
    <row r="997" spans="2:17" ht="15.2" customHeight="1">
      <c r="B997" s="96">
        <f>P997</f>
        <v>168</v>
      </c>
      <c r="C997" s="770" t="s">
        <v>1072</v>
      </c>
      <c r="D997" s="770"/>
      <c r="E997" s="770"/>
      <c r="F997" s="771"/>
      <c r="G997" s="470"/>
      <c r="H997" s="470"/>
      <c r="I997" s="470"/>
      <c r="J997" s="470"/>
      <c r="K997" s="470"/>
      <c r="L997" s="470"/>
      <c r="M997" s="470"/>
      <c r="N997" s="470"/>
      <c r="O997" s="457"/>
      <c r="P997" s="767">
        <f>MAX($P$5:P996)+1</f>
        <v>168</v>
      </c>
      <c r="Q997" s="80" t="s">
        <v>3243</v>
      </c>
    </row>
    <row r="998" spans="2:17" ht="15.2" customHeight="1">
      <c r="B998" s="766" t="s">
        <v>1050</v>
      </c>
      <c r="C998" s="766"/>
      <c r="D998" s="84" t="s">
        <v>427</v>
      </c>
      <c r="E998" s="88">
        <v>11.832000000000001</v>
      </c>
      <c r="F998" s="86" t="s">
        <v>1193</v>
      </c>
      <c r="G998" s="470"/>
      <c r="H998" s="470">
        <f t="shared" ref="H998:H1006" si="289">TRUNC(E998*G998,0)</f>
        <v>0</v>
      </c>
      <c r="I998" s="470"/>
      <c r="J998" s="470">
        <f t="shared" ref="J998:J1006" si="290">TRUNC(I998*E998,0)</f>
        <v>0</v>
      </c>
      <c r="K998" s="470"/>
      <c r="L998" s="470">
        <f t="shared" ref="L998:L1006" si="291">TRUNC(K998*E998,0)</f>
        <v>0</v>
      </c>
      <c r="M998" s="470">
        <f t="shared" ref="M998:M1006" si="292">G998+I998+K998</f>
        <v>0</v>
      </c>
      <c r="N998" s="470">
        <f t="shared" ref="N998:N1006" si="293">H998+J998+L998</f>
        <v>0</v>
      </c>
      <c r="O998" s="457"/>
      <c r="P998" s="767"/>
    </row>
    <row r="999" spans="2:17" ht="15.2" customHeight="1">
      <c r="B999" s="766" t="s">
        <v>455</v>
      </c>
      <c r="C999" s="766"/>
      <c r="D999" s="84"/>
      <c r="E999" s="87">
        <v>0.5</v>
      </c>
      <c r="F999" s="86" t="s">
        <v>1193</v>
      </c>
      <c r="G999" s="470">
        <f>사급자재!$M$86</f>
        <v>360</v>
      </c>
      <c r="H999" s="470">
        <f t="shared" si="289"/>
        <v>180</v>
      </c>
      <c r="I999" s="470"/>
      <c r="J999" s="470">
        <f t="shared" si="290"/>
        <v>0</v>
      </c>
      <c r="K999" s="470"/>
      <c r="L999" s="470">
        <f t="shared" si="291"/>
        <v>0</v>
      </c>
      <c r="M999" s="470">
        <f t="shared" si="292"/>
        <v>360</v>
      </c>
      <c r="N999" s="470">
        <f t="shared" si="293"/>
        <v>180</v>
      </c>
      <c r="O999" s="457"/>
      <c r="P999" s="767"/>
    </row>
    <row r="1000" spans="2:17" ht="15.2" customHeight="1">
      <c r="B1000" s="766" t="s">
        <v>1191</v>
      </c>
      <c r="C1000" s="766"/>
      <c r="D1000" s="84"/>
      <c r="E1000" s="85">
        <v>2</v>
      </c>
      <c r="F1000" s="86" t="s">
        <v>1163</v>
      </c>
      <c r="G1000" s="470"/>
      <c r="H1000" s="470">
        <f t="shared" si="289"/>
        <v>0</v>
      </c>
      <c r="I1000" s="470">
        <f>SUMIF('노임(2015)'!$B$4:$B$87,B1000,'노임(2015)'!$C$4:$C$87)+SUMIF('노임(2015)'!$E$4:$E$87,B1000,'노임(2015)'!$F$4:$F$87)</f>
        <v>126728</v>
      </c>
      <c r="J1000" s="470">
        <f t="shared" si="290"/>
        <v>253456</v>
      </c>
      <c r="K1000" s="470"/>
      <c r="L1000" s="470">
        <f t="shared" si="291"/>
        <v>0</v>
      </c>
      <c r="M1000" s="470">
        <f t="shared" si="292"/>
        <v>126728</v>
      </c>
      <c r="N1000" s="470">
        <f t="shared" si="293"/>
        <v>253456</v>
      </c>
      <c r="O1000" s="457"/>
      <c r="P1000" s="767"/>
    </row>
    <row r="1001" spans="2:17" ht="15.2" customHeight="1">
      <c r="B1001" s="766" t="s">
        <v>1162</v>
      </c>
      <c r="C1001" s="766"/>
      <c r="D1001" s="84" t="s">
        <v>1073</v>
      </c>
      <c r="E1001" s="85">
        <v>6</v>
      </c>
      <c r="F1001" s="86" t="s">
        <v>1163</v>
      </c>
      <c r="G1001" s="470"/>
      <c r="H1001" s="470">
        <f t="shared" si="289"/>
        <v>0</v>
      </c>
      <c r="I1001" s="470">
        <f>SUMIF('노임(2015)'!$B$4:$B$87,B1001,'노임(2015)'!$C$4:$C$87)+SUMIF('노임(2015)'!$E$4:$E$87,B1001,'노임(2015)'!$F$4:$F$87)</f>
        <v>89566</v>
      </c>
      <c r="J1001" s="470">
        <f t="shared" si="290"/>
        <v>537396</v>
      </c>
      <c r="K1001" s="470"/>
      <c r="L1001" s="470">
        <f t="shared" si="291"/>
        <v>0</v>
      </c>
      <c r="M1001" s="470">
        <f t="shared" si="292"/>
        <v>89566</v>
      </c>
      <c r="N1001" s="470">
        <f t="shared" si="293"/>
        <v>537396</v>
      </c>
      <c r="O1001" s="457"/>
      <c r="P1001" s="767"/>
    </row>
    <row r="1002" spans="2:17" ht="15.2" customHeight="1">
      <c r="B1002" s="766" t="s">
        <v>430</v>
      </c>
      <c r="C1002" s="766"/>
      <c r="D1002" s="84" t="s">
        <v>1586</v>
      </c>
      <c r="E1002" s="85">
        <v>16</v>
      </c>
      <c r="F1002" s="86" t="s">
        <v>453</v>
      </c>
      <c r="G1002" s="470">
        <f>중기사용료!$M$815</f>
        <v>1589</v>
      </c>
      <c r="H1002" s="470">
        <f t="shared" si="289"/>
        <v>25424</v>
      </c>
      <c r="I1002" s="470">
        <f>중기사용료!$M$809</f>
        <v>18939</v>
      </c>
      <c r="J1002" s="470">
        <f t="shared" si="290"/>
        <v>303024</v>
      </c>
      <c r="K1002" s="470">
        <f>중기사용료!$M$803</f>
        <v>555</v>
      </c>
      <c r="L1002" s="470">
        <f t="shared" si="291"/>
        <v>8880</v>
      </c>
      <c r="M1002" s="470">
        <f t="shared" si="292"/>
        <v>21083</v>
      </c>
      <c r="N1002" s="470">
        <f t="shared" si="293"/>
        <v>337328</v>
      </c>
      <c r="O1002" s="460">
        <f>중기사용료!$A$800</f>
        <v>43</v>
      </c>
      <c r="P1002" s="767"/>
    </row>
    <row r="1003" spans="2:17" ht="15.2" customHeight="1">
      <c r="B1003" s="766" t="s">
        <v>1034</v>
      </c>
      <c r="C1003" s="766"/>
      <c r="D1003" s="84" t="s">
        <v>156</v>
      </c>
      <c r="E1003" s="85">
        <v>16</v>
      </c>
      <c r="F1003" s="86" t="s">
        <v>453</v>
      </c>
      <c r="G1003" s="470">
        <f>중기사용료!$M$701</f>
        <v>2771</v>
      </c>
      <c r="H1003" s="470">
        <f t="shared" si="289"/>
        <v>44336</v>
      </c>
      <c r="I1003" s="470">
        <f>중기사용료!$M$695</f>
        <v>27168</v>
      </c>
      <c r="J1003" s="470">
        <f t="shared" si="290"/>
        <v>434688</v>
      </c>
      <c r="K1003" s="470">
        <f>중기사용료!$M$689</f>
        <v>1563</v>
      </c>
      <c r="L1003" s="470">
        <f t="shared" si="291"/>
        <v>25008</v>
      </c>
      <c r="M1003" s="470">
        <f t="shared" si="292"/>
        <v>31502</v>
      </c>
      <c r="N1003" s="470">
        <f t="shared" si="293"/>
        <v>504032</v>
      </c>
      <c r="O1003" s="460">
        <f>중기사용료!$A$686</f>
        <v>37</v>
      </c>
      <c r="P1003" s="767"/>
    </row>
    <row r="1004" spans="2:17" ht="15.2" customHeight="1">
      <c r="B1004" s="766" t="s">
        <v>3233</v>
      </c>
      <c r="C1004" s="766"/>
      <c r="D1004" s="84" t="s">
        <v>3234</v>
      </c>
      <c r="E1004" s="85">
        <v>16</v>
      </c>
      <c r="F1004" s="86" t="s">
        <v>453</v>
      </c>
      <c r="G1004" s="470">
        <f>중기사용료!$M$188</f>
        <v>7741</v>
      </c>
      <c r="H1004" s="470">
        <f>TRUNC(E1004*G1004,0)</f>
        <v>123856</v>
      </c>
      <c r="I1004" s="470">
        <f>중기사용료!$M$182</f>
        <v>27168</v>
      </c>
      <c r="J1004" s="470">
        <f>TRUNC(I1004*E1004,0)</f>
        <v>434688</v>
      </c>
      <c r="K1004" s="470">
        <f>중기사용료!$M$176</f>
        <v>12947</v>
      </c>
      <c r="L1004" s="470">
        <f>TRUNC(K1004*E1004,0)</f>
        <v>207152</v>
      </c>
      <c r="M1004" s="470">
        <f>G1004+I1004+K1004</f>
        <v>47856</v>
      </c>
      <c r="N1004" s="470">
        <f>H1004+J1004+L1004</f>
        <v>765696</v>
      </c>
      <c r="O1004" s="460">
        <f>중기사용료!$A$173</f>
        <v>10</v>
      </c>
      <c r="P1004" s="767"/>
    </row>
    <row r="1005" spans="2:17" ht="15.2" customHeight="1">
      <c r="B1005" s="766" t="s">
        <v>459</v>
      </c>
      <c r="C1005" s="766"/>
      <c r="D1005" s="84" t="s">
        <v>1802</v>
      </c>
      <c r="E1005" s="85">
        <v>16</v>
      </c>
      <c r="F1005" s="86" t="s">
        <v>453</v>
      </c>
      <c r="G1005" s="470">
        <f>중기사용료!$M$473</f>
        <v>4461</v>
      </c>
      <c r="H1005" s="470">
        <f t="shared" si="289"/>
        <v>71376</v>
      </c>
      <c r="I1005" s="470">
        <f>중기사용료!$M$467</f>
        <v>24483</v>
      </c>
      <c r="J1005" s="470">
        <f t="shared" si="290"/>
        <v>391728</v>
      </c>
      <c r="K1005" s="470">
        <f>중기사용료!$M$461</f>
        <v>5567</v>
      </c>
      <c r="L1005" s="470">
        <f t="shared" si="291"/>
        <v>89072</v>
      </c>
      <c r="M1005" s="470">
        <f t="shared" si="292"/>
        <v>34511</v>
      </c>
      <c r="N1005" s="470">
        <f t="shared" si="293"/>
        <v>552176</v>
      </c>
      <c r="O1005" s="460">
        <f>중기사용료!$A$458</f>
        <v>25</v>
      </c>
      <c r="P1005" s="767"/>
    </row>
    <row r="1006" spans="2:17" ht="15.2" customHeight="1">
      <c r="B1006" s="766" t="s">
        <v>2224</v>
      </c>
      <c r="C1006" s="766"/>
      <c r="D1006" s="84"/>
      <c r="E1006" s="85">
        <v>1</v>
      </c>
      <c r="F1006" s="86" t="s">
        <v>933</v>
      </c>
      <c r="G1006" s="470">
        <f>$H$1034</f>
        <v>210</v>
      </c>
      <c r="H1006" s="470">
        <f t="shared" si="289"/>
        <v>210</v>
      </c>
      <c r="I1006" s="470">
        <f>$J$1034</f>
        <v>8956</v>
      </c>
      <c r="J1006" s="470">
        <f t="shared" si="290"/>
        <v>8956</v>
      </c>
      <c r="K1006" s="470">
        <f>$L$1034</f>
        <v>0</v>
      </c>
      <c r="L1006" s="470">
        <f t="shared" si="291"/>
        <v>0</v>
      </c>
      <c r="M1006" s="470">
        <f t="shared" si="292"/>
        <v>9166</v>
      </c>
      <c r="N1006" s="470">
        <f t="shared" si="293"/>
        <v>9166</v>
      </c>
      <c r="O1006" s="462">
        <f>$P$1031</f>
        <v>171</v>
      </c>
      <c r="P1006" s="767"/>
    </row>
    <row r="1007" spans="2:17" ht="15.2" customHeight="1">
      <c r="B1007" s="766" t="s">
        <v>855</v>
      </c>
      <c r="C1007" s="766"/>
      <c r="D1007" s="84"/>
      <c r="E1007" s="87"/>
      <c r="F1007" s="86"/>
      <c r="G1007" s="470"/>
      <c r="H1007" s="470">
        <f>SUM(H998:H1006)</f>
        <v>265382</v>
      </c>
      <c r="I1007" s="470"/>
      <c r="J1007" s="470">
        <f>SUM(J998:J1006)</f>
        <v>2363936</v>
      </c>
      <c r="K1007" s="470"/>
      <c r="L1007" s="470">
        <f>SUM(L998:L1006)</f>
        <v>330112</v>
      </c>
      <c r="M1007" s="470"/>
      <c r="N1007" s="470">
        <f>SUM(N998:N1006)</f>
        <v>2959430</v>
      </c>
      <c r="O1007" s="457"/>
      <c r="P1007" s="767"/>
      <c r="Q1007" s="80" t="s">
        <v>3244</v>
      </c>
    </row>
    <row r="1008" spans="2:17" ht="15.2" customHeight="1">
      <c r="B1008" s="96">
        <f>P1008</f>
        <v>169</v>
      </c>
      <c r="C1008" s="770" t="s">
        <v>3284</v>
      </c>
      <c r="D1008" s="770"/>
      <c r="E1008" s="770"/>
      <c r="F1008" s="771"/>
      <c r="G1008" s="470"/>
      <c r="H1008" s="470"/>
      <c r="I1008" s="470"/>
      <c r="J1008" s="470"/>
      <c r="K1008" s="470"/>
      <c r="L1008" s="470"/>
      <c r="M1008" s="470"/>
      <c r="N1008" s="470"/>
      <c r="O1008" s="457"/>
      <c r="P1008" s="767">
        <f>MAX($P$5:P1007)+1</f>
        <v>169</v>
      </c>
      <c r="Q1008" s="80" t="s">
        <v>3243</v>
      </c>
    </row>
    <row r="1009" spans="2:17" ht="15.2" customHeight="1">
      <c r="B1009" s="766" t="s">
        <v>1050</v>
      </c>
      <c r="C1009" s="766"/>
      <c r="D1009" s="84" t="s">
        <v>427</v>
      </c>
      <c r="E1009" s="88">
        <v>11.832000000000001</v>
      </c>
      <c r="F1009" s="86" t="s">
        <v>1193</v>
      </c>
      <c r="G1009" s="470"/>
      <c r="H1009" s="470">
        <f t="shared" ref="H1009:H1017" si="294">TRUNC(E1009*G1009,0)</f>
        <v>0</v>
      </c>
      <c r="I1009" s="470"/>
      <c r="J1009" s="470">
        <f t="shared" ref="J1009:J1017" si="295">TRUNC(I1009*E1009,0)</f>
        <v>0</v>
      </c>
      <c r="K1009" s="470"/>
      <c r="L1009" s="470">
        <f t="shared" ref="L1009:L1017" si="296">TRUNC(K1009*E1009,0)</f>
        <v>0</v>
      </c>
      <c r="M1009" s="470">
        <f t="shared" ref="M1009:M1017" si="297">G1009+I1009+K1009</f>
        <v>0</v>
      </c>
      <c r="N1009" s="470">
        <f t="shared" ref="N1009:N1017" si="298">H1009+J1009+L1009</f>
        <v>0</v>
      </c>
      <c r="O1009" s="457"/>
      <c r="P1009" s="767"/>
    </row>
    <row r="1010" spans="2:17" ht="15.2" customHeight="1">
      <c r="B1010" s="766" t="s">
        <v>455</v>
      </c>
      <c r="C1010" s="766"/>
      <c r="D1010" s="84"/>
      <c r="E1010" s="87">
        <v>0.5</v>
      </c>
      <c r="F1010" s="86" t="s">
        <v>1193</v>
      </c>
      <c r="G1010" s="470">
        <f>사급자재!$M$86</f>
        <v>360</v>
      </c>
      <c r="H1010" s="470">
        <f t="shared" si="294"/>
        <v>180</v>
      </c>
      <c r="I1010" s="470"/>
      <c r="J1010" s="470">
        <f t="shared" si="295"/>
        <v>0</v>
      </c>
      <c r="K1010" s="470"/>
      <c r="L1010" s="470">
        <f t="shared" si="296"/>
        <v>0</v>
      </c>
      <c r="M1010" s="470">
        <f t="shared" si="297"/>
        <v>360</v>
      </c>
      <c r="N1010" s="470">
        <f t="shared" si="298"/>
        <v>180</v>
      </c>
      <c r="O1010" s="457"/>
      <c r="P1010" s="767"/>
    </row>
    <row r="1011" spans="2:17" ht="15.2" customHeight="1">
      <c r="B1011" s="766" t="s">
        <v>1191</v>
      </c>
      <c r="C1011" s="766"/>
      <c r="D1011" s="84"/>
      <c r="E1011" s="448">
        <f>2*1.3</f>
        <v>2.6</v>
      </c>
      <c r="F1011" s="86" t="s">
        <v>1163</v>
      </c>
      <c r="G1011" s="470"/>
      <c r="H1011" s="470">
        <f t="shared" si="294"/>
        <v>0</v>
      </c>
      <c r="I1011" s="470">
        <f>SUMIF('노임(2015)'!$B$4:$B$87,B1011,'노임(2015)'!$C$4:$C$87)+SUMIF('노임(2015)'!$E$4:$E$87,B1011,'노임(2015)'!$F$4:$F$87)</f>
        <v>126728</v>
      </c>
      <c r="J1011" s="470">
        <f t="shared" si="295"/>
        <v>329492</v>
      </c>
      <c r="K1011" s="470"/>
      <c r="L1011" s="470">
        <f t="shared" si="296"/>
        <v>0</v>
      </c>
      <c r="M1011" s="470">
        <f t="shared" si="297"/>
        <v>126728</v>
      </c>
      <c r="N1011" s="470">
        <f t="shared" si="298"/>
        <v>329492</v>
      </c>
      <c r="O1011" s="457"/>
      <c r="P1011" s="767"/>
    </row>
    <row r="1012" spans="2:17" ht="15.2" customHeight="1">
      <c r="B1012" s="766" t="s">
        <v>1162</v>
      </c>
      <c r="C1012" s="766"/>
      <c r="D1012" s="84" t="s">
        <v>1073</v>
      </c>
      <c r="E1012" s="448">
        <f>6*1.3</f>
        <v>7.8000000000000007</v>
      </c>
      <c r="F1012" s="86" t="s">
        <v>1163</v>
      </c>
      <c r="G1012" s="470"/>
      <c r="H1012" s="470">
        <f t="shared" si="294"/>
        <v>0</v>
      </c>
      <c r="I1012" s="470">
        <f>SUMIF('노임(2015)'!$B$4:$B$87,B1012,'노임(2015)'!$C$4:$C$87)+SUMIF('노임(2015)'!$E$4:$E$87,B1012,'노임(2015)'!$F$4:$F$87)</f>
        <v>89566</v>
      </c>
      <c r="J1012" s="470">
        <f t="shared" si="295"/>
        <v>698614</v>
      </c>
      <c r="K1012" s="470"/>
      <c r="L1012" s="470">
        <f t="shared" si="296"/>
        <v>0</v>
      </c>
      <c r="M1012" s="470">
        <f t="shared" si="297"/>
        <v>89566</v>
      </c>
      <c r="N1012" s="470">
        <f t="shared" si="298"/>
        <v>698614</v>
      </c>
      <c r="O1012" s="457"/>
      <c r="P1012" s="767"/>
    </row>
    <row r="1013" spans="2:17" ht="15.2" customHeight="1">
      <c r="B1013" s="766" t="s">
        <v>430</v>
      </c>
      <c r="C1013" s="766"/>
      <c r="D1013" s="84" t="s">
        <v>1586</v>
      </c>
      <c r="E1013" s="448">
        <f>16*1.3</f>
        <v>20.8</v>
      </c>
      <c r="F1013" s="86" t="s">
        <v>453</v>
      </c>
      <c r="G1013" s="470">
        <f>중기사용료!$M$815</f>
        <v>1589</v>
      </c>
      <c r="H1013" s="470">
        <f t="shared" si="294"/>
        <v>33051</v>
      </c>
      <c r="I1013" s="470">
        <f>중기사용료!$M$809</f>
        <v>18939</v>
      </c>
      <c r="J1013" s="470">
        <f t="shared" si="295"/>
        <v>393931</v>
      </c>
      <c r="K1013" s="470">
        <f>중기사용료!$M$803</f>
        <v>555</v>
      </c>
      <c r="L1013" s="470">
        <f t="shared" si="296"/>
        <v>11544</v>
      </c>
      <c r="M1013" s="470">
        <f t="shared" si="297"/>
        <v>21083</v>
      </c>
      <c r="N1013" s="470">
        <f t="shared" si="298"/>
        <v>438526</v>
      </c>
      <c r="O1013" s="460">
        <f>중기사용료!$A$800</f>
        <v>43</v>
      </c>
      <c r="P1013" s="767"/>
    </row>
    <row r="1014" spans="2:17" ht="15.2" customHeight="1">
      <c r="B1014" s="766" t="s">
        <v>1034</v>
      </c>
      <c r="C1014" s="766"/>
      <c r="D1014" s="84" t="s">
        <v>156</v>
      </c>
      <c r="E1014" s="448">
        <f>16*1.3</f>
        <v>20.8</v>
      </c>
      <c r="F1014" s="86" t="s">
        <v>453</v>
      </c>
      <c r="G1014" s="470">
        <f>중기사용료!$M$701</f>
        <v>2771</v>
      </c>
      <c r="H1014" s="470">
        <f t="shared" si="294"/>
        <v>57636</v>
      </c>
      <c r="I1014" s="470">
        <f>중기사용료!$M$695</f>
        <v>27168</v>
      </c>
      <c r="J1014" s="470">
        <f t="shared" si="295"/>
        <v>565094</v>
      </c>
      <c r="K1014" s="470">
        <f>중기사용료!$M$689</f>
        <v>1563</v>
      </c>
      <c r="L1014" s="470">
        <f t="shared" si="296"/>
        <v>32510</v>
      </c>
      <c r="M1014" s="470">
        <f t="shared" si="297"/>
        <v>31502</v>
      </c>
      <c r="N1014" s="470">
        <f t="shared" si="298"/>
        <v>655240</v>
      </c>
      <c r="O1014" s="460">
        <f>중기사용료!$A$686</f>
        <v>37</v>
      </c>
      <c r="P1014" s="767"/>
    </row>
    <row r="1015" spans="2:17" ht="15.2" customHeight="1">
      <c r="B1015" s="766" t="s">
        <v>3233</v>
      </c>
      <c r="C1015" s="766"/>
      <c r="D1015" s="84" t="s">
        <v>3234</v>
      </c>
      <c r="E1015" s="448">
        <v>20.8</v>
      </c>
      <c r="F1015" s="86" t="s">
        <v>453</v>
      </c>
      <c r="G1015" s="470">
        <f>중기사용료!$M$188</f>
        <v>7741</v>
      </c>
      <c r="H1015" s="470">
        <f>TRUNC(E1015*G1015,0)</f>
        <v>161012</v>
      </c>
      <c r="I1015" s="470">
        <f>중기사용료!$M$182</f>
        <v>27168</v>
      </c>
      <c r="J1015" s="470">
        <f>TRUNC(I1015*E1015,0)</f>
        <v>565094</v>
      </c>
      <c r="K1015" s="470">
        <f>중기사용료!$M$176</f>
        <v>12947</v>
      </c>
      <c r="L1015" s="470">
        <f>TRUNC(K1015*E1015,0)</f>
        <v>269297</v>
      </c>
      <c r="M1015" s="470">
        <f>G1015+I1015+K1015</f>
        <v>47856</v>
      </c>
      <c r="N1015" s="470">
        <f>H1015+J1015+L1015</f>
        <v>995403</v>
      </c>
      <c r="O1015" s="460">
        <f>중기사용료!$A$173</f>
        <v>10</v>
      </c>
      <c r="P1015" s="767"/>
    </row>
    <row r="1016" spans="2:17" ht="15.2" customHeight="1">
      <c r="B1016" s="766" t="s">
        <v>459</v>
      </c>
      <c r="C1016" s="766"/>
      <c r="D1016" s="84" t="s">
        <v>1802</v>
      </c>
      <c r="E1016" s="448">
        <v>20.8</v>
      </c>
      <c r="F1016" s="86" t="s">
        <v>453</v>
      </c>
      <c r="G1016" s="470">
        <f>중기사용료!$M$473</f>
        <v>4461</v>
      </c>
      <c r="H1016" s="470">
        <f t="shared" si="294"/>
        <v>92788</v>
      </c>
      <c r="I1016" s="470">
        <f>중기사용료!$M$467</f>
        <v>24483</v>
      </c>
      <c r="J1016" s="470">
        <f t="shared" si="295"/>
        <v>509246</v>
      </c>
      <c r="K1016" s="470">
        <f>중기사용료!$M$461</f>
        <v>5567</v>
      </c>
      <c r="L1016" s="470">
        <f t="shared" si="296"/>
        <v>115793</v>
      </c>
      <c r="M1016" s="470">
        <f t="shared" si="297"/>
        <v>34511</v>
      </c>
      <c r="N1016" s="470">
        <f t="shared" si="298"/>
        <v>717827</v>
      </c>
      <c r="O1016" s="460">
        <f>중기사용료!$A$458</f>
        <v>25</v>
      </c>
      <c r="P1016" s="767"/>
    </row>
    <row r="1017" spans="2:17" ht="15.2" customHeight="1">
      <c r="B1017" s="766" t="s">
        <v>2224</v>
      </c>
      <c r="C1017" s="766"/>
      <c r="D1017" s="84"/>
      <c r="E1017" s="85">
        <v>1</v>
      </c>
      <c r="F1017" s="86" t="s">
        <v>933</v>
      </c>
      <c r="G1017" s="470">
        <f>$H$1034</f>
        <v>210</v>
      </c>
      <c r="H1017" s="470">
        <f t="shared" si="294"/>
        <v>210</v>
      </c>
      <c r="I1017" s="470">
        <f>$J$1034</f>
        <v>8956</v>
      </c>
      <c r="J1017" s="470">
        <f t="shared" si="295"/>
        <v>8956</v>
      </c>
      <c r="K1017" s="470">
        <f>$L$1034</f>
        <v>0</v>
      </c>
      <c r="L1017" s="470">
        <f t="shared" si="296"/>
        <v>0</v>
      </c>
      <c r="M1017" s="470">
        <f t="shared" si="297"/>
        <v>9166</v>
      </c>
      <c r="N1017" s="470">
        <f t="shared" si="298"/>
        <v>9166</v>
      </c>
      <c r="O1017" s="462">
        <f>$P$1031</f>
        <v>171</v>
      </c>
      <c r="P1017" s="767"/>
    </row>
    <row r="1018" spans="2:17" ht="15.2" customHeight="1">
      <c r="B1018" s="766" t="s">
        <v>855</v>
      </c>
      <c r="C1018" s="766"/>
      <c r="D1018" s="84"/>
      <c r="E1018" s="87"/>
      <c r="F1018" s="86"/>
      <c r="G1018" s="470"/>
      <c r="H1018" s="470">
        <f>SUM(H1009:H1017)</f>
        <v>344877</v>
      </c>
      <c r="I1018" s="470"/>
      <c r="J1018" s="470">
        <f>SUM(J1009:J1017)</f>
        <v>3070427</v>
      </c>
      <c r="K1018" s="470"/>
      <c r="L1018" s="470">
        <f>SUM(L1009:L1017)</f>
        <v>429144</v>
      </c>
      <c r="M1018" s="470"/>
      <c r="N1018" s="470">
        <f>SUM(N1009:N1017)</f>
        <v>3844448</v>
      </c>
      <c r="O1018" s="457"/>
      <c r="P1018" s="767"/>
      <c r="Q1018" s="80" t="s">
        <v>3244</v>
      </c>
    </row>
    <row r="1019" spans="2:17" ht="15.2" customHeight="1">
      <c r="B1019" s="96">
        <f>P1019</f>
        <v>170</v>
      </c>
      <c r="C1019" s="770" t="s">
        <v>1074</v>
      </c>
      <c r="D1019" s="770"/>
      <c r="E1019" s="770"/>
      <c r="F1019" s="771"/>
      <c r="G1019" s="470"/>
      <c r="H1019" s="470"/>
      <c r="I1019" s="470"/>
      <c r="J1019" s="470"/>
      <c r="K1019" s="470"/>
      <c r="L1019" s="470"/>
      <c r="M1019" s="470"/>
      <c r="N1019" s="470"/>
      <c r="O1019" s="457"/>
      <c r="P1019" s="767">
        <f>MAX($P$5:P1018)+1</f>
        <v>170</v>
      </c>
      <c r="Q1019" s="80" t="s">
        <v>3243</v>
      </c>
    </row>
    <row r="1020" spans="2:17" ht="15.2" customHeight="1">
      <c r="B1020" s="766" t="s">
        <v>1050</v>
      </c>
      <c r="C1020" s="766"/>
      <c r="D1020" s="84" t="s">
        <v>427</v>
      </c>
      <c r="E1020" s="88">
        <v>11.832000000000001</v>
      </c>
      <c r="F1020" s="86" t="s">
        <v>1193</v>
      </c>
      <c r="G1020" s="470"/>
      <c r="H1020" s="470">
        <f>TRUNC(E1020*G1020,0)</f>
        <v>0</v>
      </c>
      <c r="I1020" s="470"/>
      <c r="J1020" s="470">
        <f>TRUNC(I1020*E1020,0)</f>
        <v>0</v>
      </c>
      <c r="K1020" s="470"/>
      <c r="L1020" s="470">
        <f>TRUNC(K1020*E1020,0)</f>
        <v>0</v>
      </c>
      <c r="M1020" s="470">
        <f t="shared" ref="M1020:N1022" si="299">G1020+I1020+K1020</f>
        <v>0</v>
      </c>
      <c r="N1020" s="470">
        <f t="shared" si="299"/>
        <v>0</v>
      </c>
      <c r="O1020" s="457"/>
      <c r="P1020" s="767"/>
    </row>
    <row r="1021" spans="2:17" ht="15.2" customHeight="1">
      <c r="B1021" s="766" t="s">
        <v>455</v>
      </c>
      <c r="C1021" s="766"/>
      <c r="D1021" s="84"/>
      <c r="E1021" s="87">
        <v>0.5</v>
      </c>
      <c r="F1021" s="86" t="s">
        <v>1193</v>
      </c>
      <c r="G1021" s="470">
        <f>사급자재!$M$86</f>
        <v>360</v>
      </c>
      <c r="H1021" s="470">
        <f>TRUNC(E1021*G1021,0)</f>
        <v>180</v>
      </c>
      <c r="I1021" s="470"/>
      <c r="J1021" s="470">
        <f>TRUNC(I1021*E1021,0)</f>
        <v>0</v>
      </c>
      <c r="K1021" s="470"/>
      <c r="L1021" s="470">
        <f>TRUNC(K1021*E1021,0)</f>
        <v>0</v>
      </c>
      <c r="M1021" s="470">
        <f t="shared" si="299"/>
        <v>360</v>
      </c>
      <c r="N1021" s="470">
        <f t="shared" si="299"/>
        <v>180</v>
      </c>
      <c r="O1021" s="457"/>
      <c r="P1021" s="767"/>
    </row>
    <row r="1022" spans="2:17" ht="15.2" customHeight="1">
      <c r="B1022" s="766" t="s">
        <v>1191</v>
      </c>
      <c r="C1022" s="766"/>
      <c r="D1022" s="84"/>
      <c r="E1022" s="650">
        <v>6.66</v>
      </c>
      <c r="F1022" s="86" t="s">
        <v>1163</v>
      </c>
      <c r="G1022" s="470"/>
      <c r="H1022" s="470">
        <f>TRUNC(E1022*G1022,0)</f>
        <v>0</v>
      </c>
      <c r="I1022" s="470">
        <f>SUMIF('노임(2015)'!$B$4:$B$87,B1022,'노임(2015)'!$C$4:$C$87)+SUMIF('노임(2015)'!$E$4:$E$87,B1022,'노임(2015)'!$F$4:$F$87)</f>
        <v>126728</v>
      </c>
      <c r="J1022" s="470">
        <f>TRUNC(I1022*E1022,0)</f>
        <v>844008</v>
      </c>
      <c r="K1022" s="470"/>
      <c r="L1022" s="470">
        <f>TRUNC(K1022*E1022,0)</f>
        <v>0</v>
      </c>
      <c r="M1022" s="470">
        <f t="shared" si="299"/>
        <v>126728</v>
      </c>
      <c r="N1022" s="470">
        <f t="shared" si="299"/>
        <v>844008</v>
      </c>
      <c r="O1022" s="457"/>
      <c r="P1022" s="767"/>
    </row>
    <row r="1023" spans="2:17" ht="15.2" customHeight="1">
      <c r="B1023" s="768" t="s">
        <v>1165</v>
      </c>
      <c r="C1023" s="769"/>
      <c r="D1023" s="84"/>
      <c r="E1023" s="650">
        <v>3.33</v>
      </c>
      <c r="F1023" s="86" t="s">
        <v>1163</v>
      </c>
      <c r="G1023" s="470"/>
      <c r="H1023" s="470"/>
      <c r="I1023" s="470">
        <f>SUMIF('노임(2015)'!$B$4:$B$87,B1023,'노임(2015)'!$C$4:$C$87)+SUMIF('노임(2015)'!$E$4:$E$87,B1023,'노임(2015)'!$F$4:$F$87)</f>
        <v>111771</v>
      </c>
      <c r="J1023" s="470"/>
      <c r="K1023" s="470"/>
      <c r="L1023" s="470"/>
      <c r="M1023" s="470"/>
      <c r="N1023" s="470"/>
      <c r="O1023" s="457"/>
      <c r="P1023" s="767"/>
    </row>
    <row r="1024" spans="2:17" ht="15.2" customHeight="1">
      <c r="B1024" s="766" t="s">
        <v>1162</v>
      </c>
      <c r="C1024" s="766"/>
      <c r="D1024" s="84" t="s">
        <v>1073</v>
      </c>
      <c r="E1024" s="85">
        <v>10</v>
      </c>
      <c r="F1024" s="86" t="s">
        <v>1163</v>
      </c>
      <c r="G1024" s="470"/>
      <c r="H1024" s="470">
        <f t="shared" ref="H1024:H1029" si="300">TRUNC(E1024*G1024,0)</f>
        <v>0</v>
      </c>
      <c r="I1024" s="470">
        <f>SUMIF('노임(2015)'!$B$4:$B$87,B1024,'노임(2015)'!$C$4:$C$87)+SUMIF('노임(2015)'!$E$4:$E$87,B1024,'노임(2015)'!$F$4:$F$87)</f>
        <v>89566</v>
      </c>
      <c r="J1024" s="470">
        <f t="shared" ref="J1024:J1029" si="301">TRUNC(I1024*E1024,0)</f>
        <v>895660</v>
      </c>
      <c r="K1024" s="470"/>
      <c r="L1024" s="470">
        <f t="shared" ref="L1024:L1029" si="302">TRUNC(K1024*E1024,0)</f>
        <v>0</v>
      </c>
      <c r="M1024" s="470">
        <f t="shared" ref="M1024:N1029" si="303">G1024+I1024+K1024</f>
        <v>89566</v>
      </c>
      <c r="N1024" s="470">
        <f t="shared" si="303"/>
        <v>895660</v>
      </c>
      <c r="O1024" s="457"/>
      <c r="P1024" s="767"/>
    </row>
    <row r="1025" spans="2:17" ht="15.2" customHeight="1">
      <c r="B1025" s="766" t="s">
        <v>430</v>
      </c>
      <c r="C1025" s="766"/>
      <c r="D1025" s="84" t="s">
        <v>1586</v>
      </c>
      <c r="E1025" s="89">
        <v>26.66</v>
      </c>
      <c r="F1025" s="86" t="s">
        <v>453</v>
      </c>
      <c r="G1025" s="470">
        <f>중기사용료!$M$815</f>
        <v>1589</v>
      </c>
      <c r="H1025" s="470">
        <f t="shared" si="300"/>
        <v>42362</v>
      </c>
      <c r="I1025" s="470">
        <f>중기사용료!$M$809</f>
        <v>18939</v>
      </c>
      <c r="J1025" s="470">
        <f t="shared" si="301"/>
        <v>504913</v>
      </c>
      <c r="K1025" s="470">
        <f>중기사용료!$M$803</f>
        <v>555</v>
      </c>
      <c r="L1025" s="470">
        <f t="shared" si="302"/>
        <v>14796</v>
      </c>
      <c r="M1025" s="470">
        <f t="shared" si="303"/>
        <v>21083</v>
      </c>
      <c r="N1025" s="470">
        <f t="shared" si="303"/>
        <v>562071</v>
      </c>
      <c r="O1025" s="460">
        <f>중기사용료!$A$800</f>
        <v>43</v>
      </c>
      <c r="P1025" s="767"/>
    </row>
    <row r="1026" spans="2:17" ht="15.2" customHeight="1">
      <c r="B1026" s="766" t="s">
        <v>1803</v>
      </c>
      <c r="C1026" s="766"/>
      <c r="D1026" s="84" t="s">
        <v>1390</v>
      </c>
      <c r="E1026" s="89">
        <v>26.66</v>
      </c>
      <c r="F1026" s="86" t="s">
        <v>453</v>
      </c>
      <c r="G1026" s="470">
        <f>중기사용료!$M$720</f>
        <v>2897</v>
      </c>
      <c r="H1026" s="470">
        <f t="shared" si="300"/>
        <v>77234</v>
      </c>
      <c r="I1026" s="470">
        <f>중기사용료!$M$714</f>
        <v>27168</v>
      </c>
      <c r="J1026" s="470">
        <f t="shared" si="301"/>
        <v>724298</v>
      </c>
      <c r="K1026" s="470">
        <f>중기사용료!$M$708</f>
        <v>4062</v>
      </c>
      <c r="L1026" s="470">
        <f t="shared" si="302"/>
        <v>108292</v>
      </c>
      <c r="M1026" s="470">
        <f t="shared" si="303"/>
        <v>34127</v>
      </c>
      <c r="N1026" s="470">
        <f t="shared" si="303"/>
        <v>909824</v>
      </c>
      <c r="O1026" s="460">
        <f>중기사용료!$A$705</f>
        <v>38</v>
      </c>
      <c r="P1026" s="767"/>
    </row>
    <row r="1027" spans="2:17" ht="15.2" customHeight="1">
      <c r="B1027" s="766" t="s">
        <v>1075</v>
      </c>
      <c r="C1027" s="766"/>
      <c r="D1027" s="84" t="s">
        <v>3665</v>
      </c>
      <c r="E1027" s="89">
        <v>26.66</v>
      </c>
      <c r="F1027" s="86" t="s">
        <v>453</v>
      </c>
      <c r="G1027" s="470">
        <f>중기사용료!$M$93+중기사용료!$M$302</f>
        <v>6745</v>
      </c>
      <c r="H1027" s="470">
        <f t="shared" si="300"/>
        <v>179821</v>
      </c>
      <c r="I1027" s="470">
        <f>중기사용료!$M$296+중기사용료!$M$87</f>
        <v>27168</v>
      </c>
      <c r="J1027" s="470">
        <f t="shared" si="301"/>
        <v>724298</v>
      </c>
      <c r="K1027" s="470">
        <f>중기사용료!$M$81+중기사용료!$M$290</f>
        <v>13406</v>
      </c>
      <c r="L1027" s="470">
        <f t="shared" si="302"/>
        <v>357403</v>
      </c>
      <c r="M1027" s="470">
        <f t="shared" si="303"/>
        <v>47319</v>
      </c>
      <c r="N1027" s="470">
        <f t="shared" si="303"/>
        <v>1261522</v>
      </c>
      <c r="O1027" s="460">
        <f>중기사용료!$A$78</f>
        <v>5</v>
      </c>
      <c r="P1027" s="767"/>
    </row>
    <row r="1028" spans="2:17" ht="15.2" customHeight="1">
      <c r="B1028" s="766" t="s">
        <v>1804</v>
      </c>
      <c r="C1028" s="766"/>
      <c r="D1028" s="84" t="s">
        <v>1028</v>
      </c>
      <c r="E1028" s="89">
        <v>26.66</v>
      </c>
      <c r="F1028" s="86" t="s">
        <v>453</v>
      </c>
      <c r="G1028" s="470">
        <f>중기사용료!$M$1290</f>
        <v>8899</v>
      </c>
      <c r="H1028" s="470">
        <f t="shared" si="300"/>
        <v>237247</v>
      </c>
      <c r="I1028" s="470">
        <f>중기사용료!$M$1284</f>
        <v>18939</v>
      </c>
      <c r="J1028" s="470">
        <f t="shared" si="301"/>
        <v>504913</v>
      </c>
      <c r="K1028" s="470">
        <f>중기사용료!$M$1278</f>
        <v>1460</v>
      </c>
      <c r="L1028" s="470">
        <f t="shared" si="302"/>
        <v>38923</v>
      </c>
      <c r="M1028" s="470">
        <f t="shared" si="303"/>
        <v>29298</v>
      </c>
      <c r="N1028" s="470">
        <f t="shared" si="303"/>
        <v>781083</v>
      </c>
      <c r="O1028" s="460">
        <f>중기사용료!$A$1275</f>
        <v>68</v>
      </c>
      <c r="P1028" s="767"/>
    </row>
    <row r="1029" spans="2:17" ht="15.2" customHeight="1">
      <c r="B1029" s="766" t="s">
        <v>2224</v>
      </c>
      <c r="C1029" s="766"/>
      <c r="D1029" s="84"/>
      <c r="E1029" s="85">
        <v>1</v>
      </c>
      <c r="F1029" s="86" t="s">
        <v>933</v>
      </c>
      <c r="G1029" s="470">
        <f>$H$1034</f>
        <v>210</v>
      </c>
      <c r="H1029" s="470">
        <f t="shared" si="300"/>
        <v>210</v>
      </c>
      <c r="I1029" s="470">
        <f>$J$1034</f>
        <v>8956</v>
      </c>
      <c r="J1029" s="470">
        <f t="shared" si="301"/>
        <v>8956</v>
      </c>
      <c r="K1029" s="470">
        <f>$L$1034</f>
        <v>0</v>
      </c>
      <c r="L1029" s="470">
        <f t="shared" si="302"/>
        <v>0</v>
      </c>
      <c r="M1029" s="470">
        <f t="shared" si="303"/>
        <v>9166</v>
      </c>
      <c r="N1029" s="470">
        <f t="shared" si="303"/>
        <v>9166</v>
      </c>
      <c r="O1029" s="462">
        <f>$P$1031</f>
        <v>171</v>
      </c>
      <c r="P1029" s="767"/>
    </row>
    <row r="1030" spans="2:17" ht="15.2" customHeight="1">
      <c r="B1030" s="766" t="s">
        <v>855</v>
      </c>
      <c r="C1030" s="766"/>
      <c r="D1030" s="84"/>
      <c r="E1030" s="87"/>
      <c r="F1030" s="86"/>
      <c r="G1030" s="470"/>
      <c r="H1030" s="470">
        <f>SUM(H1020:H1029)</f>
        <v>537054</v>
      </c>
      <c r="I1030" s="470"/>
      <c r="J1030" s="470">
        <f>SUM(J1020:J1029)</f>
        <v>4207046</v>
      </c>
      <c r="K1030" s="470"/>
      <c r="L1030" s="470">
        <f>SUM(L1020:L1029)</f>
        <v>519414</v>
      </c>
      <c r="M1030" s="470"/>
      <c r="N1030" s="470">
        <f>SUM(N1020:N1029)</f>
        <v>5263514</v>
      </c>
      <c r="O1030" s="457"/>
      <c r="P1030" s="767"/>
      <c r="Q1030" s="80" t="s">
        <v>3244</v>
      </c>
    </row>
    <row r="1031" spans="2:17" ht="15.2" customHeight="1">
      <c r="B1031" s="96">
        <f>P1031</f>
        <v>171</v>
      </c>
      <c r="C1031" s="770" t="s">
        <v>1076</v>
      </c>
      <c r="D1031" s="770"/>
      <c r="E1031" s="770"/>
      <c r="F1031" s="771"/>
      <c r="G1031" s="470"/>
      <c r="H1031" s="470"/>
      <c r="I1031" s="470"/>
      <c r="J1031" s="470"/>
      <c r="K1031" s="470"/>
      <c r="L1031" s="470"/>
      <c r="M1031" s="470"/>
      <c r="N1031" s="470"/>
      <c r="O1031" s="457"/>
      <c r="P1031" s="767">
        <f>MAX($P$5:P1030)+1</f>
        <v>171</v>
      </c>
      <c r="Q1031" s="80" t="s">
        <v>3243</v>
      </c>
    </row>
    <row r="1032" spans="2:17" ht="15.2" customHeight="1">
      <c r="B1032" s="766" t="s">
        <v>431</v>
      </c>
      <c r="C1032" s="766"/>
      <c r="D1032" s="84"/>
      <c r="E1032" s="87">
        <v>0.1</v>
      </c>
      <c r="F1032" s="86" t="s">
        <v>1161</v>
      </c>
      <c r="G1032" s="470">
        <f>사급자재!$M$85</f>
        <v>2100</v>
      </c>
      <c r="H1032" s="470">
        <f>TRUNC(E1032*G1032,0)</f>
        <v>210</v>
      </c>
      <c r="I1032" s="470"/>
      <c r="J1032" s="470">
        <f>TRUNC(I1032*E1032,0)</f>
        <v>0</v>
      </c>
      <c r="K1032" s="470"/>
      <c r="L1032" s="470">
        <f>TRUNC(K1032*E1032,0)</f>
        <v>0</v>
      </c>
      <c r="M1032" s="470">
        <f>G1032+I1032+K1032</f>
        <v>2100</v>
      </c>
      <c r="N1032" s="470">
        <f>H1032+J1032+L1032</f>
        <v>210</v>
      </c>
      <c r="O1032" s="457"/>
      <c r="P1032" s="767"/>
    </row>
    <row r="1033" spans="2:17" ht="15.2" customHeight="1">
      <c r="B1033" s="766" t="s">
        <v>1162</v>
      </c>
      <c r="C1033" s="766"/>
      <c r="D1033" s="84"/>
      <c r="E1033" s="87">
        <v>0.1</v>
      </c>
      <c r="F1033" s="86" t="s">
        <v>1163</v>
      </c>
      <c r="G1033" s="470"/>
      <c r="H1033" s="470">
        <f>TRUNC(E1033*G1033,0)</f>
        <v>0</v>
      </c>
      <c r="I1033" s="470">
        <f>SUMIF('노임(2015)'!$B$4:$B$87,B1033,'노임(2015)'!$C$4:$C$87)+SUMIF('노임(2015)'!$E$4:$E$87,B1033,'노임(2015)'!$F$4:$F$87)</f>
        <v>89566</v>
      </c>
      <c r="J1033" s="470">
        <f>TRUNC(I1033*E1033,0)</f>
        <v>8956</v>
      </c>
      <c r="K1033" s="470"/>
      <c r="L1033" s="470">
        <f>TRUNC(K1033*E1033,0)</f>
        <v>0</v>
      </c>
      <c r="M1033" s="470">
        <f>G1033+I1033+K1033</f>
        <v>89566</v>
      </c>
      <c r="N1033" s="470">
        <f>H1033+J1033+L1033</f>
        <v>8956</v>
      </c>
      <c r="O1033" s="457"/>
      <c r="P1033" s="767"/>
    </row>
    <row r="1034" spans="2:17" ht="15.2" customHeight="1">
      <c r="B1034" s="766" t="s">
        <v>855</v>
      </c>
      <c r="C1034" s="766"/>
      <c r="D1034" s="84"/>
      <c r="E1034" s="87"/>
      <c r="F1034" s="86"/>
      <c r="G1034" s="470"/>
      <c r="H1034" s="470">
        <f>SUM(H1032:H1033)</f>
        <v>210</v>
      </c>
      <c r="I1034" s="470"/>
      <c r="J1034" s="470">
        <f>SUM(J1032:J1033)</f>
        <v>8956</v>
      </c>
      <c r="K1034" s="470"/>
      <c r="L1034" s="470">
        <f>SUM(L1032:L1033)</f>
        <v>0</v>
      </c>
      <c r="M1034" s="470"/>
      <c r="N1034" s="470">
        <f>SUM(N1032:N1033)</f>
        <v>9166</v>
      </c>
      <c r="O1034" s="457"/>
      <c r="P1034" s="767"/>
      <c r="Q1034" s="80" t="s">
        <v>3244</v>
      </c>
    </row>
    <row r="1035" spans="2:17" ht="15.2" customHeight="1">
      <c r="B1035" s="96">
        <f>P1035</f>
        <v>172</v>
      </c>
      <c r="C1035" s="770" t="s">
        <v>1077</v>
      </c>
      <c r="D1035" s="770"/>
      <c r="E1035" s="770"/>
      <c r="F1035" s="771"/>
      <c r="G1035" s="470"/>
      <c r="H1035" s="470"/>
      <c r="I1035" s="470"/>
      <c r="J1035" s="470"/>
      <c r="K1035" s="470"/>
      <c r="L1035" s="470"/>
      <c r="M1035" s="470"/>
      <c r="N1035" s="470"/>
      <c r="O1035" s="457"/>
      <c r="P1035" s="767">
        <f>MAX($P$5:P1034)+1</f>
        <v>172</v>
      </c>
      <c r="Q1035" s="80" t="s">
        <v>3243</v>
      </c>
    </row>
    <row r="1036" spans="2:17" ht="15.2" customHeight="1">
      <c r="B1036" s="766" t="s">
        <v>432</v>
      </c>
      <c r="C1036" s="766"/>
      <c r="D1036" s="84"/>
      <c r="E1036" s="87">
        <v>4</v>
      </c>
      <c r="F1036" s="86" t="s">
        <v>1190</v>
      </c>
      <c r="G1036" s="470">
        <f>$H$328</f>
        <v>670</v>
      </c>
      <c r="H1036" s="470">
        <f>TRUNC(E1036*G1036,0)</f>
        <v>2680</v>
      </c>
      <c r="I1036" s="470">
        <f>$J$328</f>
        <v>724</v>
      </c>
      <c r="J1036" s="470">
        <f>TRUNC(I1036*E1036,0)</f>
        <v>2896</v>
      </c>
      <c r="K1036" s="470">
        <f>$L$328</f>
        <v>19</v>
      </c>
      <c r="L1036" s="470">
        <f>TRUNC(K1036*E1036,0)</f>
        <v>76</v>
      </c>
      <c r="M1036" s="470">
        <f t="shared" ref="M1036:N1040" si="304">G1036+I1036+K1036</f>
        <v>1413</v>
      </c>
      <c r="N1036" s="470">
        <f t="shared" si="304"/>
        <v>5652</v>
      </c>
      <c r="O1036" s="462">
        <f>$P$322</f>
        <v>48</v>
      </c>
      <c r="P1036" s="767"/>
    </row>
    <row r="1037" spans="2:17" ht="15.2" customHeight="1">
      <c r="B1037" s="766" t="s">
        <v>1194</v>
      </c>
      <c r="C1037" s="766"/>
      <c r="D1037" s="84" t="s">
        <v>433</v>
      </c>
      <c r="E1037" s="88">
        <v>1.4999999999999999E-2</v>
      </c>
      <c r="F1037" s="86" t="s">
        <v>301</v>
      </c>
      <c r="G1037" s="470">
        <f>$H$406</f>
        <v>2979</v>
      </c>
      <c r="H1037" s="470">
        <f>TRUNC(E1037*G1037,0)</f>
        <v>44</v>
      </c>
      <c r="I1037" s="470">
        <f>$J$406</f>
        <v>57479</v>
      </c>
      <c r="J1037" s="470">
        <f>TRUNC(I1037*E1037,0)</f>
        <v>862</v>
      </c>
      <c r="K1037" s="470">
        <f>$L$406</f>
        <v>1138</v>
      </c>
      <c r="L1037" s="470">
        <f>TRUNC(K1037*E1037,0)</f>
        <v>17</v>
      </c>
      <c r="M1037" s="470">
        <f t="shared" si="304"/>
        <v>61596</v>
      </c>
      <c r="N1037" s="470">
        <f t="shared" si="304"/>
        <v>923</v>
      </c>
      <c r="O1037" s="462">
        <f>$P$400</f>
        <v>65</v>
      </c>
      <c r="P1037" s="767"/>
    </row>
    <row r="1038" spans="2:17" ht="15.2" customHeight="1">
      <c r="B1038" s="766" t="s">
        <v>434</v>
      </c>
      <c r="C1038" s="766"/>
      <c r="D1038" s="84" t="s">
        <v>968</v>
      </c>
      <c r="E1038" s="97">
        <v>4.1399999999999999E-2</v>
      </c>
      <c r="F1038" s="86" t="s">
        <v>1530</v>
      </c>
      <c r="G1038" s="470">
        <f>$H$934</f>
        <v>42965</v>
      </c>
      <c r="H1038" s="470">
        <f>TRUNC(E1038*G1038,0)</f>
        <v>1778</v>
      </c>
      <c r="I1038" s="470">
        <f>$J$934</f>
        <v>335167</v>
      </c>
      <c r="J1038" s="470">
        <f>TRUNC(I1038*E1038,0)</f>
        <v>13875</v>
      </c>
      <c r="K1038" s="470">
        <f>$L$934</f>
        <v>30289</v>
      </c>
      <c r="L1038" s="470">
        <f>TRUNC(K1038*E1038,0)</f>
        <v>1253</v>
      </c>
      <c r="M1038" s="470">
        <f t="shared" si="304"/>
        <v>408421</v>
      </c>
      <c r="N1038" s="470">
        <f t="shared" si="304"/>
        <v>16906</v>
      </c>
      <c r="O1038" s="462">
        <f>$P$1042</f>
        <v>173</v>
      </c>
      <c r="P1038" s="767"/>
    </row>
    <row r="1039" spans="2:17" ht="15.2" customHeight="1">
      <c r="B1039" s="766" t="s">
        <v>1078</v>
      </c>
      <c r="C1039" s="766"/>
      <c r="D1039" s="84" t="s">
        <v>1079</v>
      </c>
      <c r="E1039" s="87">
        <v>3.6</v>
      </c>
      <c r="F1039" s="86" t="s">
        <v>1352</v>
      </c>
      <c r="G1039" s="470">
        <f>$H$1055</f>
        <v>1817</v>
      </c>
      <c r="H1039" s="470">
        <f>TRUNC(E1039*G1039,0)</f>
        <v>6541</v>
      </c>
      <c r="I1039" s="470">
        <f>$J$1055</f>
        <v>602</v>
      </c>
      <c r="J1039" s="470">
        <f>TRUNC(I1039*E1039,0)</f>
        <v>2167</v>
      </c>
      <c r="K1039" s="470">
        <f>$L$1055</f>
        <v>37</v>
      </c>
      <c r="L1039" s="470">
        <f>TRUNC(K1039*E1039,0)</f>
        <v>133</v>
      </c>
      <c r="M1039" s="470">
        <f>G1039+I1039+K1039</f>
        <v>2456</v>
      </c>
      <c r="N1039" s="470">
        <f>H1039+J1039+L1039</f>
        <v>8841</v>
      </c>
      <c r="O1039" s="462">
        <f>$P$1055</f>
        <v>0</v>
      </c>
      <c r="P1039" s="767"/>
    </row>
    <row r="1040" spans="2:17" ht="15.2" customHeight="1">
      <c r="B1040" s="766" t="s">
        <v>435</v>
      </c>
      <c r="C1040" s="766"/>
      <c r="D1040" s="84" t="s">
        <v>1080</v>
      </c>
      <c r="E1040" s="88">
        <v>1.4999999999999999E-2</v>
      </c>
      <c r="F1040" s="86" t="s">
        <v>933</v>
      </c>
      <c r="G1040" s="470">
        <f>$G$566</f>
        <v>0</v>
      </c>
      <c r="H1040" s="470">
        <f>TRUNC(E1040*G1040,0)</f>
        <v>0</v>
      </c>
      <c r="I1040" s="470">
        <f>$I$566</f>
        <v>0</v>
      </c>
      <c r="J1040" s="470">
        <f>TRUNC(I1040*E1040,0)</f>
        <v>0</v>
      </c>
      <c r="K1040" s="470">
        <f>$L$566</f>
        <v>2200</v>
      </c>
      <c r="L1040" s="470">
        <f>TRUNC(K1040*E1040,0)</f>
        <v>33</v>
      </c>
      <c r="M1040" s="470">
        <f t="shared" si="304"/>
        <v>2200</v>
      </c>
      <c r="N1040" s="470">
        <f t="shared" si="304"/>
        <v>33</v>
      </c>
      <c r="O1040" s="459">
        <f>$G$566</f>
        <v>0</v>
      </c>
      <c r="P1040" s="767"/>
    </row>
    <row r="1041" spans="2:17" ht="15.2" customHeight="1">
      <c r="B1041" s="766" t="s">
        <v>855</v>
      </c>
      <c r="C1041" s="766"/>
      <c r="D1041" s="84"/>
      <c r="E1041" s="87"/>
      <c r="F1041" s="86"/>
      <c r="G1041" s="470"/>
      <c r="H1041" s="470">
        <f>SUM(H1036:H1040)</f>
        <v>11043</v>
      </c>
      <c r="I1041" s="470"/>
      <c r="J1041" s="470">
        <f>SUM(J1036:J1040)</f>
        <v>19800</v>
      </c>
      <c r="K1041" s="470"/>
      <c r="L1041" s="470">
        <f>SUM(L1036:L1040)</f>
        <v>1512</v>
      </c>
      <c r="M1041" s="470"/>
      <c r="N1041" s="470">
        <f>SUM(N1036:N1040)</f>
        <v>32355</v>
      </c>
      <c r="O1041" s="457"/>
      <c r="P1041" s="767"/>
      <c r="Q1041" s="80" t="s">
        <v>3244</v>
      </c>
    </row>
    <row r="1042" spans="2:17" ht="15.2" customHeight="1">
      <c r="B1042" s="96">
        <f>P1042</f>
        <v>173</v>
      </c>
      <c r="C1042" s="770" t="s">
        <v>3987</v>
      </c>
      <c r="D1042" s="770"/>
      <c r="E1042" s="770"/>
      <c r="F1042" s="771"/>
      <c r="G1042" s="470"/>
      <c r="H1042" s="470"/>
      <c r="I1042" s="470"/>
      <c r="J1042" s="470"/>
      <c r="K1042" s="470"/>
      <c r="L1042" s="470"/>
      <c r="M1042" s="470"/>
      <c r="N1042" s="470"/>
      <c r="O1042" s="457"/>
      <c r="P1042" s="767">
        <f>MAX($P$5:P1041)+1</f>
        <v>173</v>
      </c>
      <c r="Q1042" s="80" t="s">
        <v>3638</v>
      </c>
    </row>
    <row r="1043" spans="2:17" ht="15.2" customHeight="1">
      <c r="B1043" s="768" t="s">
        <v>3613</v>
      </c>
      <c r="C1043" s="769"/>
      <c r="D1043" s="84" t="s">
        <v>3614</v>
      </c>
      <c r="E1043" s="97">
        <v>0.67949999999999999</v>
      </c>
      <c r="F1043" s="86" t="s">
        <v>3615</v>
      </c>
      <c r="G1043" s="470">
        <f>사급자재!$M$57</f>
        <v>2269</v>
      </c>
      <c r="H1043" s="470">
        <f t="shared" ref="H1043:H1054" si="305">TRUNC(E1043*G1043,0)</f>
        <v>1541</v>
      </c>
      <c r="I1043" s="470"/>
      <c r="J1043" s="470">
        <f t="shared" ref="J1043:J1054" si="306">TRUNC(I1043*E1043,0)</f>
        <v>0</v>
      </c>
      <c r="K1043" s="470"/>
      <c r="L1043" s="470">
        <f t="shared" ref="L1043:L1054" si="307">TRUNC(K1043*E1043,0)</f>
        <v>0</v>
      </c>
      <c r="M1043" s="470">
        <f t="shared" ref="M1043:N1054" si="308">G1043+I1043+K1043</f>
        <v>2269</v>
      </c>
      <c r="N1043" s="470">
        <f t="shared" si="308"/>
        <v>1541</v>
      </c>
      <c r="O1043" s="457"/>
      <c r="P1043" s="767"/>
    </row>
    <row r="1044" spans="2:17" ht="15.2" customHeight="1">
      <c r="B1044" s="768" t="s">
        <v>3616</v>
      </c>
      <c r="C1044" s="769"/>
      <c r="D1044" s="84" t="s">
        <v>3617</v>
      </c>
      <c r="E1044" s="87">
        <v>0.03</v>
      </c>
      <c r="F1044" s="86" t="s">
        <v>3615</v>
      </c>
      <c r="G1044" s="470">
        <f>사급자재!$M$59</f>
        <v>1600</v>
      </c>
      <c r="H1044" s="470">
        <f t="shared" si="305"/>
        <v>48</v>
      </c>
      <c r="I1044" s="470"/>
      <c r="J1044" s="470">
        <f t="shared" si="306"/>
        <v>0</v>
      </c>
      <c r="K1044" s="470"/>
      <c r="L1044" s="470">
        <f t="shared" si="307"/>
        <v>0</v>
      </c>
      <c r="M1044" s="470">
        <f t="shared" si="308"/>
        <v>1600</v>
      </c>
      <c r="N1044" s="470">
        <f t="shared" si="308"/>
        <v>48</v>
      </c>
      <c r="O1044" s="457"/>
      <c r="P1044" s="767"/>
    </row>
    <row r="1045" spans="2:17" ht="15.2" customHeight="1">
      <c r="B1045" s="768" t="s">
        <v>3618</v>
      </c>
      <c r="C1045" s="769"/>
      <c r="D1045" s="84" t="s">
        <v>3619</v>
      </c>
      <c r="E1045" s="87">
        <v>0.03</v>
      </c>
      <c r="F1045" s="86" t="s">
        <v>3615</v>
      </c>
      <c r="G1045" s="470">
        <f>사급자재!$M$84</f>
        <v>3870</v>
      </c>
      <c r="H1045" s="470">
        <f t="shared" si="305"/>
        <v>116</v>
      </c>
      <c r="I1045" s="470"/>
      <c r="J1045" s="470">
        <f t="shared" si="306"/>
        <v>0</v>
      </c>
      <c r="K1045" s="470"/>
      <c r="L1045" s="470">
        <f t="shared" si="307"/>
        <v>0</v>
      </c>
      <c r="M1045" s="470">
        <f t="shared" si="308"/>
        <v>3870</v>
      </c>
      <c r="N1045" s="470">
        <f t="shared" si="308"/>
        <v>116</v>
      </c>
      <c r="O1045" s="457"/>
      <c r="P1045" s="767"/>
    </row>
    <row r="1046" spans="2:17" ht="15.2" customHeight="1">
      <c r="B1046" s="768" t="s">
        <v>3620</v>
      </c>
      <c r="C1046" s="769"/>
      <c r="D1046" s="84" t="s">
        <v>3621</v>
      </c>
      <c r="E1046" s="87">
        <v>0.03</v>
      </c>
      <c r="F1046" s="86" t="s">
        <v>3615</v>
      </c>
      <c r="G1046" s="470">
        <f>사급자재!$M$190</f>
        <v>1138</v>
      </c>
      <c r="H1046" s="470">
        <f t="shared" si="305"/>
        <v>34</v>
      </c>
      <c r="I1046" s="470"/>
      <c r="J1046" s="470">
        <f t="shared" si="306"/>
        <v>0</v>
      </c>
      <c r="K1046" s="470"/>
      <c r="L1046" s="470">
        <f t="shared" si="307"/>
        <v>0</v>
      </c>
      <c r="M1046" s="470">
        <f t="shared" si="308"/>
        <v>1138</v>
      </c>
      <c r="N1046" s="470">
        <f t="shared" si="308"/>
        <v>34</v>
      </c>
      <c r="O1046" s="457"/>
      <c r="P1046" s="767"/>
    </row>
    <row r="1047" spans="2:17" ht="15.2" customHeight="1">
      <c r="B1047" s="768" t="s">
        <v>3622</v>
      </c>
      <c r="C1047" s="769"/>
      <c r="D1047" s="84" t="s">
        <v>3623</v>
      </c>
      <c r="E1047" s="87">
        <v>0.05</v>
      </c>
      <c r="F1047" s="86" t="s">
        <v>3624</v>
      </c>
      <c r="G1047" s="470">
        <f>$J$1048+$J$1049</f>
        <v>375</v>
      </c>
      <c r="H1047" s="470">
        <f t="shared" si="305"/>
        <v>18</v>
      </c>
      <c r="I1047" s="470"/>
      <c r="J1047" s="470">
        <f t="shared" si="306"/>
        <v>0</v>
      </c>
      <c r="K1047" s="470"/>
      <c r="L1047" s="470">
        <f t="shared" si="307"/>
        <v>0</v>
      </c>
      <c r="M1047" s="470">
        <f t="shared" si="308"/>
        <v>375</v>
      </c>
      <c r="N1047" s="470">
        <f t="shared" si="308"/>
        <v>18</v>
      </c>
      <c r="O1047" s="457"/>
      <c r="P1047" s="767"/>
    </row>
    <row r="1048" spans="2:17" ht="15.2" customHeight="1">
      <c r="B1048" s="768" t="s">
        <v>3625</v>
      </c>
      <c r="C1048" s="769"/>
      <c r="D1048" s="84" t="s">
        <v>3626</v>
      </c>
      <c r="E1048" s="97">
        <v>8.0000000000000004E-4</v>
      </c>
      <c r="F1048" s="86" t="s">
        <v>3627</v>
      </c>
      <c r="G1048" s="470"/>
      <c r="H1048" s="470">
        <f t="shared" si="305"/>
        <v>0</v>
      </c>
      <c r="I1048" s="470">
        <f>SUMIF('노임(2015)'!$B$4:$B$87,B1048,'노임(2015)'!$C$4:$C$87)+SUMIF('노임(2015)'!$E$4:$E$87,B1048,'노임(2015)'!$F$4:$F$87)</f>
        <v>111771</v>
      </c>
      <c r="J1048" s="470">
        <f t="shared" si="306"/>
        <v>89</v>
      </c>
      <c r="K1048" s="470"/>
      <c r="L1048" s="470">
        <f t="shared" si="307"/>
        <v>0</v>
      </c>
      <c r="M1048" s="470">
        <f t="shared" si="308"/>
        <v>111771</v>
      </c>
      <c r="N1048" s="470">
        <f t="shared" si="308"/>
        <v>89</v>
      </c>
      <c r="O1048" s="457"/>
      <c r="P1048" s="767"/>
    </row>
    <row r="1049" spans="2:17" ht="15.2" customHeight="1">
      <c r="B1049" s="768" t="s">
        <v>3628</v>
      </c>
      <c r="C1049" s="769"/>
      <c r="D1049" s="84" t="s">
        <v>3626</v>
      </c>
      <c r="E1049" s="97">
        <v>3.2000000000000002E-3</v>
      </c>
      <c r="F1049" s="86" t="s">
        <v>3627</v>
      </c>
      <c r="G1049" s="470"/>
      <c r="H1049" s="470">
        <f t="shared" si="305"/>
        <v>0</v>
      </c>
      <c r="I1049" s="470">
        <f>SUMIF('노임(2015)'!$B$4:$B$87,B1049,'노임(2015)'!$C$4:$C$87)+SUMIF('노임(2015)'!$E$4:$E$87,B1049,'노임(2015)'!$F$4:$F$87)</f>
        <v>89566</v>
      </c>
      <c r="J1049" s="470">
        <f t="shared" si="306"/>
        <v>286</v>
      </c>
      <c r="K1049" s="470"/>
      <c r="L1049" s="470">
        <f t="shared" si="307"/>
        <v>0</v>
      </c>
      <c r="M1049" s="470">
        <f t="shared" si="308"/>
        <v>89566</v>
      </c>
      <c r="N1049" s="470">
        <f t="shared" si="308"/>
        <v>286</v>
      </c>
      <c r="O1049" s="457"/>
      <c r="P1049" s="767"/>
    </row>
    <row r="1050" spans="2:17" ht="15.2" customHeight="1">
      <c r="B1050" s="768" t="s">
        <v>3628</v>
      </c>
      <c r="C1050" s="769"/>
      <c r="D1050" s="84" t="s">
        <v>3629</v>
      </c>
      <c r="E1050" s="97">
        <v>8.0000000000000004E-4</v>
      </c>
      <c r="F1050" s="86" t="s">
        <v>3627</v>
      </c>
      <c r="G1050" s="470"/>
      <c r="H1050" s="470">
        <f t="shared" si="305"/>
        <v>0</v>
      </c>
      <c r="I1050" s="470">
        <f>SUMIF('노임(2015)'!$B$4:$B$87,B1050,'노임(2015)'!$C$4:$C$87)+SUMIF('노임(2015)'!$E$4:$E$87,B1050,'노임(2015)'!$F$4:$F$87)</f>
        <v>89566</v>
      </c>
      <c r="J1050" s="470">
        <f t="shared" si="306"/>
        <v>71</v>
      </c>
      <c r="K1050" s="470"/>
      <c r="L1050" s="470">
        <f t="shared" si="307"/>
        <v>0</v>
      </c>
      <c r="M1050" s="470">
        <f t="shared" si="308"/>
        <v>89566</v>
      </c>
      <c r="N1050" s="470">
        <f t="shared" si="308"/>
        <v>71</v>
      </c>
      <c r="O1050" s="457"/>
      <c r="P1050" s="767"/>
    </row>
    <row r="1051" spans="2:17" ht="15.2" customHeight="1">
      <c r="B1051" s="768" t="s">
        <v>3630</v>
      </c>
      <c r="C1051" s="769"/>
      <c r="D1051" s="84" t="s">
        <v>3792</v>
      </c>
      <c r="E1051" s="97">
        <v>0</v>
      </c>
      <c r="F1051" s="86" t="s">
        <v>3631</v>
      </c>
      <c r="G1051" s="470">
        <f>중기사용료!$M$1632</f>
        <v>24001</v>
      </c>
      <c r="H1051" s="470">
        <f t="shared" si="305"/>
        <v>0</v>
      </c>
      <c r="I1051" s="470">
        <f>중기사용료!$M$1626</f>
        <v>18939</v>
      </c>
      <c r="J1051" s="470">
        <f t="shared" si="306"/>
        <v>0</v>
      </c>
      <c r="K1051" s="470">
        <f>중기사용료!$M$1620</f>
        <v>12521</v>
      </c>
      <c r="L1051" s="470">
        <f t="shared" si="307"/>
        <v>0</v>
      </c>
      <c r="M1051" s="470">
        <f t="shared" si="308"/>
        <v>55461</v>
      </c>
      <c r="N1051" s="470">
        <f t="shared" si="308"/>
        <v>0</v>
      </c>
      <c r="O1051" s="460">
        <f>중기사용료!$A$1617</f>
        <v>86</v>
      </c>
      <c r="P1051" s="767"/>
    </row>
    <row r="1052" spans="2:17" ht="15.2" customHeight="1">
      <c r="B1052" s="768" t="s">
        <v>3632</v>
      </c>
      <c r="C1052" s="769"/>
      <c r="D1052" s="84" t="s">
        <v>3633</v>
      </c>
      <c r="E1052" s="87">
        <v>0.06</v>
      </c>
      <c r="F1052" s="86" t="s">
        <v>3624</v>
      </c>
      <c r="G1052" s="655">
        <f>$J$1048+$J$1049</f>
        <v>375</v>
      </c>
      <c r="H1052" s="470">
        <f t="shared" si="305"/>
        <v>22</v>
      </c>
      <c r="I1052" s="470"/>
      <c r="J1052" s="470">
        <f t="shared" si="306"/>
        <v>0</v>
      </c>
      <c r="K1052" s="470"/>
      <c r="L1052" s="470">
        <f t="shared" si="307"/>
        <v>0</v>
      </c>
      <c r="M1052" s="470">
        <f t="shared" si="308"/>
        <v>375</v>
      </c>
      <c r="N1052" s="470">
        <f t="shared" si="308"/>
        <v>22</v>
      </c>
      <c r="O1052" s="457"/>
      <c r="P1052" s="767"/>
    </row>
    <row r="1053" spans="2:17" ht="15.2" customHeight="1">
      <c r="B1053" s="768" t="s">
        <v>3634</v>
      </c>
      <c r="C1053" s="769"/>
      <c r="D1053" s="84" t="s">
        <v>3635</v>
      </c>
      <c r="E1053" s="97">
        <v>3.2000000000000002E-3</v>
      </c>
      <c r="F1053" s="86" t="s">
        <v>3631</v>
      </c>
      <c r="G1053" s="470">
        <f>중기사용료!$M$473</f>
        <v>4461</v>
      </c>
      <c r="H1053" s="470">
        <f t="shared" si="305"/>
        <v>14</v>
      </c>
      <c r="I1053" s="470">
        <f>중기사용료!$M$467</f>
        <v>24483</v>
      </c>
      <c r="J1053" s="470">
        <f t="shared" si="306"/>
        <v>78</v>
      </c>
      <c r="K1053" s="470">
        <f>중기사용료!$M$461</f>
        <v>5567</v>
      </c>
      <c r="L1053" s="470">
        <f t="shared" si="307"/>
        <v>17</v>
      </c>
      <c r="M1053" s="470">
        <f t="shared" si="308"/>
        <v>34511</v>
      </c>
      <c r="N1053" s="470">
        <f t="shared" si="308"/>
        <v>109</v>
      </c>
      <c r="O1053" s="460">
        <f>중기사용료!$A$458</f>
        <v>25</v>
      </c>
      <c r="P1053" s="767"/>
    </row>
    <row r="1054" spans="2:17" ht="15.2" customHeight="1">
      <c r="B1054" s="768" t="s">
        <v>3634</v>
      </c>
      <c r="C1054" s="769"/>
      <c r="D1054" s="84" t="s">
        <v>3636</v>
      </c>
      <c r="E1054" s="97">
        <v>3.2000000000000002E-3</v>
      </c>
      <c r="F1054" s="86" t="s">
        <v>3631</v>
      </c>
      <c r="G1054" s="470">
        <f>중기사용료!$M$492</f>
        <v>7692</v>
      </c>
      <c r="H1054" s="470">
        <f t="shared" si="305"/>
        <v>24</v>
      </c>
      <c r="I1054" s="470">
        <f>중기사용료!$M$486</f>
        <v>24483</v>
      </c>
      <c r="J1054" s="470">
        <f t="shared" si="306"/>
        <v>78</v>
      </c>
      <c r="K1054" s="470">
        <f>중기사용료!$M$480</f>
        <v>6499</v>
      </c>
      <c r="L1054" s="470">
        <f t="shared" si="307"/>
        <v>20</v>
      </c>
      <c r="M1054" s="470">
        <f t="shared" si="308"/>
        <v>38674</v>
      </c>
      <c r="N1054" s="470">
        <f t="shared" si="308"/>
        <v>122</v>
      </c>
      <c r="O1054" s="460">
        <f>중기사용료!$A$477</f>
        <v>26</v>
      </c>
      <c r="P1054" s="767"/>
    </row>
    <row r="1055" spans="2:17" ht="15.2" customHeight="1">
      <c r="B1055" s="768" t="s">
        <v>3637</v>
      </c>
      <c r="C1055" s="769"/>
      <c r="D1055" s="84"/>
      <c r="E1055" s="87"/>
      <c r="F1055" s="86"/>
      <c r="G1055" s="470"/>
      <c r="H1055" s="470">
        <f>SUM(H1043:H1054)</f>
        <v>1817</v>
      </c>
      <c r="I1055" s="470"/>
      <c r="J1055" s="470">
        <f>SUM(J1043:J1054)</f>
        <v>602</v>
      </c>
      <c r="K1055" s="470"/>
      <c r="L1055" s="470">
        <f>SUM(L1043:L1054)</f>
        <v>37</v>
      </c>
      <c r="M1055" s="470"/>
      <c r="N1055" s="470">
        <f>SUM(N1043:N1054)</f>
        <v>2456</v>
      </c>
      <c r="O1055" s="457"/>
      <c r="P1055" s="767"/>
      <c r="Q1055" s="80" t="s">
        <v>1164</v>
      </c>
    </row>
    <row r="1056" spans="2:17" ht="15.2" customHeight="1">
      <c r="B1056" s="96">
        <f>P1056</f>
        <v>174</v>
      </c>
      <c r="C1056" s="770" t="s">
        <v>3988</v>
      </c>
      <c r="D1056" s="770"/>
      <c r="E1056" s="770"/>
      <c r="F1056" s="771"/>
      <c r="G1056" s="470"/>
      <c r="H1056" s="470"/>
      <c r="I1056" s="470"/>
      <c r="J1056" s="470"/>
      <c r="K1056" s="470"/>
      <c r="L1056" s="470"/>
      <c r="M1056" s="470"/>
      <c r="N1056" s="470"/>
      <c r="O1056" s="457"/>
      <c r="P1056" s="767">
        <f>MAX($P$5:P1055)+1</f>
        <v>174</v>
      </c>
      <c r="Q1056" s="80" t="s">
        <v>3638</v>
      </c>
    </row>
    <row r="1057" spans="2:17" ht="15.2" customHeight="1">
      <c r="B1057" s="768" t="s">
        <v>3613</v>
      </c>
      <c r="C1057" s="769"/>
      <c r="D1057" s="84" t="s">
        <v>3614</v>
      </c>
      <c r="E1057" s="97">
        <v>0.67949999999999999</v>
      </c>
      <c r="F1057" s="86" t="s">
        <v>3615</v>
      </c>
      <c r="G1057" s="470">
        <f>사급자재!$M$57</f>
        <v>2269</v>
      </c>
      <c r="H1057" s="470">
        <f t="shared" ref="H1057:H1068" si="309">TRUNC(E1057*G1057,0)</f>
        <v>1541</v>
      </c>
      <c r="I1057" s="470"/>
      <c r="J1057" s="470">
        <f t="shared" ref="J1057:J1068" si="310">TRUNC(I1057*E1057,0)</f>
        <v>0</v>
      </c>
      <c r="K1057" s="470"/>
      <c r="L1057" s="470">
        <f t="shared" ref="L1057:L1068" si="311">TRUNC(K1057*E1057,0)</f>
        <v>0</v>
      </c>
      <c r="M1057" s="470">
        <f t="shared" ref="M1057:M1068" si="312">G1057+I1057+K1057</f>
        <v>2269</v>
      </c>
      <c r="N1057" s="470">
        <f t="shared" ref="N1057:N1068" si="313">H1057+J1057+L1057</f>
        <v>1541</v>
      </c>
      <c r="O1057" s="457"/>
      <c r="P1057" s="767"/>
    </row>
    <row r="1058" spans="2:17" ht="15.2" customHeight="1">
      <c r="B1058" s="768" t="s">
        <v>3616</v>
      </c>
      <c r="C1058" s="769"/>
      <c r="D1058" s="84" t="s">
        <v>3617</v>
      </c>
      <c r="E1058" s="87">
        <v>0.03</v>
      </c>
      <c r="F1058" s="86" t="s">
        <v>3615</v>
      </c>
      <c r="G1058" s="470">
        <f>사급자재!$M$59</f>
        <v>1600</v>
      </c>
      <c r="H1058" s="470">
        <f t="shared" si="309"/>
        <v>48</v>
      </c>
      <c r="I1058" s="470"/>
      <c r="J1058" s="470">
        <f t="shared" si="310"/>
        <v>0</v>
      </c>
      <c r="K1058" s="470"/>
      <c r="L1058" s="470">
        <f t="shared" si="311"/>
        <v>0</v>
      </c>
      <c r="M1058" s="470">
        <f t="shared" si="312"/>
        <v>1600</v>
      </c>
      <c r="N1058" s="470">
        <f t="shared" si="313"/>
        <v>48</v>
      </c>
      <c r="O1058" s="457"/>
      <c r="P1058" s="767"/>
    </row>
    <row r="1059" spans="2:17" ht="15.2" customHeight="1">
      <c r="B1059" s="768" t="s">
        <v>3618</v>
      </c>
      <c r="C1059" s="769"/>
      <c r="D1059" s="84" t="s">
        <v>3619</v>
      </c>
      <c r="E1059" s="87">
        <v>0.03</v>
      </c>
      <c r="F1059" s="86" t="s">
        <v>3615</v>
      </c>
      <c r="G1059" s="470">
        <f>사급자재!$M$84</f>
        <v>3870</v>
      </c>
      <c r="H1059" s="470">
        <f t="shared" si="309"/>
        <v>116</v>
      </c>
      <c r="I1059" s="470"/>
      <c r="J1059" s="470">
        <f t="shared" si="310"/>
        <v>0</v>
      </c>
      <c r="K1059" s="470"/>
      <c r="L1059" s="470">
        <f t="shared" si="311"/>
        <v>0</v>
      </c>
      <c r="M1059" s="470">
        <f t="shared" si="312"/>
        <v>3870</v>
      </c>
      <c r="N1059" s="470">
        <f t="shared" si="313"/>
        <v>116</v>
      </c>
      <c r="O1059" s="457"/>
      <c r="P1059" s="767"/>
    </row>
    <row r="1060" spans="2:17" ht="15.2" customHeight="1">
      <c r="B1060" s="768" t="s">
        <v>3620</v>
      </c>
      <c r="C1060" s="769"/>
      <c r="D1060" s="84" t="s">
        <v>3621</v>
      </c>
      <c r="E1060" s="87">
        <v>0.03</v>
      </c>
      <c r="F1060" s="86" t="s">
        <v>3615</v>
      </c>
      <c r="G1060" s="470">
        <f>사급자재!$M$190</f>
        <v>1138</v>
      </c>
      <c r="H1060" s="470">
        <f t="shared" si="309"/>
        <v>34</v>
      </c>
      <c r="I1060" s="470"/>
      <c r="J1060" s="470">
        <f t="shared" si="310"/>
        <v>0</v>
      </c>
      <c r="K1060" s="470"/>
      <c r="L1060" s="470">
        <f t="shared" si="311"/>
        <v>0</v>
      </c>
      <c r="M1060" s="470">
        <f t="shared" si="312"/>
        <v>1138</v>
      </c>
      <c r="N1060" s="470">
        <f t="shared" si="313"/>
        <v>34</v>
      </c>
      <c r="O1060" s="457"/>
      <c r="P1060" s="767"/>
    </row>
    <row r="1061" spans="2:17" ht="15.2" customHeight="1">
      <c r="B1061" s="768" t="s">
        <v>3622</v>
      </c>
      <c r="C1061" s="769"/>
      <c r="D1061" s="84" t="s">
        <v>3623</v>
      </c>
      <c r="E1061" s="87">
        <v>0.05</v>
      </c>
      <c r="F1061" s="86" t="s">
        <v>3624</v>
      </c>
      <c r="G1061" s="470">
        <f>$J$1062+$J$1063</f>
        <v>743</v>
      </c>
      <c r="H1061" s="470">
        <f t="shared" si="309"/>
        <v>37</v>
      </c>
      <c r="I1061" s="470"/>
      <c r="J1061" s="470">
        <f t="shared" si="310"/>
        <v>0</v>
      </c>
      <c r="K1061" s="470"/>
      <c r="L1061" s="470">
        <f t="shared" si="311"/>
        <v>0</v>
      </c>
      <c r="M1061" s="470">
        <f t="shared" si="312"/>
        <v>743</v>
      </c>
      <c r="N1061" s="470">
        <f t="shared" si="313"/>
        <v>37</v>
      </c>
      <c r="O1061" s="457"/>
      <c r="P1061" s="767"/>
    </row>
    <row r="1062" spans="2:17" ht="15.2" customHeight="1">
      <c r="B1062" s="768" t="s">
        <v>3625</v>
      </c>
      <c r="C1062" s="769"/>
      <c r="D1062" s="84" t="s">
        <v>3626</v>
      </c>
      <c r="E1062" s="95">
        <v>1.58E-3</v>
      </c>
      <c r="F1062" s="86" t="s">
        <v>3627</v>
      </c>
      <c r="G1062" s="470"/>
      <c r="H1062" s="470">
        <f t="shared" si="309"/>
        <v>0</v>
      </c>
      <c r="I1062" s="470">
        <f>SUMIF('노임(2015)'!$B$4:$B$87,B1062,'노임(2015)'!$C$4:$C$87)+SUMIF('노임(2015)'!$E$4:$E$87,B1062,'노임(2015)'!$F$4:$F$87)</f>
        <v>111771</v>
      </c>
      <c r="J1062" s="470">
        <f t="shared" si="310"/>
        <v>176</v>
      </c>
      <c r="K1062" s="470"/>
      <c r="L1062" s="470">
        <f t="shared" si="311"/>
        <v>0</v>
      </c>
      <c r="M1062" s="470">
        <f t="shared" si="312"/>
        <v>111771</v>
      </c>
      <c r="N1062" s="470">
        <f t="shared" si="313"/>
        <v>176</v>
      </c>
      <c r="O1062" s="457"/>
      <c r="P1062" s="767"/>
    </row>
    <row r="1063" spans="2:17" ht="15.2" customHeight="1">
      <c r="B1063" s="768" t="s">
        <v>3628</v>
      </c>
      <c r="C1063" s="769"/>
      <c r="D1063" s="84" t="s">
        <v>3626</v>
      </c>
      <c r="E1063" s="95">
        <v>6.3400000000000001E-3</v>
      </c>
      <c r="F1063" s="86" t="s">
        <v>3627</v>
      </c>
      <c r="G1063" s="470"/>
      <c r="H1063" s="470">
        <f t="shared" si="309"/>
        <v>0</v>
      </c>
      <c r="I1063" s="470">
        <f>SUMIF('노임(2015)'!$B$4:$B$87,B1063,'노임(2015)'!$C$4:$C$87)+SUMIF('노임(2015)'!$E$4:$E$87,B1063,'노임(2015)'!$F$4:$F$87)</f>
        <v>89566</v>
      </c>
      <c r="J1063" s="470">
        <f t="shared" si="310"/>
        <v>567</v>
      </c>
      <c r="K1063" s="470"/>
      <c r="L1063" s="470">
        <f t="shared" si="311"/>
        <v>0</v>
      </c>
      <c r="M1063" s="470">
        <f t="shared" si="312"/>
        <v>89566</v>
      </c>
      <c r="N1063" s="470">
        <f t="shared" si="313"/>
        <v>567</v>
      </c>
      <c r="O1063" s="457"/>
      <c r="P1063" s="767"/>
    </row>
    <row r="1064" spans="2:17" ht="15.2" customHeight="1">
      <c r="B1064" s="768" t="s">
        <v>3628</v>
      </c>
      <c r="C1064" s="769"/>
      <c r="D1064" s="84" t="s">
        <v>3629</v>
      </c>
      <c r="E1064" s="95">
        <v>1.58E-3</v>
      </c>
      <c r="F1064" s="86" t="s">
        <v>3627</v>
      </c>
      <c r="G1064" s="470"/>
      <c r="H1064" s="470">
        <f t="shared" si="309"/>
        <v>0</v>
      </c>
      <c r="I1064" s="470">
        <f>SUMIF('노임(2015)'!$B$4:$B$87,B1064,'노임(2015)'!$C$4:$C$87)+SUMIF('노임(2015)'!$E$4:$E$87,B1064,'노임(2015)'!$F$4:$F$87)</f>
        <v>89566</v>
      </c>
      <c r="J1064" s="470">
        <f t="shared" si="310"/>
        <v>141</v>
      </c>
      <c r="K1064" s="470"/>
      <c r="L1064" s="470">
        <f t="shared" si="311"/>
        <v>0</v>
      </c>
      <c r="M1064" s="470">
        <f t="shared" si="312"/>
        <v>89566</v>
      </c>
      <c r="N1064" s="470">
        <f t="shared" si="313"/>
        <v>141</v>
      </c>
      <c r="O1064" s="457"/>
      <c r="P1064" s="767"/>
    </row>
    <row r="1065" spans="2:17" ht="15.2" customHeight="1">
      <c r="B1065" s="768" t="s">
        <v>3630</v>
      </c>
      <c r="C1065" s="769"/>
      <c r="D1065" s="84" t="s">
        <v>3792</v>
      </c>
      <c r="E1065" s="95">
        <v>0</v>
      </c>
      <c r="F1065" s="86" t="s">
        <v>3631</v>
      </c>
      <c r="G1065" s="470">
        <f>중기사용료!$M$1632</f>
        <v>24001</v>
      </c>
      <c r="H1065" s="470">
        <f t="shared" si="309"/>
        <v>0</v>
      </c>
      <c r="I1065" s="470">
        <f>중기사용료!$M$1626</f>
        <v>18939</v>
      </c>
      <c r="J1065" s="470">
        <f t="shared" si="310"/>
        <v>0</v>
      </c>
      <c r="K1065" s="470">
        <f>중기사용료!$M$1620</f>
        <v>12521</v>
      </c>
      <c r="L1065" s="470">
        <f t="shared" si="311"/>
        <v>0</v>
      </c>
      <c r="M1065" s="470">
        <f t="shared" si="312"/>
        <v>55461</v>
      </c>
      <c r="N1065" s="470">
        <f t="shared" si="313"/>
        <v>0</v>
      </c>
      <c r="O1065" s="460">
        <f>중기사용료!$A$1617</f>
        <v>86</v>
      </c>
      <c r="P1065" s="767"/>
    </row>
    <row r="1066" spans="2:17" ht="15.2" customHeight="1">
      <c r="B1066" s="768" t="s">
        <v>3632</v>
      </c>
      <c r="C1066" s="769"/>
      <c r="D1066" s="84" t="s">
        <v>3633</v>
      </c>
      <c r="E1066" s="87">
        <v>0.06</v>
      </c>
      <c r="F1066" s="86" t="s">
        <v>3624</v>
      </c>
      <c r="G1066" s="655">
        <f>$J$1062+$J$1063</f>
        <v>743</v>
      </c>
      <c r="H1066" s="470">
        <f t="shared" si="309"/>
        <v>44</v>
      </c>
      <c r="I1066" s="470"/>
      <c r="J1066" s="470">
        <f t="shared" si="310"/>
        <v>0</v>
      </c>
      <c r="K1066" s="470"/>
      <c r="L1066" s="470">
        <f t="shared" si="311"/>
        <v>0</v>
      </c>
      <c r="M1066" s="470">
        <f t="shared" si="312"/>
        <v>743</v>
      </c>
      <c r="N1066" s="470">
        <f t="shared" si="313"/>
        <v>44</v>
      </c>
      <c r="O1066" s="457"/>
      <c r="P1066" s="767"/>
    </row>
    <row r="1067" spans="2:17" ht="15.2" customHeight="1">
      <c r="B1067" s="768" t="s">
        <v>3634</v>
      </c>
      <c r="C1067" s="769"/>
      <c r="D1067" s="84" t="s">
        <v>3635</v>
      </c>
      <c r="E1067" s="95">
        <v>6.3400000000000001E-3</v>
      </c>
      <c r="F1067" s="86" t="s">
        <v>3631</v>
      </c>
      <c r="G1067" s="470">
        <f>중기사용료!$M$473</f>
        <v>4461</v>
      </c>
      <c r="H1067" s="470">
        <f t="shared" si="309"/>
        <v>28</v>
      </c>
      <c r="I1067" s="470">
        <f>중기사용료!$M$467</f>
        <v>24483</v>
      </c>
      <c r="J1067" s="470">
        <f t="shared" si="310"/>
        <v>155</v>
      </c>
      <c r="K1067" s="470">
        <f>중기사용료!$M$461</f>
        <v>5567</v>
      </c>
      <c r="L1067" s="470">
        <f t="shared" si="311"/>
        <v>35</v>
      </c>
      <c r="M1067" s="470">
        <f t="shared" si="312"/>
        <v>34511</v>
      </c>
      <c r="N1067" s="470">
        <f t="shared" si="313"/>
        <v>218</v>
      </c>
      <c r="O1067" s="460">
        <f>중기사용료!$A$458</f>
        <v>25</v>
      </c>
      <c r="P1067" s="767"/>
    </row>
    <row r="1068" spans="2:17" ht="15.2" customHeight="1">
      <c r="B1068" s="768" t="s">
        <v>3634</v>
      </c>
      <c r="C1068" s="769"/>
      <c r="D1068" s="84" t="s">
        <v>3636</v>
      </c>
      <c r="E1068" s="95">
        <v>6.3400000000000001E-3</v>
      </c>
      <c r="F1068" s="86" t="s">
        <v>3631</v>
      </c>
      <c r="G1068" s="470">
        <f>중기사용료!$M$492</f>
        <v>7692</v>
      </c>
      <c r="H1068" s="470">
        <f t="shared" si="309"/>
        <v>48</v>
      </c>
      <c r="I1068" s="470">
        <f>중기사용료!$M$486</f>
        <v>24483</v>
      </c>
      <c r="J1068" s="470">
        <f t="shared" si="310"/>
        <v>155</v>
      </c>
      <c r="K1068" s="470">
        <f>중기사용료!$M$480</f>
        <v>6499</v>
      </c>
      <c r="L1068" s="470">
        <f t="shared" si="311"/>
        <v>41</v>
      </c>
      <c r="M1068" s="470">
        <f t="shared" si="312"/>
        <v>38674</v>
      </c>
      <c r="N1068" s="470">
        <f t="shared" si="313"/>
        <v>244</v>
      </c>
      <c r="O1068" s="460">
        <f>중기사용료!$A$477</f>
        <v>26</v>
      </c>
      <c r="P1068" s="767"/>
    </row>
    <row r="1069" spans="2:17" ht="15.2" customHeight="1">
      <c r="B1069" s="768" t="s">
        <v>3637</v>
      </c>
      <c r="C1069" s="769"/>
      <c r="D1069" s="84"/>
      <c r="E1069" s="87"/>
      <c r="F1069" s="86"/>
      <c r="G1069" s="470"/>
      <c r="H1069" s="470">
        <f>SUM(H1057:H1068)</f>
        <v>1896</v>
      </c>
      <c r="I1069" s="470"/>
      <c r="J1069" s="470">
        <f>SUM(J1057:J1068)</f>
        <v>1194</v>
      </c>
      <c r="K1069" s="470"/>
      <c r="L1069" s="470">
        <f>SUM(L1057:L1068)</f>
        <v>76</v>
      </c>
      <c r="M1069" s="470"/>
      <c r="N1069" s="470">
        <f>SUM(N1057:N1068)</f>
        <v>3166</v>
      </c>
      <c r="O1069" s="457"/>
      <c r="P1069" s="767"/>
      <c r="Q1069" s="80" t="s">
        <v>1164</v>
      </c>
    </row>
    <row r="1070" spans="2:17" s="647" customFormat="1" ht="15.2" customHeight="1">
      <c r="B1070" s="652">
        <f>P1070</f>
        <v>175</v>
      </c>
      <c r="C1070" s="770" t="s">
        <v>3989</v>
      </c>
      <c r="D1070" s="770"/>
      <c r="E1070" s="770"/>
      <c r="F1070" s="771"/>
      <c r="G1070" s="655"/>
      <c r="H1070" s="655"/>
      <c r="I1070" s="655"/>
      <c r="J1070" s="655"/>
      <c r="K1070" s="655"/>
      <c r="L1070" s="655"/>
      <c r="M1070" s="655"/>
      <c r="N1070" s="655"/>
      <c r="O1070" s="653"/>
      <c r="P1070" s="767">
        <f>MAX($P$5:P1069)+1</f>
        <v>175</v>
      </c>
      <c r="Q1070" s="647" t="s">
        <v>3243</v>
      </c>
    </row>
    <row r="1071" spans="2:17" s="647" customFormat="1" ht="15.2" customHeight="1">
      <c r="B1071" s="768" t="s">
        <v>3613</v>
      </c>
      <c r="C1071" s="769"/>
      <c r="D1071" s="648" t="s">
        <v>3614</v>
      </c>
      <c r="E1071" s="97">
        <v>0.67949999999999999</v>
      </c>
      <c r="F1071" s="649" t="s">
        <v>436</v>
      </c>
      <c r="G1071" s="655">
        <f>사급자재!$M$58</f>
        <v>2550</v>
      </c>
      <c r="H1071" s="655">
        <f t="shared" ref="H1071:H1082" si="314">TRUNC(E1071*G1071,0)</f>
        <v>1732</v>
      </c>
      <c r="I1071" s="655"/>
      <c r="J1071" s="655">
        <f t="shared" ref="J1071:J1082" si="315">TRUNC(I1071*E1071,0)</f>
        <v>0</v>
      </c>
      <c r="K1071" s="655"/>
      <c r="L1071" s="655">
        <f t="shared" ref="L1071:L1082" si="316">TRUNC(K1071*E1071,0)</f>
        <v>0</v>
      </c>
      <c r="M1071" s="655">
        <f t="shared" ref="M1071:M1082" si="317">G1071+I1071+K1071</f>
        <v>2550</v>
      </c>
      <c r="N1071" s="655">
        <f t="shared" ref="N1071:N1082" si="318">H1071+J1071+L1071</f>
        <v>1732</v>
      </c>
      <c r="O1071" s="653"/>
      <c r="P1071" s="767"/>
    </row>
    <row r="1072" spans="2:17" s="647" customFormat="1" ht="15.2" customHeight="1">
      <c r="B1072" s="768" t="s">
        <v>3616</v>
      </c>
      <c r="C1072" s="769"/>
      <c r="D1072" s="648" t="s">
        <v>3617</v>
      </c>
      <c r="E1072" s="650">
        <v>0.03</v>
      </c>
      <c r="F1072" s="649" t="s">
        <v>436</v>
      </c>
      <c r="G1072" s="655">
        <f>사급자재!$M$59</f>
        <v>1600</v>
      </c>
      <c r="H1072" s="655">
        <f t="shared" si="314"/>
        <v>48</v>
      </c>
      <c r="I1072" s="655"/>
      <c r="J1072" s="655">
        <f t="shared" si="315"/>
        <v>0</v>
      </c>
      <c r="K1072" s="655"/>
      <c r="L1072" s="655">
        <f t="shared" si="316"/>
        <v>0</v>
      </c>
      <c r="M1072" s="655">
        <f t="shared" si="317"/>
        <v>1600</v>
      </c>
      <c r="N1072" s="655">
        <f t="shared" si="318"/>
        <v>48</v>
      </c>
      <c r="O1072" s="653"/>
      <c r="P1072" s="767"/>
    </row>
    <row r="1073" spans="2:17" s="647" customFormat="1" ht="15.2" customHeight="1">
      <c r="B1073" s="768" t="s">
        <v>3618</v>
      </c>
      <c r="C1073" s="769"/>
      <c r="D1073" s="648" t="s">
        <v>3619</v>
      </c>
      <c r="E1073" s="650">
        <v>0.03</v>
      </c>
      <c r="F1073" s="649" t="s">
        <v>436</v>
      </c>
      <c r="G1073" s="655">
        <f>사급자재!$M$84</f>
        <v>3870</v>
      </c>
      <c r="H1073" s="655">
        <f t="shared" si="314"/>
        <v>116</v>
      </c>
      <c r="I1073" s="655"/>
      <c r="J1073" s="655">
        <f t="shared" si="315"/>
        <v>0</v>
      </c>
      <c r="K1073" s="655"/>
      <c r="L1073" s="655">
        <f t="shared" si="316"/>
        <v>0</v>
      </c>
      <c r="M1073" s="655">
        <f t="shared" si="317"/>
        <v>3870</v>
      </c>
      <c r="N1073" s="655">
        <f t="shared" si="318"/>
        <v>116</v>
      </c>
      <c r="O1073" s="653"/>
      <c r="P1073" s="767"/>
    </row>
    <row r="1074" spans="2:17" s="647" customFormat="1" ht="15.2" customHeight="1">
      <c r="B1074" s="768" t="s">
        <v>3620</v>
      </c>
      <c r="C1074" s="769"/>
      <c r="D1074" s="648" t="s">
        <v>3621</v>
      </c>
      <c r="E1074" s="650">
        <v>0.03</v>
      </c>
      <c r="F1074" s="649" t="s">
        <v>436</v>
      </c>
      <c r="G1074" s="655">
        <f>사급자재!$M$190</f>
        <v>1138</v>
      </c>
      <c r="H1074" s="655">
        <f t="shared" si="314"/>
        <v>34</v>
      </c>
      <c r="I1074" s="655"/>
      <c r="J1074" s="655">
        <f t="shared" si="315"/>
        <v>0</v>
      </c>
      <c r="K1074" s="655"/>
      <c r="L1074" s="655">
        <f t="shared" si="316"/>
        <v>0</v>
      </c>
      <c r="M1074" s="655">
        <f t="shared" si="317"/>
        <v>1138</v>
      </c>
      <c r="N1074" s="655">
        <f t="shared" si="318"/>
        <v>34</v>
      </c>
      <c r="O1074" s="653"/>
      <c r="P1074" s="767"/>
    </row>
    <row r="1075" spans="2:17" s="647" customFormat="1" ht="15.2" customHeight="1">
      <c r="B1075" s="768" t="s">
        <v>1166</v>
      </c>
      <c r="C1075" s="769"/>
      <c r="D1075" s="648" t="s">
        <v>1569</v>
      </c>
      <c r="E1075" s="650">
        <v>0.05</v>
      </c>
      <c r="F1075" s="649" t="s">
        <v>933</v>
      </c>
      <c r="G1075" s="655">
        <f>$J$1076+$J$1077</f>
        <v>375</v>
      </c>
      <c r="H1075" s="655">
        <f t="shared" si="314"/>
        <v>18</v>
      </c>
      <c r="I1075" s="655"/>
      <c r="J1075" s="655">
        <f t="shared" si="315"/>
        <v>0</v>
      </c>
      <c r="K1075" s="655"/>
      <c r="L1075" s="655">
        <f t="shared" si="316"/>
        <v>0</v>
      </c>
      <c r="M1075" s="655">
        <f t="shared" si="317"/>
        <v>375</v>
      </c>
      <c r="N1075" s="655">
        <f t="shared" si="318"/>
        <v>18</v>
      </c>
      <c r="O1075" s="653"/>
      <c r="P1075" s="767"/>
    </row>
    <row r="1076" spans="2:17" s="647" customFormat="1" ht="15.2" customHeight="1">
      <c r="B1076" s="768" t="s">
        <v>1165</v>
      </c>
      <c r="C1076" s="769"/>
      <c r="D1076" s="648" t="s">
        <v>3626</v>
      </c>
      <c r="E1076" s="97">
        <v>8.0000000000000004E-4</v>
      </c>
      <c r="F1076" s="649" t="s">
        <v>1163</v>
      </c>
      <c r="G1076" s="655"/>
      <c r="H1076" s="655">
        <f t="shared" si="314"/>
        <v>0</v>
      </c>
      <c r="I1076" s="655">
        <f>SUMIF('노임(2015)'!$B$4:$B$87,B1076,'노임(2015)'!$C$4:$C$87)+SUMIF('노임(2015)'!$E$4:$E$87,B1076,'노임(2015)'!$F$4:$F$87)</f>
        <v>111771</v>
      </c>
      <c r="J1076" s="655">
        <f t="shared" si="315"/>
        <v>89</v>
      </c>
      <c r="K1076" s="655"/>
      <c r="L1076" s="655">
        <f t="shared" si="316"/>
        <v>0</v>
      </c>
      <c r="M1076" s="655">
        <f t="shared" si="317"/>
        <v>111771</v>
      </c>
      <c r="N1076" s="655">
        <f t="shared" si="318"/>
        <v>89</v>
      </c>
      <c r="O1076" s="653"/>
      <c r="P1076" s="767"/>
    </row>
    <row r="1077" spans="2:17" s="647" customFormat="1" ht="15.2" customHeight="1">
      <c r="B1077" s="768" t="s">
        <v>1162</v>
      </c>
      <c r="C1077" s="769"/>
      <c r="D1077" s="648" t="s">
        <v>3626</v>
      </c>
      <c r="E1077" s="97">
        <v>3.2000000000000002E-3</v>
      </c>
      <c r="F1077" s="649" t="s">
        <v>1163</v>
      </c>
      <c r="G1077" s="655"/>
      <c r="H1077" s="655">
        <f t="shared" si="314"/>
        <v>0</v>
      </c>
      <c r="I1077" s="655">
        <f>SUMIF('노임(2015)'!$B$4:$B$87,B1077,'노임(2015)'!$C$4:$C$87)+SUMIF('노임(2015)'!$E$4:$E$87,B1077,'노임(2015)'!$F$4:$F$87)</f>
        <v>89566</v>
      </c>
      <c r="J1077" s="655">
        <f t="shared" si="315"/>
        <v>286</v>
      </c>
      <c r="K1077" s="655"/>
      <c r="L1077" s="655">
        <f t="shared" si="316"/>
        <v>0</v>
      </c>
      <c r="M1077" s="655">
        <f t="shared" si="317"/>
        <v>89566</v>
      </c>
      <c r="N1077" s="655">
        <f t="shared" si="318"/>
        <v>286</v>
      </c>
      <c r="O1077" s="653"/>
      <c r="P1077" s="767"/>
    </row>
    <row r="1078" spans="2:17" s="647" customFormat="1" ht="15.2" customHeight="1">
      <c r="B1078" s="768" t="s">
        <v>1162</v>
      </c>
      <c r="C1078" s="769"/>
      <c r="D1078" s="648" t="s">
        <v>3629</v>
      </c>
      <c r="E1078" s="97">
        <v>8.0000000000000004E-4</v>
      </c>
      <c r="F1078" s="649" t="s">
        <v>1163</v>
      </c>
      <c r="G1078" s="655"/>
      <c r="H1078" s="655">
        <f t="shared" si="314"/>
        <v>0</v>
      </c>
      <c r="I1078" s="655">
        <f>SUMIF('노임(2015)'!$B$4:$B$87,B1078,'노임(2015)'!$C$4:$C$87)+SUMIF('노임(2015)'!$E$4:$E$87,B1078,'노임(2015)'!$F$4:$F$87)</f>
        <v>89566</v>
      </c>
      <c r="J1078" s="655">
        <f t="shared" si="315"/>
        <v>71</v>
      </c>
      <c r="K1078" s="655"/>
      <c r="L1078" s="655">
        <f t="shared" si="316"/>
        <v>0</v>
      </c>
      <c r="M1078" s="655">
        <f t="shared" si="317"/>
        <v>89566</v>
      </c>
      <c r="N1078" s="655">
        <f t="shared" si="318"/>
        <v>71</v>
      </c>
      <c r="O1078" s="653"/>
      <c r="P1078" s="767"/>
    </row>
    <row r="1079" spans="2:17" s="647" customFormat="1" ht="15.2" customHeight="1">
      <c r="B1079" s="768" t="s">
        <v>3630</v>
      </c>
      <c r="C1079" s="769"/>
      <c r="D1079" s="648" t="s">
        <v>3792</v>
      </c>
      <c r="E1079" s="97">
        <v>0</v>
      </c>
      <c r="F1079" s="649" t="s">
        <v>453</v>
      </c>
      <c r="G1079" s="655">
        <f>중기사용료!$M$1632</f>
        <v>24001</v>
      </c>
      <c r="H1079" s="655">
        <f t="shared" si="314"/>
        <v>0</v>
      </c>
      <c r="I1079" s="655">
        <f>중기사용료!$M$1626</f>
        <v>18939</v>
      </c>
      <c r="J1079" s="655">
        <f t="shared" si="315"/>
        <v>0</v>
      </c>
      <c r="K1079" s="655">
        <f>중기사용료!$M$1620</f>
        <v>12521</v>
      </c>
      <c r="L1079" s="655">
        <f t="shared" si="316"/>
        <v>0</v>
      </c>
      <c r="M1079" s="655">
        <f t="shared" si="317"/>
        <v>55461</v>
      </c>
      <c r="N1079" s="655">
        <f t="shared" si="318"/>
        <v>0</v>
      </c>
      <c r="O1079" s="460">
        <f>중기사용료!$A$1617</f>
        <v>86</v>
      </c>
      <c r="P1079" s="767"/>
    </row>
    <row r="1080" spans="2:17" s="647" customFormat="1" ht="15.2" customHeight="1">
      <c r="B1080" s="768" t="s">
        <v>966</v>
      </c>
      <c r="C1080" s="769"/>
      <c r="D1080" s="648" t="s">
        <v>3633</v>
      </c>
      <c r="E1080" s="650">
        <v>0.06</v>
      </c>
      <c r="F1080" s="649" t="s">
        <v>933</v>
      </c>
      <c r="G1080" s="655">
        <f>$J$1076+$J$1077</f>
        <v>375</v>
      </c>
      <c r="H1080" s="655">
        <f t="shared" si="314"/>
        <v>22</v>
      </c>
      <c r="I1080" s="655"/>
      <c r="J1080" s="655">
        <f t="shared" si="315"/>
        <v>0</v>
      </c>
      <c r="K1080" s="655"/>
      <c r="L1080" s="655">
        <f t="shared" si="316"/>
        <v>0</v>
      </c>
      <c r="M1080" s="655">
        <f t="shared" si="317"/>
        <v>375</v>
      </c>
      <c r="N1080" s="655">
        <f t="shared" si="318"/>
        <v>22</v>
      </c>
      <c r="O1080" s="653"/>
      <c r="P1080" s="767"/>
    </row>
    <row r="1081" spans="2:17" s="647" customFormat="1" ht="15.2" customHeight="1">
      <c r="B1081" s="768" t="s">
        <v>3634</v>
      </c>
      <c r="C1081" s="769"/>
      <c r="D1081" s="648" t="s">
        <v>3635</v>
      </c>
      <c r="E1081" s="97">
        <v>3.2000000000000002E-3</v>
      </c>
      <c r="F1081" s="649" t="s">
        <v>453</v>
      </c>
      <c r="G1081" s="655">
        <f>중기사용료!$M$473</f>
        <v>4461</v>
      </c>
      <c r="H1081" s="655">
        <f t="shared" si="314"/>
        <v>14</v>
      </c>
      <c r="I1081" s="655">
        <f>중기사용료!$M$467</f>
        <v>24483</v>
      </c>
      <c r="J1081" s="655">
        <f t="shared" si="315"/>
        <v>78</v>
      </c>
      <c r="K1081" s="655">
        <f>중기사용료!$M$461</f>
        <v>5567</v>
      </c>
      <c r="L1081" s="655">
        <f t="shared" si="316"/>
        <v>17</v>
      </c>
      <c r="M1081" s="655">
        <f t="shared" si="317"/>
        <v>34511</v>
      </c>
      <c r="N1081" s="655">
        <f t="shared" si="318"/>
        <v>109</v>
      </c>
      <c r="O1081" s="460">
        <f>중기사용료!$A$458</f>
        <v>25</v>
      </c>
      <c r="P1081" s="767"/>
    </row>
    <row r="1082" spans="2:17" s="647" customFormat="1" ht="15.2" customHeight="1">
      <c r="B1082" s="768" t="s">
        <v>3634</v>
      </c>
      <c r="C1082" s="769"/>
      <c r="D1082" s="648" t="s">
        <v>3636</v>
      </c>
      <c r="E1082" s="97">
        <v>3.2000000000000002E-3</v>
      </c>
      <c r="F1082" s="649" t="s">
        <v>453</v>
      </c>
      <c r="G1082" s="655">
        <f>중기사용료!$M$492</f>
        <v>7692</v>
      </c>
      <c r="H1082" s="655">
        <f t="shared" si="314"/>
        <v>24</v>
      </c>
      <c r="I1082" s="655">
        <f>중기사용료!$M$486</f>
        <v>24483</v>
      </c>
      <c r="J1082" s="655">
        <f t="shared" si="315"/>
        <v>78</v>
      </c>
      <c r="K1082" s="655">
        <f>중기사용료!$M$480</f>
        <v>6499</v>
      </c>
      <c r="L1082" s="655">
        <f t="shared" si="316"/>
        <v>20</v>
      </c>
      <c r="M1082" s="655">
        <f t="shared" si="317"/>
        <v>38674</v>
      </c>
      <c r="N1082" s="655">
        <f t="shared" si="318"/>
        <v>122</v>
      </c>
      <c r="O1082" s="460">
        <f>중기사용료!$A$477</f>
        <v>26</v>
      </c>
      <c r="P1082" s="767"/>
    </row>
    <row r="1083" spans="2:17" s="647" customFormat="1" ht="15.2" customHeight="1">
      <c r="B1083" s="768" t="s">
        <v>855</v>
      </c>
      <c r="C1083" s="769"/>
      <c r="D1083" s="648"/>
      <c r="E1083" s="650"/>
      <c r="F1083" s="649"/>
      <c r="G1083" s="655"/>
      <c r="H1083" s="655">
        <f>SUM(H1071:H1082)</f>
        <v>2008</v>
      </c>
      <c r="I1083" s="655"/>
      <c r="J1083" s="655">
        <f>SUM(J1071:J1082)</f>
        <v>602</v>
      </c>
      <c r="K1083" s="655"/>
      <c r="L1083" s="655">
        <f>SUM(L1071:L1082)</f>
        <v>37</v>
      </c>
      <c r="M1083" s="655"/>
      <c r="N1083" s="655">
        <f>SUM(N1071:N1082)</f>
        <v>2647</v>
      </c>
      <c r="O1083" s="653"/>
      <c r="P1083" s="767"/>
      <c r="Q1083" s="647" t="s">
        <v>1164</v>
      </c>
    </row>
    <row r="1084" spans="2:17" s="647" customFormat="1" ht="15.2" customHeight="1">
      <c r="B1084" s="652">
        <f>P1084</f>
        <v>176</v>
      </c>
      <c r="C1084" s="770" t="s">
        <v>3990</v>
      </c>
      <c r="D1084" s="770"/>
      <c r="E1084" s="770"/>
      <c r="F1084" s="771"/>
      <c r="G1084" s="655"/>
      <c r="H1084" s="655"/>
      <c r="I1084" s="655"/>
      <c r="J1084" s="655"/>
      <c r="K1084" s="655"/>
      <c r="L1084" s="655"/>
      <c r="M1084" s="655"/>
      <c r="N1084" s="655"/>
      <c r="O1084" s="653"/>
      <c r="P1084" s="767">
        <f>MAX($P$5:P1083)+1</f>
        <v>176</v>
      </c>
      <c r="Q1084" s="647" t="s">
        <v>3243</v>
      </c>
    </row>
    <row r="1085" spans="2:17" s="647" customFormat="1" ht="15.2" customHeight="1">
      <c r="B1085" s="768" t="s">
        <v>3613</v>
      </c>
      <c r="C1085" s="769"/>
      <c r="D1085" s="648" t="s">
        <v>3614</v>
      </c>
      <c r="E1085" s="97">
        <v>0.67949999999999999</v>
      </c>
      <c r="F1085" s="649" t="s">
        <v>436</v>
      </c>
      <c r="G1085" s="655">
        <f>사급자재!$M$58</f>
        <v>2550</v>
      </c>
      <c r="H1085" s="655">
        <f t="shared" ref="H1085:H1096" si="319">TRUNC(E1085*G1085,0)</f>
        <v>1732</v>
      </c>
      <c r="I1085" s="655"/>
      <c r="J1085" s="655">
        <f t="shared" ref="J1085:J1096" si="320">TRUNC(I1085*E1085,0)</f>
        <v>0</v>
      </c>
      <c r="K1085" s="655"/>
      <c r="L1085" s="655">
        <f t="shared" ref="L1085:L1096" si="321">TRUNC(K1085*E1085,0)</f>
        <v>0</v>
      </c>
      <c r="M1085" s="655">
        <f t="shared" ref="M1085:M1096" si="322">G1085+I1085+K1085</f>
        <v>2550</v>
      </c>
      <c r="N1085" s="655">
        <f t="shared" ref="N1085:N1096" si="323">H1085+J1085+L1085</f>
        <v>1732</v>
      </c>
      <c r="O1085" s="653"/>
      <c r="P1085" s="767"/>
    </row>
    <row r="1086" spans="2:17" s="647" customFormat="1" ht="15.2" customHeight="1">
      <c r="B1086" s="768" t="s">
        <v>3616</v>
      </c>
      <c r="C1086" s="769"/>
      <c r="D1086" s="648" t="s">
        <v>3617</v>
      </c>
      <c r="E1086" s="650">
        <v>0.03</v>
      </c>
      <c r="F1086" s="649" t="s">
        <v>436</v>
      </c>
      <c r="G1086" s="655">
        <f>사급자재!$M$59</f>
        <v>1600</v>
      </c>
      <c r="H1086" s="655">
        <f t="shared" si="319"/>
        <v>48</v>
      </c>
      <c r="I1086" s="655"/>
      <c r="J1086" s="655">
        <f t="shared" si="320"/>
        <v>0</v>
      </c>
      <c r="K1086" s="655"/>
      <c r="L1086" s="655">
        <f t="shared" si="321"/>
        <v>0</v>
      </c>
      <c r="M1086" s="655">
        <f t="shared" si="322"/>
        <v>1600</v>
      </c>
      <c r="N1086" s="655">
        <f t="shared" si="323"/>
        <v>48</v>
      </c>
      <c r="O1086" s="653"/>
      <c r="P1086" s="767"/>
    </row>
    <row r="1087" spans="2:17" s="647" customFormat="1" ht="15.2" customHeight="1">
      <c r="B1087" s="768" t="s">
        <v>3618</v>
      </c>
      <c r="C1087" s="769"/>
      <c r="D1087" s="648" t="s">
        <v>3619</v>
      </c>
      <c r="E1087" s="650">
        <v>0.03</v>
      </c>
      <c r="F1087" s="649" t="s">
        <v>436</v>
      </c>
      <c r="G1087" s="655">
        <f>사급자재!$M$84</f>
        <v>3870</v>
      </c>
      <c r="H1087" s="655">
        <f t="shared" si="319"/>
        <v>116</v>
      </c>
      <c r="I1087" s="655"/>
      <c r="J1087" s="655">
        <f t="shared" si="320"/>
        <v>0</v>
      </c>
      <c r="K1087" s="655"/>
      <c r="L1087" s="655">
        <f t="shared" si="321"/>
        <v>0</v>
      </c>
      <c r="M1087" s="655">
        <f t="shared" si="322"/>
        <v>3870</v>
      </c>
      <c r="N1087" s="655">
        <f t="shared" si="323"/>
        <v>116</v>
      </c>
      <c r="O1087" s="653"/>
      <c r="P1087" s="767"/>
    </row>
    <row r="1088" spans="2:17" s="647" customFormat="1" ht="15.2" customHeight="1">
      <c r="B1088" s="768" t="s">
        <v>3620</v>
      </c>
      <c r="C1088" s="769"/>
      <c r="D1088" s="648" t="s">
        <v>3621</v>
      </c>
      <c r="E1088" s="650">
        <v>0.03</v>
      </c>
      <c r="F1088" s="649" t="s">
        <v>436</v>
      </c>
      <c r="G1088" s="655">
        <f>사급자재!$M$190</f>
        <v>1138</v>
      </c>
      <c r="H1088" s="655">
        <f t="shared" si="319"/>
        <v>34</v>
      </c>
      <c r="I1088" s="655"/>
      <c r="J1088" s="655">
        <f t="shared" si="320"/>
        <v>0</v>
      </c>
      <c r="K1088" s="655"/>
      <c r="L1088" s="655">
        <f t="shared" si="321"/>
        <v>0</v>
      </c>
      <c r="M1088" s="655">
        <f t="shared" si="322"/>
        <v>1138</v>
      </c>
      <c r="N1088" s="655">
        <f t="shared" si="323"/>
        <v>34</v>
      </c>
      <c r="O1088" s="653"/>
      <c r="P1088" s="767"/>
    </row>
    <row r="1089" spans="2:17" s="647" customFormat="1" ht="15.2" customHeight="1">
      <c r="B1089" s="768" t="s">
        <v>1166</v>
      </c>
      <c r="C1089" s="769"/>
      <c r="D1089" s="648" t="s">
        <v>1569</v>
      </c>
      <c r="E1089" s="650">
        <v>0.05</v>
      </c>
      <c r="F1089" s="649" t="s">
        <v>933</v>
      </c>
      <c r="G1089" s="655">
        <f>$J$1090+$J$1091</f>
        <v>743</v>
      </c>
      <c r="H1089" s="655">
        <f t="shared" si="319"/>
        <v>37</v>
      </c>
      <c r="I1089" s="655"/>
      <c r="J1089" s="655">
        <f t="shared" si="320"/>
        <v>0</v>
      </c>
      <c r="K1089" s="655"/>
      <c r="L1089" s="655">
        <f t="shared" si="321"/>
        <v>0</v>
      </c>
      <c r="M1089" s="655">
        <f t="shared" si="322"/>
        <v>743</v>
      </c>
      <c r="N1089" s="655">
        <f t="shared" si="323"/>
        <v>37</v>
      </c>
      <c r="O1089" s="653"/>
      <c r="P1089" s="767"/>
    </row>
    <row r="1090" spans="2:17" s="647" customFormat="1" ht="15.2" customHeight="1">
      <c r="B1090" s="768" t="s">
        <v>1165</v>
      </c>
      <c r="C1090" s="769"/>
      <c r="D1090" s="648" t="s">
        <v>3626</v>
      </c>
      <c r="E1090" s="95">
        <v>1.58E-3</v>
      </c>
      <c r="F1090" s="649" t="s">
        <v>1163</v>
      </c>
      <c r="G1090" s="655"/>
      <c r="H1090" s="655">
        <f t="shared" si="319"/>
        <v>0</v>
      </c>
      <c r="I1090" s="655">
        <f>SUMIF('노임(2015)'!$B$4:$B$87,B1090,'노임(2015)'!$C$4:$C$87)+SUMIF('노임(2015)'!$E$4:$E$87,B1090,'노임(2015)'!$F$4:$F$87)</f>
        <v>111771</v>
      </c>
      <c r="J1090" s="655">
        <f t="shared" si="320"/>
        <v>176</v>
      </c>
      <c r="K1090" s="655"/>
      <c r="L1090" s="655">
        <f t="shared" si="321"/>
        <v>0</v>
      </c>
      <c r="M1090" s="655">
        <f t="shared" si="322"/>
        <v>111771</v>
      </c>
      <c r="N1090" s="655">
        <f t="shared" si="323"/>
        <v>176</v>
      </c>
      <c r="O1090" s="653"/>
      <c r="P1090" s="767"/>
    </row>
    <row r="1091" spans="2:17" s="647" customFormat="1" ht="15.2" customHeight="1">
      <c r="B1091" s="768" t="s">
        <v>1162</v>
      </c>
      <c r="C1091" s="769"/>
      <c r="D1091" s="648" t="s">
        <v>3626</v>
      </c>
      <c r="E1091" s="95">
        <v>6.3400000000000001E-3</v>
      </c>
      <c r="F1091" s="649" t="s">
        <v>1163</v>
      </c>
      <c r="G1091" s="655"/>
      <c r="H1091" s="655">
        <f t="shared" si="319"/>
        <v>0</v>
      </c>
      <c r="I1091" s="655">
        <f>SUMIF('노임(2015)'!$B$4:$B$87,B1091,'노임(2015)'!$C$4:$C$87)+SUMIF('노임(2015)'!$E$4:$E$87,B1091,'노임(2015)'!$F$4:$F$87)</f>
        <v>89566</v>
      </c>
      <c r="J1091" s="655">
        <f t="shared" si="320"/>
        <v>567</v>
      </c>
      <c r="K1091" s="655"/>
      <c r="L1091" s="655">
        <f t="shared" si="321"/>
        <v>0</v>
      </c>
      <c r="M1091" s="655">
        <f t="shared" si="322"/>
        <v>89566</v>
      </c>
      <c r="N1091" s="655">
        <f t="shared" si="323"/>
        <v>567</v>
      </c>
      <c r="O1091" s="653"/>
      <c r="P1091" s="767"/>
    </row>
    <row r="1092" spans="2:17" s="647" customFormat="1" ht="15.2" customHeight="1">
      <c r="B1092" s="768" t="s">
        <v>1162</v>
      </c>
      <c r="C1092" s="769"/>
      <c r="D1092" s="648" t="s">
        <v>3629</v>
      </c>
      <c r="E1092" s="95">
        <v>1.58E-3</v>
      </c>
      <c r="F1092" s="649" t="s">
        <v>1163</v>
      </c>
      <c r="G1092" s="655"/>
      <c r="H1092" s="655">
        <f t="shared" si="319"/>
        <v>0</v>
      </c>
      <c r="I1092" s="655">
        <f>SUMIF('노임(2015)'!$B$4:$B$87,B1092,'노임(2015)'!$C$4:$C$87)+SUMIF('노임(2015)'!$E$4:$E$87,B1092,'노임(2015)'!$F$4:$F$87)</f>
        <v>89566</v>
      </c>
      <c r="J1092" s="655">
        <f t="shared" si="320"/>
        <v>141</v>
      </c>
      <c r="K1092" s="655"/>
      <c r="L1092" s="655">
        <f t="shared" si="321"/>
        <v>0</v>
      </c>
      <c r="M1092" s="655">
        <f t="shared" si="322"/>
        <v>89566</v>
      </c>
      <c r="N1092" s="655">
        <f t="shared" si="323"/>
        <v>141</v>
      </c>
      <c r="O1092" s="653"/>
      <c r="P1092" s="767"/>
    </row>
    <row r="1093" spans="2:17" s="647" customFormat="1" ht="15.2" customHeight="1">
      <c r="B1093" s="768" t="s">
        <v>3630</v>
      </c>
      <c r="C1093" s="769"/>
      <c r="D1093" s="648" t="s">
        <v>3792</v>
      </c>
      <c r="E1093" s="95">
        <v>0</v>
      </c>
      <c r="F1093" s="649" t="s">
        <v>453</v>
      </c>
      <c r="G1093" s="655">
        <f>중기사용료!$M$1632</f>
        <v>24001</v>
      </c>
      <c r="H1093" s="655">
        <f t="shared" si="319"/>
        <v>0</v>
      </c>
      <c r="I1093" s="655">
        <f>중기사용료!$M$1626</f>
        <v>18939</v>
      </c>
      <c r="J1093" s="655">
        <f t="shared" si="320"/>
        <v>0</v>
      </c>
      <c r="K1093" s="655">
        <f>중기사용료!$M$1620</f>
        <v>12521</v>
      </c>
      <c r="L1093" s="655">
        <f t="shared" si="321"/>
        <v>0</v>
      </c>
      <c r="M1093" s="655">
        <f t="shared" si="322"/>
        <v>55461</v>
      </c>
      <c r="N1093" s="655">
        <f t="shared" si="323"/>
        <v>0</v>
      </c>
      <c r="O1093" s="460">
        <f>중기사용료!$A$1617</f>
        <v>86</v>
      </c>
      <c r="P1093" s="767"/>
    </row>
    <row r="1094" spans="2:17" s="647" customFormat="1" ht="15.2" customHeight="1">
      <c r="B1094" s="768" t="s">
        <v>966</v>
      </c>
      <c r="C1094" s="769"/>
      <c r="D1094" s="648" t="s">
        <v>3633</v>
      </c>
      <c r="E1094" s="650">
        <v>0.06</v>
      </c>
      <c r="F1094" s="649" t="s">
        <v>933</v>
      </c>
      <c r="G1094" s="655">
        <f>$J$1090+$J$1091</f>
        <v>743</v>
      </c>
      <c r="H1094" s="655">
        <f t="shared" si="319"/>
        <v>44</v>
      </c>
      <c r="I1094" s="655"/>
      <c r="J1094" s="655">
        <f t="shared" si="320"/>
        <v>0</v>
      </c>
      <c r="K1094" s="655"/>
      <c r="L1094" s="655">
        <f t="shared" si="321"/>
        <v>0</v>
      </c>
      <c r="M1094" s="655">
        <f t="shared" si="322"/>
        <v>743</v>
      </c>
      <c r="N1094" s="655">
        <f t="shared" si="323"/>
        <v>44</v>
      </c>
      <c r="O1094" s="653"/>
      <c r="P1094" s="767"/>
    </row>
    <row r="1095" spans="2:17" s="647" customFormat="1" ht="15.2" customHeight="1">
      <c r="B1095" s="768" t="s">
        <v>3634</v>
      </c>
      <c r="C1095" s="769"/>
      <c r="D1095" s="648" t="s">
        <v>3635</v>
      </c>
      <c r="E1095" s="95">
        <v>6.3400000000000001E-3</v>
      </c>
      <c r="F1095" s="649" t="s">
        <v>453</v>
      </c>
      <c r="G1095" s="655">
        <f>중기사용료!$M$473</f>
        <v>4461</v>
      </c>
      <c r="H1095" s="655">
        <f t="shared" si="319"/>
        <v>28</v>
      </c>
      <c r="I1095" s="655">
        <f>중기사용료!$M$467</f>
        <v>24483</v>
      </c>
      <c r="J1095" s="655">
        <f t="shared" si="320"/>
        <v>155</v>
      </c>
      <c r="K1095" s="655">
        <f>중기사용료!$M$461</f>
        <v>5567</v>
      </c>
      <c r="L1095" s="655">
        <f t="shared" si="321"/>
        <v>35</v>
      </c>
      <c r="M1095" s="655">
        <f t="shared" si="322"/>
        <v>34511</v>
      </c>
      <c r="N1095" s="655">
        <f t="shared" si="323"/>
        <v>218</v>
      </c>
      <c r="O1095" s="460">
        <f>중기사용료!$A$458</f>
        <v>25</v>
      </c>
      <c r="P1095" s="767"/>
    </row>
    <row r="1096" spans="2:17" s="647" customFormat="1" ht="15.2" customHeight="1">
      <c r="B1096" s="768" t="s">
        <v>3634</v>
      </c>
      <c r="C1096" s="769"/>
      <c r="D1096" s="648" t="s">
        <v>3636</v>
      </c>
      <c r="E1096" s="95">
        <v>6.3400000000000001E-3</v>
      </c>
      <c r="F1096" s="649" t="s">
        <v>453</v>
      </c>
      <c r="G1096" s="655">
        <f>중기사용료!$M$492</f>
        <v>7692</v>
      </c>
      <c r="H1096" s="655">
        <f t="shared" si="319"/>
        <v>48</v>
      </c>
      <c r="I1096" s="655">
        <f>중기사용료!$M$486</f>
        <v>24483</v>
      </c>
      <c r="J1096" s="655">
        <f t="shared" si="320"/>
        <v>155</v>
      </c>
      <c r="K1096" s="655">
        <f>중기사용료!$M$480</f>
        <v>6499</v>
      </c>
      <c r="L1096" s="655">
        <f t="shared" si="321"/>
        <v>41</v>
      </c>
      <c r="M1096" s="655">
        <f t="shared" si="322"/>
        <v>38674</v>
      </c>
      <c r="N1096" s="655">
        <f t="shared" si="323"/>
        <v>244</v>
      </c>
      <c r="O1096" s="460">
        <f>중기사용료!$A$477</f>
        <v>26</v>
      </c>
      <c r="P1096" s="767"/>
    </row>
    <row r="1097" spans="2:17" s="647" customFormat="1" ht="15.2" customHeight="1">
      <c r="B1097" s="768" t="s">
        <v>855</v>
      </c>
      <c r="C1097" s="769"/>
      <c r="D1097" s="648"/>
      <c r="E1097" s="650"/>
      <c r="F1097" s="649"/>
      <c r="G1097" s="655"/>
      <c r="H1097" s="655">
        <f>SUM(H1085:H1096)</f>
        <v>2087</v>
      </c>
      <c r="I1097" s="655"/>
      <c r="J1097" s="655">
        <f>SUM(J1085:J1096)</f>
        <v>1194</v>
      </c>
      <c r="K1097" s="655"/>
      <c r="L1097" s="655">
        <f>SUM(L1085:L1096)</f>
        <v>76</v>
      </c>
      <c r="M1097" s="655"/>
      <c r="N1097" s="655">
        <f>SUM(N1085:N1096)</f>
        <v>3357</v>
      </c>
      <c r="O1097" s="653"/>
      <c r="P1097" s="767"/>
      <c r="Q1097" s="647" t="s">
        <v>1164</v>
      </c>
    </row>
    <row r="1098" spans="2:17" ht="15.2" customHeight="1">
      <c r="B1098" s="96">
        <f>P1098</f>
        <v>177</v>
      </c>
      <c r="C1098" s="770" t="s">
        <v>1081</v>
      </c>
      <c r="D1098" s="770"/>
      <c r="E1098" s="770"/>
      <c r="F1098" s="771"/>
      <c r="G1098" s="470"/>
      <c r="H1098" s="470"/>
      <c r="I1098" s="470"/>
      <c r="J1098" s="470"/>
      <c r="K1098" s="470"/>
      <c r="L1098" s="470"/>
      <c r="M1098" s="470"/>
      <c r="N1098" s="470"/>
      <c r="O1098" s="457"/>
      <c r="P1098" s="767">
        <f>MAX($P$5:P1097)+1</f>
        <v>177</v>
      </c>
      <c r="Q1098" s="80" t="s">
        <v>3638</v>
      </c>
    </row>
    <row r="1099" spans="2:17" ht="15.2" customHeight="1">
      <c r="B1099" s="766" t="s">
        <v>1082</v>
      </c>
      <c r="C1099" s="766"/>
      <c r="D1099" s="84" t="s">
        <v>437</v>
      </c>
      <c r="E1099" s="87">
        <v>1</v>
      </c>
      <c r="F1099" s="86" t="s">
        <v>1161</v>
      </c>
      <c r="G1099" s="470"/>
      <c r="H1099" s="470">
        <f>TRUNC(E1099*G1099,0)</f>
        <v>0</v>
      </c>
      <c r="I1099" s="470"/>
      <c r="J1099" s="470">
        <f>TRUNC(I1099*E1099,0)</f>
        <v>0</v>
      </c>
      <c r="K1099" s="470">
        <f>사급자재!$M$218</f>
        <v>60000</v>
      </c>
      <c r="L1099" s="470">
        <f>TRUNC(K1099*E1099,0)</f>
        <v>60000</v>
      </c>
      <c r="M1099" s="470">
        <f>G1099+I1099+K1099</f>
        <v>60000</v>
      </c>
      <c r="N1099" s="470">
        <f>H1099+J1099+L1099</f>
        <v>60000</v>
      </c>
      <c r="O1099" s="457"/>
      <c r="P1099" s="767"/>
    </row>
    <row r="1100" spans="2:17" ht="15.2" customHeight="1">
      <c r="B1100" s="766" t="s">
        <v>855</v>
      </c>
      <c r="C1100" s="766"/>
      <c r="D1100" s="84"/>
      <c r="E1100" s="87"/>
      <c r="F1100" s="86"/>
      <c r="G1100" s="470"/>
      <c r="H1100" s="470">
        <f>SUM(H1099:H1099)</f>
        <v>0</v>
      </c>
      <c r="I1100" s="470"/>
      <c r="J1100" s="470">
        <f>SUM(J1099:J1099)</f>
        <v>0</v>
      </c>
      <c r="K1100" s="470"/>
      <c r="L1100" s="470">
        <f>SUM(L1099:L1099)</f>
        <v>60000</v>
      </c>
      <c r="M1100" s="470"/>
      <c r="N1100" s="470">
        <f>SUM(N1099:N1099)</f>
        <v>60000</v>
      </c>
      <c r="O1100" s="457"/>
      <c r="P1100" s="767"/>
      <c r="Q1100" s="80" t="s">
        <v>3244</v>
      </c>
    </row>
    <row r="1101" spans="2:17" ht="15.2" customHeight="1">
      <c r="B1101" s="96">
        <f>P1101</f>
        <v>178</v>
      </c>
      <c r="C1101" s="770" t="s">
        <v>1083</v>
      </c>
      <c r="D1101" s="770"/>
      <c r="E1101" s="770"/>
      <c r="F1101" s="771"/>
      <c r="G1101" s="470"/>
      <c r="H1101" s="470"/>
      <c r="I1101" s="470"/>
      <c r="J1101" s="470"/>
      <c r="K1101" s="470"/>
      <c r="L1101" s="470"/>
      <c r="M1101" s="470"/>
      <c r="N1101" s="470"/>
      <c r="O1101" s="457"/>
      <c r="P1101" s="767">
        <f>MAX($P$5:P1100)+1</f>
        <v>178</v>
      </c>
      <c r="Q1101" s="80" t="s">
        <v>3243</v>
      </c>
    </row>
    <row r="1102" spans="2:17" ht="15.2" customHeight="1">
      <c r="B1102" s="766" t="s">
        <v>438</v>
      </c>
      <c r="C1102" s="766"/>
      <c r="D1102" s="84" t="s">
        <v>439</v>
      </c>
      <c r="E1102" s="87">
        <v>1</v>
      </c>
      <c r="F1102" s="86" t="s">
        <v>1161</v>
      </c>
      <c r="G1102" s="470"/>
      <c r="H1102" s="470">
        <f>TRUNC(E1102*G1102,0)</f>
        <v>0</v>
      </c>
      <c r="I1102" s="470"/>
      <c r="J1102" s="470">
        <f>TRUNC(I1102*E1102,0)</f>
        <v>0</v>
      </c>
      <c r="K1102" s="470">
        <f>사급자재!$M$219</f>
        <v>105000</v>
      </c>
      <c r="L1102" s="470">
        <f>TRUNC(K1102*E1102,0)</f>
        <v>105000</v>
      </c>
      <c r="M1102" s="470">
        <f>G1102+I1102+K1102</f>
        <v>105000</v>
      </c>
      <c r="N1102" s="470">
        <f>H1102+J1102+L1102</f>
        <v>105000</v>
      </c>
      <c r="O1102" s="457"/>
      <c r="P1102" s="767"/>
    </row>
    <row r="1103" spans="2:17" ht="15.2" customHeight="1">
      <c r="B1103" s="766" t="s">
        <v>855</v>
      </c>
      <c r="C1103" s="766"/>
      <c r="D1103" s="84"/>
      <c r="E1103" s="87"/>
      <c r="F1103" s="86"/>
      <c r="G1103" s="470"/>
      <c r="H1103" s="470">
        <f>SUM(H1102:H1102)</f>
        <v>0</v>
      </c>
      <c r="I1103" s="470"/>
      <c r="J1103" s="470">
        <f>SUM(J1102:J1102)</f>
        <v>0</v>
      </c>
      <c r="K1103" s="470"/>
      <c r="L1103" s="470">
        <f>SUM(L1102:L1102)</f>
        <v>105000</v>
      </c>
      <c r="M1103" s="470"/>
      <c r="N1103" s="470">
        <f>SUM(N1102:N1102)</f>
        <v>105000</v>
      </c>
      <c r="O1103" s="457"/>
      <c r="P1103" s="767"/>
      <c r="Q1103" s="80" t="s">
        <v>3244</v>
      </c>
    </row>
    <row r="1104" spans="2:17" ht="15.2" customHeight="1">
      <c r="B1104" s="96">
        <f>P1104</f>
        <v>179</v>
      </c>
      <c r="C1104" s="770" t="s">
        <v>1084</v>
      </c>
      <c r="D1104" s="770"/>
      <c r="E1104" s="770"/>
      <c r="F1104" s="771"/>
      <c r="G1104" s="470"/>
      <c r="H1104" s="470"/>
      <c r="I1104" s="470"/>
      <c r="J1104" s="470"/>
      <c r="K1104" s="470"/>
      <c r="L1104" s="470"/>
      <c r="M1104" s="470"/>
      <c r="N1104" s="470"/>
      <c r="O1104" s="457"/>
      <c r="P1104" s="767">
        <f>MAX($P$5:P1103)+1</f>
        <v>179</v>
      </c>
      <c r="Q1104" s="80" t="s">
        <v>3243</v>
      </c>
    </row>
    <row r="1105" spans="2:17" ht="15.2" customHeight="1">
      <c r="B1105" s="766" t="s">
        <v>461</v>
      </c>
      <c r="C1105" s="766"/>
      <c r="D1105" s="84"/>
      <c r="E1105" s="87">
        <v>1.06</v>
      </c>
      <c r="F1105" s="86" t="s">
        <v>1352</v>
      </c>
      <c r="G1105" s="470"/>
      <c r="H1105" s="470">
        <f>TRUNC(E1105*G1105,0)</f>
        <v>0</v>
      </c>
      <c r="I1105" s="470"/>
      <c r="J1105" s="470">
        <f>TRUNC(I1105*E1105,0)</f>
        <v>0</v>
      </c>
      <c r="K1105" s="470">
        <f>사급자재!$M$202</f>
        <v>6100</v>
      </c>
      <c r="L1105" s="470">
        <f>TRUNC(K1105*E1105,0)</f>
        <v>6466</v>
      </c>
      <c r="M1105" s="470">
        <f t="shared" ref="M1105:N1107" si="324">G1105+I1105+K1105</f>
        <v>6100</v>
      </c>
      <c r="N1105" s="470">
        <f t="shared" si="324"/>
        <v>6466</v>
      </c>
      <c r="O1105" s="457"/>
      <c r="P1105" s="767"/>
    </row>
    <row r="1106" spans="2:17" ht="15.2" customHeight="1">
      <c r="B1106" s="766" t="s">
        <v>1201</v>
      </c>
      <c r="C1106" s="766"/>
      <c r="D1106" s="84" t="s">
        <v>1202</v>
      </c>
      <c r="E1106" s="88">
        <v>0.115</v>
      </c>
      <c r="F1106" s="86" t="s">
        <v>436</v>
      </c>
      <c r="G1106" s="470">
        <f>사급자재!$M$34</f>
        <v>1250</v>
      </c>
      <c r="H1106" s="470">
        <f>TRUNC(E1106*G1106,0)</f>
        <v>143</v>
      </c>
      <c r="I1106" s="470"/>
      <c r="J1106" s="470">
        <f>TRUNC(I1106*E1106,0)</f>
        <v>0</v>
      </c>
      <c r="K1106" s="470"/>
      <c r="L1106" s="470">
        <f>TRUNC(K1106*E1106,0)</f>
        <v>0</v>
      </c>
      <c r="M1106" s="470">
        <f t="shared" si="324"/>
        <v>1250</v>
      </c>
      <c r="N1106" s="470">
        <f t="shared" si="324"/>
        <v>143</v>
      </c>
      <c r="O1106" s="457"/>
      <c r="P1106" s="767"/>
    </row>
    <row r="1107" spans="2:17" ht="15.2" customHeight="1">
      <c r="B1107" s="766" t="s">
        <v>440</v>
      </c>
      <c r="C1107" s="766"/>
      <c r="D1107" s="84"/>
      <c r="E1107" s="88">
        <v>1.9E-2</v>
      </c>
      <c r="F1107" s="86" t="s">
        <v>1163</v>
      </c>
      <c r="G1107" s="470"/>
      <c r="H1107" s="470">
        <f>TRUNC(E1107*G1107,0)</f>
        <v>0</v>
      </c>
      <c r="I1107" s="470"/>
      <c r="J1107" s="470">
        <f>TRUNC(I1107*E1107,0)</f>
        <v>0</v>
      </c>
      <c r="K1107" s="470">
        <f>SUMIF('노임(2015)'!$B$4:$B$87,B1107,'노임(2015)'!$C$4:$C$87)+SUMIF('노임(2015)'!$E$4:$E$87,B1107,'노임(2015)'!$F$4:$F$87)</f>
        <v>161990</v>
      </c>
      <c r="L1107" s="470">
        <f>TRUNC(K1107*E1107,0)</f>
        <v>3077</v>
      </c>
      <c r="M1107" s="470">
        <f t="shared" si="324"/>
        <v>161990</v>
      </c>
      <c r="N1107" s="470">
        <f t="shared" si="324"/>
        <v>3077</v>
      </c>
      <c r="O1107" s="457"/>
      <c r="P1107" s="767"/>
    </row>
    <row r="1108" spans="2:17" ht="15.2" customHeight="1">
      <c r="B1108" s="766" t="s">
        <v>1085</v>
      </c>
      <c r="C1108" s="766"/>
      <c r="D1108" s="84"/>
      <c r="E1108" s="87"/>
      <c r="F1108" s="86"/>
      <c r="G1108" s="470"/>
      <c r="H1108" s="470">
        <f>SUM(H1105:H1107)</f>
        <v>143</v>
      </c>
      <c r="I1108" s="470"/>
      <c r="J1108" s="470">
        <f>SUM(J1105:J1107)</f>
        <v>0</v>
      </c>
      <c r="K1108" s="470"/>
      <c r="L1108" s="470">
        <f>SUM(L1105:L1107)</f>
        <v>9543</v>
      </c>
      <c r="M1108" s="470"/>
      <c r="N1108" s="470">
        <f>SUM(N1105:N1107)</f>
        <v>9686</v>
      </c>
      <c r="O1108" s="457"/>
      <c r="P1108" s="767"/>
    </row>
    <row r="1109" spans="2:17" ht="15.2" customHeight="1">
      <c r="B1109" s="766" t="s">
        <v>457</v>
      </c>
      <c r="C1109" s="766"/>
      <c r="D1109" s="84"/>
      <c r="E1109" s="87">
        <v>1</v>
      </c>
      <c r="F1109" s="86" t="s">
        <v>933</v>
      </c>
      <c r="G1109" s="470"/>
      <c r="H1109" s="470">
        <f>TRUNC(E1109*G1109,0)</f>
        <v>0</v>
      </c>
      <c r="I1109" s="470"/>
      <c r="J1109" s="470">
        <f>TRUNC(I1109*E1109,0)</f>
        <v>0</v>
      </c>
      <c r="K1109" s="470">
        <f>N1108</f>
        <v>9686</v>
      </c>
      <c r="L1109" s="470">
        <f>TRUNC(K1109*E1109,0)</f>
        <v>9686</v>
      </c>
      <c r="M1109" s="470">
        <f>G1109+I1109+K1109</f>
        <v>9686</v>
      </c>
      <c r="N1109" s="470">
        <f>H1109+J1109+L1109</f>
        <v>9686</v>
      </c>
      <c r="O1109" s="457"/>
      <c r="P1109" s="767"/>
    </row>
    <row r="1110" spans="2:17" ht="15.2" customHeight="1">
      <c r="B1110" s="766" t="s">
        <v>855</v>
      </c>
      <c r="C1110" s="766"/>
      <c r="D1110" s="84"/>
      <c r="E1110" s="87"/>
      <c r="F1110" s="86"/>
      <c r="G1110" s="470"/>
      <c r="H1110" s="470">
        <f>SUM(H1109)</f>
        <v>0</v>
      </c>
      <c r="I1110" s="470"/>
      <c r="J1110" s="470">
        <f>SUM(J1109)</f>
        <v>0</v>
      </c>
      <c r="K1110" s="470"/>
      <c r="L1110" s="470">
        <f>SUM(L1109)</f>
        <v>9686</v>
      </c>
      <c r="M1110" s="470"/>
      <c r="N1110" s="470">
        <f>SUM(N1109)</f>
        <v>9686</v>
      </c>
      <c r="O1110" s="457"/>
      <c r="P1110" s="767"/>
      <c r="Q1110" s="80" t="s">
        <v>3244</v>
      </c>
    </row>
    <row r="1111" spans="2:17" ht="15.2" customHeight="1">
      <c r="B1111" s="96">
        <f>P1111</f>
        <v>180</v>
      </c>
      <c r="C1111" s="770" t="s">
        <v>493</v>
      </c>
      <c r="D1111" s="770"/>
      <c r="E1111" s="770"/>
      <c r="F1111" s="771"/>
      <c r="G1111" s="470"/>
      <c r="H1111" s="470"/>
      <c r="I1111" s="470"/>
      <c r="J1111" s="470"/>
      <c r="K1111" s="470"/>
      <c r="L1111" s="470"/>
      <c r="M1111" s="470"/>
      <c r="N1111" s="470"/>
      <c r="O1111" s="457"/>
      <c r="P1111" s="767">
        <f>MAX($P$5:P1110)+1</f>
        <v>180</v>
      </c>
      <c r="Q1111" s="80" t="s">
        <v>3243</v>
      </c>
    </row>
    <row r="1112" spans="2:17" ht="15.2" customHeight="1">
      <c r="B1112" s="766" t="s">
        <v>494</v>
      </c>
      <c r="C1112" s="766"/>
      <c r="D1112" s="84" t="s">
        <v>499</v>
      </c>
      <c r="E1112" s="88">
        <v>0.16200000000000001</v>
      </c>
      <c r="F1112" s="86" t="s">
        <v>1190</v>
      </c>
      <c r="G1112" s="470">
        <f>사급자재!$M$100</f>
        <v>2833</v>
      </c>
      <c r="H1112" s="470">
        <f t="shared" ref="H1112:H1117" si="325">TRUNC(E1112*G1112,0)</f>
        <v>458</v>
      </c>
      <c r="I1112" s="470"/>
      <c r="J1112" s="470">
        <f t="shared" ref="J1112:J1117" si="326">TRUNC(I1112*E1112,0)</f>
        <v>0</v>
      </c>
      <c r="K1112" s="470"/>
      <c r="L1112" s="470">
        <f t="shared" ref="L1112:L1117" si="327">TRUNC(K1112*E1112,0)</f>
        <v>0</v>
      </c>
      <c r="M1112" s="470">
        <f t="shared" ref="M1112:M1117" si="328">G1112+I1112+K1112</f>
        <v>2833</v>
      </c>
      <c r="N1112" s="470">
        <f t="shared" ref="N1112:N1117" si="329">H1112+J1112+L1112</f>
        <v>458</v>
      </c>
      <c r="O1112" s="457"/>
      <c r="P1112" s="767"/>
    </row>
    <row r="1113" spans="2:17" ht="15.2" customHeight="1">
      <c r="B1113" s="766" t="s">
        <v>495</v>
      </c>
      <c r="C1113" s="766"/>
      <c r="D1113" s="84"/>
      <c r="E1113" s="97">
        <v>2.3400000000000001E-2</v>
      </c>
      <c r="F1113" s="86" t="s">
        <v>503</v>
      </c>
      <c r="G1113" s="470">
        <f>사급자재!$M$104</f>
        <v>10000</v>
      </c>
      <c r="H1113" s="470">
        <f t="shared" si="325"/>
        <v>234</v>
      </c>
      <c r="I1113" s="470"/>
      <c r="J1113" s="470">
        <f t="shared" si="326"/>
        <v>0</v>
      </c>
      <c r="K1113" s="470"/>
      <c r="L1113" s="470">
        <f t="shared" si="327"/>
        <v>0</v>
      </c>
      <c r="M1113" s="470">
        <f t="shared" si="328"/>
        <v>10000</v>
      </c>
      <c r="N1113" s="470">
        <f t="shared" si="329"/>
        <v>234</v>
      </c>
      <c r="O1113" s="457"/>
      <c r="P1113" s="767"/>
    </row>
    <row r="1114" spans="2:17" ht="15.2" customHeight="1">
      <c r="B1114" s="766" t="s">
        <v>496</v>
      </c>
      <c r="C1114" s="766"/>
      <c r="D1114" s="84" t="s">
        <v>500</v>
      </c>
      <c r="E1114" s="97">
        <v>3.2399999999999998E-2</v>
      </c>
      <c r="F1114" s="86" t="s">
        <v>503</v>
      </c>
      <c r="G1114" s="470">
        <f>사급자재!$M$102</f>
        <v>1500</v>
      </c>
      <c r="H1114" s="470">
        <f t="shared" si="325"/>
        <v>48</v>
      </c>
      <c r="I1114" s="470"/>
      <c r="J1114" s="470">
        <f t="shared" si="326"/>
        <v>0</v>
      </c>
      <c r="K1114" s="470"/>
      <c r="L1114" s="470">
        <f t="shared" si="327"/>
        <v>0</v>
      </c>
      <c r="M1114" s="470">
        <f t="shared" si="328"/>
        <v>1500</v>
      </c>
      <c r="N1114" s="470">
        <f t="shared" si="329"/>
        <v>48</v>
      </c>
      <c r="O1114" s="457"/>
      <c r="P1114" s="767"/>
    </row>
    <row r="1115" spans="2:17" ht="15.2" customHeight="1">
      <c r="B1115" s="766" t="s">
        <v>497</v>
      </c>
      <c r="C1115" s="766"/>
      <c r="D1115" s="84" t="s">
        <v>501</v>
      </c>
      <c r="E1115" s="88">
        <v>0.25</v>
      </c>
      <c r="F1115" s="86" t="s">
        <v>504</v>
      </c>
      <c r="G1115" s="470">
        <f>사급자재!$M$34</f>
        <v>1250</v>
      </c>
      <c r="H1115" s="470">
        <f t="shared" si="325"/>
        <v>312</v>
      </c>
      <c r="I1115" s="470"/>
      <c r="J1115" s="470">
        <f t="shared" si="326"/>
        <v>0</v>
      </c>
      <c r="K1115" s="470"/>
      <c r="L1115" s="470">
        <f t="shared" si="327"/>
        <v>0</v>
      </c>
      <c r="M1115" s="470">
        <f t="shared" si="328"/>
        <v>1250</v>
      </c>
      <c r="N1115" s="470">
        <f t="shared" si="329"/>
        <v>312</v>
      </c>
      <c r="O1115" s="457"/>
      <c r="P1115" s="767"/>
    </row>
    <row r="1116" spans="2:17" ht="15.2" customHeight="1">
      <c r="B1116" s="766" t="s">
        <v>498</v>
      </c>
      <c r="C1116" s="766"/>
      <c r="D1116" s="84" t="s">
        <v>502</v>
      </c>
      <c r="E1116" s="87">
        <v>1.24</v>
      </c>
      <c r="F1116" s="86" t="s">
        <v>1352</v>
      </c>
      <c r="G1116" s="470">
        <f>사급자재!$M$105</f>
        <v>1400</v>
      </c>
      <c r="H1116" s="470">
        <f t="shared" si="325"/>
        <v>1736</v>
      </c>
      <c r="I1116" s="470"/>
      <c r="J1116" s="470">
        <f t="shared" si="326"/>
        <v>0</v>
      </c>
      <c r="K1116" s="470"/>
      <c r="L1116" s="470">
        <f t="shared" si="327"/>
        <v>0</v>
      </c>
      <c r="M1116" s="470">
        <f t="shared" si="328"/>
        <v>1400</v>
      </c>
      <c r="N1116" s="470">
        <f t="shared" si="329"/>
        <v>1736</v>
      </c>
      <c r="O1116" s="457"/>
      <c r="P1116" s="767"/>
    </row>
    <row r="1117" spans="2:17" ht="15.2" customHeight="1">
      <c r="B1117" s="766" t="s">
        <v>440</v>
      </c>
      <c r="C1117" s="766"/>
      <c r="D1117" s="84"/>
      <c r="E1117" s="87">
        <v>0.04</v>
      </c>
      <c r="F1117" s="86" t="s">
        <v>1163</v>
      </c>
      <c r="G1117" s="470"/>
      <c r="H1117" s="470">
        <f t="shared" si="325"/>
        <v>0</v>
      </c>
      <c r="I1117" s="470">
        <f>SUMIF('노임(2015)'!$B$4:$B$87,B1117,'노임(2015)'!$C$4:$C$87)+SUMIF('노임(2015)'!$E$4:$E$87,B1117,'노임(2015)'!$F$4:$F$87)</f>
        <v>161990</v>
      </c>
      <c r="J1117" s="470">
        <f t="shared" si="326"/>
        <v>6479</v>
      </c>
      <c r="K1117" s="470"/>
      <c r="L1117" s="470">
        <f t="shared" si="327"/>
        <v>0</v>
      </c>
      <c r="M1117" s="470">
        <f t="shared" si="328"/>
        <v>161990</v>
      </c>
      <c r="N1117" s="470">
        <f t="shared" si="329"/>
        <v>6479</v>
      </c>
      <c r="O1117" s="457"/>
      <c r="P1117" s="767"/>
    </row>
    <row r="1118" spans="2:17" ht="15.2" customHeight="1">
      <c r="B1118" s="766" t="s">
        <v>855</v>
      </c>
      <c r="C1118" s="766"/>
      <c r="D1118" s="84"/>
      <c r="E1118" s="87"/>
      <c r="F1118" s="86"/>
      <c r="G1118" s="470"/>
      <c r="H1118" s="470">
        <f>SUM(H1112:H1117)</f>
        <v>2788</v>
      </c>
      <c r="I1118" s="470"/>
      <c r="J1118" s="470">
        <f>SUM(J1112:J1117)</f>
        <v>6479</v>
      </c>
      <c r="K1118" s="470"/>
      <c r="L1118" s="470">
        <f>SUM(L1112:L1117)</f>
        <v>0</v>
      </c>
      <c r="M1118" s="470"/>
      <c r="N1118" s="470">
        <f>SUM(N1112:N1117)</f>
        <v>9267</v>
      </c>
      <c r="O1118" s="457"/>
      <c r="P1118" s="767"/>
      <c r="Q1118" s="80" t="s">
        <v>3244</v>
      </c>
    </row>
    <row r="1119" spans="2:17" ht="15.2" customHeight="1">
      <c r="B1119" s="96">
        <f>P1119</f>
        <v>181</v>
      </c>
      <c r="C1119" s="770" t="s">
        <v>505</v>
      </c>
      <c r="D1119" s="770"/>
      <c r="E1119" s="770"/>
      <c r="F1119" s="771"/>
      <c r="G1119" s="470"/>
      <c r="H1119" s="470"/>
      <c r="I1119" s="470"/>
      <c r="J1119" s="470"/>
      <c r="K1119" s="470"/>
      <c r="L1119" s="470"/>
      <c r="M1119" s="470"/>
      <c r="N1119" s="470"/>
      <c r="O1119" s="457"/>
      <c r="P1119" s="767">
        <f>MAX($P$5:P1118)+1</f>
        <v>181</v>
      </c>
      <c r="Q1119" s="80" t="s">
        <v>3243</v>
      </c>
    </row>
    <row r="1120" spans="2:17" ht="15.2" customHeight="1">
      <c r="B1120" s="766" t="s">
        <v>494</v>
      </c>
      <c r="C1120" s="766"/>
      <c r="D1120" s="84" t="s">
        <v>499</v>
      </c>
      <c r="E1120" s="88">
        <v>0.27</v>
      </c>
      <c r="F1120" s="86" t="s">
        <v>1190</v>
      </c>
      <c r="G1120" s="470">
        <f>사급자재!$M$100</f>
        <v>2833</v>
      </c>
      <c r="H1120" s="470">
        <f t="shared" ref="H1120:H1125" si="330">TRUNC(E1120*G1120,0)</f>
        <v>764</v>
      </c>
      <c r="I1120" s="470"/>
      <c r="J1120" s="470">
        <f t="shared" ref="J1120:J1125" si="331">TRUNC(I1120*E1120,0)</f>
        <v>0</v>
      </c>
      <c r="K1120" s="470"/>
      <c r="L1120" s="470">
        <f t="shared" ref="L1120:L1125" si="332">TRUNC(K1120*E1120,0)</f>
        <v>0</v>
      </c>
      <c r="M1120" s="470">
        <f t="shared" ref="M1120:M1125" si="333">G1120+I1120+K1120</f>
        <v>2833</v>
      </c>
      <c r="N1120" s="470">
        <f t="shared" ref="N1120:N1125" si="334">H1120+J1120+L1120</f>
        <v>764</v>
      </c>
      <c r="O1120" s="457"/>
      <c r="P1120" s="767"/>
    </row>
    <row r="1121" spans="2:17" ht="15.2" customHeight="1">
      <c r="B1121" s="766" t="s">
        <v>495</v>
      </c>
      <c r="C1121" s="766"/>
      <c r="D1121" s="84"/>
      <c r="E1121" s="97">
        <v>3.9E-2</v>
      </c>
      <c r="F1121" s="86" t="s">
        <v>503</v>
      </c>
      <c r="G1121" s="470">
        <f>사급자재!$M$104</f>
        <v>10000</v>
      </c>
      <c r="H1121" s="470">
        <f t="shared" si="330"/>
        <v>390</v>
      </c>
      <c r="I1121" s="470"/>
      <c r="J1121" s="470">
        <f t="shared" si="331"/>
        <v>0</v>
      </c>
      <c r="K1121" s="470"/>
      <c r="L1121" s="470">
        <f t="shared" si="332"/>
        <v>0</v>
      </c>
      <c r="M1121" s="470">
        <f t="shared" si="333"/>
        <v>10000</v>
      </c>
      <c r="N1121" s="470">
        <f t="shared" si="334"/>
        <v>390</v>
      </c>
      <c r="O1121" s="457"/>
      <c r="P1121" s="767"/>
    </row>
    <row r="1122" spans="2:17" ht="15.2" customHeight="1">
      <c r="B1122" s="766" t="s">
        <v>496</v>
      </c>
      <c r="C1122" s="766"/>
      <c r="D1122" s="84" t="s">
        <v>500</v>
      </c>
      <c r="E1122" s="97">
        <v>5.3999999999999999E-2</v>
      </c>
      <c r="F1122" s="86" t="s">
        <v>503</v>
      </c>
      <c r="G1122" s="470">
        <f>사급자재!$M$102</f>
        <v>1500</v>
      </c>
      <c r="H1122" s="470">
        <f t="shared" si="330"/>
        <v>81</v>
      </c>
      <c r="I1122" s="470"/>
      <c r="J1122" s="470">
        <f t="shared" si="331"/>
        <v>0</v>
      </c>
      <c r="K1122" s="470"/>
      <c r="L1122" s="470">
        <f t="shared" si="332"/>
        <v>0</v>
      </c>
      <c r="M1122" s="470">
        <f t="shared" si="333"/>
        <v>1500</v>
      </c>
      <c r="N1122" s="470">
        <f t="shared" si="334"/>
        <v>81</v>
      </c>
      <c r="O1122" s="457"/>
      <c r="P1122" s="767"/>
    </row>
    <row r="1123" spans="2:17" ht="15.2" customHeight="1">
      <c r="B1123" s="766" t="s">
        <v>497</v>
      </c>
      <c r="C1123" s="766"/>
      <c r="D1123" s="84" t="s">
        <v>501</v>
      </c>
      <c r="E1123" s="88">
        <v>0.25</v>
      </c>
      <c r="F1123" s="86" t="s">
        <v>504</v>
      </c>
      <c r="G1123" s="470">
        <f>사급자재!$M$34</f>
        <v>1250</v>
      </c>
      <c r="H1123" s="470">
        <f t="shared" si="330"/>
        <v>312</v>
      </c>
      <c r="I1123" s="470"/>
      <c r="J1123" s="470">
        <f t="shared" si="331"/>
        <v>0</v>
      </c>
      <c r="K1123" s="470"/>
      <c r="L1123" s="470">
        <f t="shared" si="332"/>
        <v>0</v>
      </c>
      <c r="M1123" s="470">
        <f t="shared" si="333"/>
        <v>1250</v>
      </c>
      <c r="N1123" s="470">
        <f t="shared" si="334"/>
        <v>312</v>
      </c>
      <c r="O1123" s="457"/>
      <c r="P1123" s="767"/>
    </row>
    <row r="1124" spans="2:17" ht="15.2" customHeight="1">
      <c r="B1124" s="766" t="s">
        <v>498</v>
      </c>
      <c r="C1124" s="766"/>
      <c r="D1124" s="84" t="s">
        <v>502</v>
      </c>
      <c r="E1124" s="87">
        <v>1.24</v>
      </c>
      <c r="F1124" s="86" t="s">
        <v>1352</v>
      </c>
      <c r="G1124" s="470">
        <f>사급자재!$M$105</f>
        <v>1400</v>
      </c>
      <c r="H1124" s="470">
        <f t="shared" si="330"/>
        <v>1736</v>
      </c>
      <c r="I1124" s="470"/>
      <c r="J1124" s="470">
        <f t="shared" si="331"/>
        <v>0</v>
      </c>
      <c r="K1124" s="470"/>
      <c r="L1124" s="470">
        <f t="shared" si="332"/>
        <v>0</v>
      </c>
      <c r="M1124" s="470">
        <f t="shared" si="333"/>
        <v>1400</v>
      </c>
      <c r="N1124" s="470">
        <f t="shared" si="334"/>
        <v>1736</v>
      </c>
      <c r="O1124" s="457"/>
      <c r="P1124" s="767"/>
    </row>
    <row r="1125" spans="2:17" ht="15.2" customHeight="1">
      <c r="B1125" s="766" t="s">
        <v>440</v>
      </c>
      <c r="C1125" s="766"/>
      <c r="D1125" s="84"/>
      <c r="E1125" s="87">
        <v>0.04</v>
      </c>
      <c r="F1125" s="86" t="s">
        <v>1163</v>
      </c>
      <c r="G1125" s="470"/>
      <c r="H1125" s="470">
        <f t="shared" si="330"/>
        <v>0</v>
      </c>
      <c r="I1125" s="470">
        <f>SUMIF('노임(2015)'!$B$4:$B$87,B1125,'노임(2015)'!$C$4:$C$87)+SUMIF('노임(2015)'!$E$4:$E$87,B1125,'노임(2015)'!$F$4:$F$87)</f>
        <v>161990</v>
      </c>
      <c r="J1125" s="470">
        <f t="shared" si="331"/>
        <v>6479</v>
      </c>
      <c r="K1125" s="470"/>
      <c r="L1125" s="470">
        <f t="shared" si="332"/>
        <v>0</v>
      </c>
      <c r="M1125" s="470">
        <f t="shared" si="333"/>
        <v>161990</v>
      </c>
      <c r="N1125" s="470">
        <f t="shared" si="334"/>
        <v>6479</v>
      </c>
      <c r="O1125" s="457"/>
      <c r="P1125" s="767"/>
    </row>
    <row r="1126" spans="2:17" ht="15.2" customHeight="1">
      <c r="B1126" s="766" t="s">
        <v>855</v>
      </c>
      <c r="C1126" s="766"/>
      <c r="D1126" s="84"/>
      <c r="E1126" s="87"/>
      <c r="F1126" s="86"/>
      <c r="G1126" s="470"/>
      <c r="H1126" s="470">
        <f>SUM(H1120:H1125)</f>
        <v>3283</v>
      </c>
      <c r="I1126" s="470"/>
      <c r="J1126" s="470">
        <f>SUM(J1120:J1125)</f>
        <v>6479</v>
      </c>
      <c r="K1126" s="470"/>
      <c r="L1126" s="470">
        <f>SUM(L1120:L1125)</f>
        <v>0</v>
      </c>
      <c r="M1126" s="470"/>
      <c r="N1126" s="470">
        <f>SUM(N1120:N1125)</f>
        <v>9762</v>
      </c>
      <c r="O1126" s="457"/>
      <c r="P1126" s="767"/>
      <c r="Q1126" s="80" t="s">
        <v>3244</v>
      </c>
    </row>
    <row r="1127" spans="2:17" ht="15.2" customHeight="1">
      <c r="B1127" s="96">
        <f>P1127</f>
        <v>182</v>
      </c>
      <c r="C1127" s="770" t="s">
        <v>506</v>
      </c>
      <c r="D1127" s="770"/>
      <c r="E1127" s="770"/>
      <c r="F1127" s="771"/>
      <c r="G1127" s="470"/>
      <c r="H1127" s="470"/>
      <c r="I1127" s="470"/>
      <c r="J1127" s="470"/>
      <c r="K1127" s="470"/>
      <c r="L1127" s="470"/>
      <c r="M1127" s="470"/>
      <c r="N1127" s="470"/>
      <c r="O1127" s="457"/>
      <c r="P1127" s="767">
        <f>MAX($P$5:P1126)+1</f>
        <v>182</v>
      </c>
      <c r="Q1127" s="80" t="s">
        <v>3243</v>
      </c>
    </row>
    <row r="1128" spans="2:17" ht="15.2" customHeight="1">
      <c r="B1128" s="766" t="s">
        <v>494</v>
      </c>
      <c r="C1128" s="766"/>
      <c r="D1128" s="84" t="s">
        <v>499</v>
      </c>
      <c r="E1128" s="88">
        <v>0.51300000000000001</v>
      </c>
      <c r="F1128" s="86" t="s">
        <v>1190</v>
      </c>
      <c r="G1128" s="470">
        <f>사급자재!$M$100</f>
        <v>2833</v>
      </c>
      <c r="H1128" s="470">
        <f t="shared" ref="H1128:H1133" si="335">TRUNC(E1128*G1128,0)</f>
        <v>1453</v>
      </c>
      <c r="I1128" s="470"/>
      <c r="J1128" s="470">
        <f t="shared" ref="J1128:J1133" si="336">TRUNC(I1128*E1128,0)</f>
        <v>0</v>
      </c>
      <c r="K1128" s="470"/>
      <c r="L1128" s="470">
        <f t="shared" ref="L1128:L1133" si="337">TRUNC(K1128*E1128,0)</f>
        <v>0</v>
      </c>
      <c r="M1128" s="470">
        <f t="shared" ref="M1128:M1133" si="338">G1128+I1128+K1128</f>
        <v>2833</v>
      </c>
      <c r="N1128" s="470">
        <f t="shared" ref="N1128:N1133" si="339">H1128+J1128+L1128</f>
        <v>1453</v>
      </c>
      <c r="O1128" s="457"/>
      <c r="P1128" s="767"/>
    </row>
    <row r="1129" spans="2:17" ht="15.2" customHeight="1">
      <c r="B1129" s="766" t="s">
        <v>495</v>
      </c>
      <c r="C1129" s="766"/>
      <c r="D1129" s="84"/>
      <c r="E1129" s="97">
        <v>7.5399999999999995E-2</v>
      </c>
      <c r="F1129" s="86" t="s">
        <v>503</v>
      </c>
      <c r="G1129" s="470">
        <f>사급자재!$M$104</f>
        <v>10000</v>
      </c>
      <c r="H1129" s="470">
        <f t="shared" si="335"/>
        <v>754</v>
      </c>
      <c r="I1129" s="470"/>
      <c r="J1129" s="470">
        <f t="shared" si="336"/>
        <v>0</v>
      </c>
      <c r="K1129" s="470"/>
      <c r="L1129" s="470">
        <f t="shared" si="337"/>
        <v>0</v>
      </c>
      <c r="M1129" s="470">
        <f t="shared" si="338"/>
        <v>10000</v>
      </c>
      <c r="N1129" s="470">
        <f t="shared" si="339"/>
        <v>754</v>
      </c>
      <c r="O1129" s="457"/>
      <c r="P1129" s="767"/>
    </row>
    <row r="1130" spans="2:17" ht="15.2" customHeight="1">
      <c r="B1130" s="766" t="s">
        <v>496</v>
      </c>
      <c r="C1130" s="766"/>
      <c r="D1130" s="84" t="s">
        <v>500</v>
      </c>
      <c r="E1130" s="97">
        <v>0.1026</v>
      </c>
      <c r="F1130" s="86" t="s">
        <v>503</v>
      </c>
      <c r="G1130" s="470">
        <f>사급자재!$M$102</f>
        <v>1500</v>
      </c>
      <c r="H1130" s="470">
        <f t="shared" si="335"/>
        <v>153</v>
      </c>
      <c r="I1130" s="470"/>
      <c r="J1130" s="470">
        <f t="shared" si="336"/>
        <v>0</v>
      </c>
      <c r="K1130" s="470"/>
      <c r="L1130" s="470">
        <f t="shared" si="337"/>
        <v>0</v>
      </c>
      <c r="M1130" s="470">
        <f t="shared" si="338"/>
        <v>1500</v>
      </c>
      <c r="N1130" s="470">
        <f t="shared" si="339"/>
        <v>153</v>
      </c>
      <c r="O1130" s="457"/>
      <c r="P1130" s="767"/>
    </row>
    <row r="1131" spans="2:17" ht="15.2" customHeight="1">
      <c r="B1131" s="766" t="s">
        <v>497</v>
      </c>
      <c r="C1131" s="766"/>
      <c r="D1131" s="84" t="s">
        <v>501</v>
      </c>
      <c r="E1131" s="88">
        <v>0.25</v>
      </c>
      <c r="F1131" s="86" t="s">
        <v>504</v>
      </c>
      <c r="G1131" s="470">
        <f>사급자재!$M$34</f>
        <v>1250</v>
      </c>
      <c r="H1131" s="470">
        <f t="shared" si="335"/>
        <v>312</v>
      </c>
      <c r="I1131" s="470"/>
      <c r="J1131" s="470">
        <f t="shared" si="336"/>
        <v>0</v>
      </c>
      <c r="K1131" s="470"/>
      <c r="L1131" s="470">
        <f t="shared" si="337"/>
        <v>0</v>
      </c>
      <c r="M1131" s="470">
        <f t="shared" si="338"/>
        <v>1250</v>
      </c>
      <c r="N1131" s="470">
        <f t="shared" si="339"/>
        <v>312</v>
      </c>
      <c r="O1131" s="457"/>
      <c r="P1131" s="767"/>
    </row>
    <row r="1132" spans="2:17" ht="15.2" customHeight="1">
      <c r="B1132" s="766" t="s">
        <v>498</v>
      </c>
      <c r="C1132" s="766"/>
      <c r="D1132" s="84" t="s">
        <v>502</v>
      </c>
      <c r="E1132" s="87">
        <v>1.24</v>
      </c>
      <c r="F1132" s="86" t="s">
        <v>1352</v>
      </c>
      <c r="G1132" s="470">
        <f>사급자재!$M$105</f>
        <v>1400</v>
      </c>
      <c r="H1132" s="470">
        <f t="shared" si="335"/>
        <v>1736</v>
      </c>
      <c r="I1132" s="470"/>
      <c r="J1132" s="470">
        <f t="shared" si="336"/>
        <v>0</v>
      </c>
      <c r="K1132" s="470"/>
      <c r="L1132" s="470">
        <f t="shared" si="337"/>
        <v>0</v>
      </c>
      <c r="M1132" s="470">
        <f t="shared" si="338"/>
        <v>1400</v>
      </c>
      <c r="N1132" s="470">
        <f t="shared" si="339"/>
        <v>1736</v>
      </c>
      <c r="O1132" s="457"/>
      <c r="P1132" s="767"/>
    </row>
    <row r="1133" spans="2:17" ht="15.2" customHeight="1">
      <c r="B1133" s="766" t="s">
        <v>440</v>
      </c>
      <c r="C1133" s="766"/>
      <c r="D1133" s="84"/>
      <c r="E1133" s="87">
        <v>0.04</v>
      </c>
      <c r="F1133" s="86" t="s">
        <v>1163</v>
      </c>
      <c r="G1133" s="470"/>
      <c r="H1133" s="470">
        <f t="shared" si="335"/>
        <v>0</v>
      </c>
      <c r="I1133" s="470">
        <f>SUMIF('노임(2015)'!$B$4:$B$87,B1133,'노임(2015)'!$C$4:$C$87)+SUMIF('노임(2015)'!$E$4:$E$87,B1133,'노임(2015)'!$F$4:$F$87)</f>
        <v>161990</v>
      </c>
      <c r="J1133" s="470">
        <f t="shared" si="336"/>
        <v>6479</v>
      </c>
      <c r="K1133" s="470"/>
      <c r="L1133" s="470">
        <f t="shared" si="337"/>
        <v>0</v>
      </c>
      <c r="M1133" s="470">
        <f t="shared" si="338"/>
        <v>161990</v>
      </c>
      <c r="N1133" s="470">
        <f t="shared" si="339"/>
        <v>6479</v>
      </c>
      <c r="O1133" s="457"/>
      <c r="P1133" s="767"/>
    </row>
    <row r="1134" spans="2:17" ht="15.2" customHeight="1">
      <c r="B1134" s="766" t="s">
        <v>855</v>
      </c>
      <c r="C1134" s="766"/>
      <c r="D1134" s="84"/>
      <c r="E1134" s="87"/>
      <c r="F1134" s="86"/>
      <c r="G1134" s="470"/>
      <c r="H1134" s="470">
        <f>SUM(H1128:H1133)</f>
        <v>4408</v>
      </c>
      <c r="I1134" s="470"/>
      <c r="J1134" s="470">
        <f>SUM(J1128:J1133)</f>
        <v>6479</v>
      </c>
      <c r="K1134" s="470"/>
      <c r="L1134" s="470">
        <f>SUM(L1128:L1133)</f>
        <v>0</v>
      </c>
      <c r="M1134" s="470"/>
      <c r="N1134" s="470">
        <f>SUM(N1128:N1133)</f>
        <v>10887</v>
      </c>
      <c r="O1134" s="457"/>
      <c r="P1134" s="767"/>
      <c r="Q1134" s="80" t="s">
        <v>3244</v>
      </c>
    </row>
    <row r="1135" spans="2:17" ht="15.2" customHeight="1">
      <c r="B1135" s="96">
        <f>P1135</f>
        <v>183</v>
      </c>
      <c r="C1135" s="770" t="s">
        <v>1086</v>
      </c>
      <c r="D1135" s="770"/>
      <c r="E1135" s="770"/>
      <c r="F1135" s="771"/>
      <c r="G1135" s="470"/>
      <c r="H1135" s="470"/>
      <c r="I1135" s="470"/>
      <c r="J1135" s="470"/>
      <c r="K1135" s="470"/>
      <c r="L1135" s="470"/>
      <c r="M1135" s="470"/>
      <c r="N1135" s="470"/>
      <c r="O1135" s="457"/>
      <c r="P1135" s="767">
        <f>MAX($P$5:P1134)+1</f>
        <v>183</v>
      </c>
      <c r="Q1135" s="80" t="s">
        <v>3243</v>
      </c>
    </row>
    <row r="1136" spans="2:17" ht="15.2" customHeight="1">
      <c r="B1136" s="766" t="s">
        <v>1087</v>
      </c>
      <c r="C1136" s="766"/>
      <c r="D1136" s="84" t="s">
        <v>441</v>
      </c>
      <c r="E1136" s="88"/>
      <c r="F1136" s="86" t="s">
        <v>1531</v>
      </c>
      <c r="G1136" s="470"/>
      <c r="H1136" s="470">
        <f>TRUNC(E1136*G1136,0)</f>
        <v>0</v>
      </c>
      <c r="I1136" s="470"/>
      <c r="J1136" s="470">
        <f>TRUNC(I1136*E1136,0)</f>
        <v>0</v>
      </c>
      <c r="K1136" s="470">
        <f>사급자재!$M$116</f>
        <v>1600000</v>
      </c>
      <c r="L1136" s="470">
        <f>TRUNC(K1136*E1136,0)</f>
        <v>0</v>
      </c>
      <c r="M1136" s="470">
        <f t="shared" ref="M1136:N1140" si="340">G1136+I1136+K1136</f>
        <v>1600000</v>
      </c>
      <c r="N1136" s="470">
        <f t="shared" si="340"/>
        <v>0</v>
      </c>
      <c r="O1136" s="457"/>
      <c r="P1136" s="767"/>
    </row>
    <row r="1137" spans="2:17" ht="15.2" customHeight="1">
      <c r="B1137" s="766" t="s">
        <v>442</v>
      </c>
      <c r="C1137" s="766"/>
      <c r="D1137" s="84" t="s">
        <v>443</v>
      </c>
      <c r="E1137" s="87">
        <v>0.12</v>
      </c>
      <c r="F1137" s="86" t="s">
        <v>933</v>
      </c>
      <c r="G1137" s="470"/>
      <c r="H1137" s="470">
        <f>TRUNC(E1137*G1137,0)</f>
        <v>0</v>
      </c>
      <c r="I1137" s="470"/>
      <c r="J1137" s="470">
        <f>TRUNC(I1137*E1137,0)</f>
        <v>0</v>
      </c>
      <c r="K1137" s="470">
        <f>K1136</f>
        <v>1600000</v>
      </c>
      <c r="L1137" s="470">
        <f>TRUNC(K1137*E1137,0)</f>
        <v>192000</v>
      </c>
      <c r="M1137" s="470">
        <f t="shared" si="340"/>
        <v>1600000</v>
      </c>
      <c r="N1137" s="470">
        <f t="shared" si="340"/>
        <v>192000</v>
      </c>
      <c r="O1137" s="457"/>
      <c r="P1137" s="767"/>
    </row>
    <row r="1138" spans="2:17" ht="15.2" customHeight="1">
      <c r="B1138" s="766" t="s">
        <v>3316</v>
      </c>
      <c r="C1138" s="766"/>
      <c r="D1138" s="84" t="s">
        <v>1088</v>
      </c>
      <c r="E1138" s="87">
        <v>1</v>
      </c>
      <c r="F1138" s="86" t="s">
        <v>445</v>
      </c>
      <c r="G1138" s="470"/>
      <c r="H1138" s="470">
        <f>TRUNC(E1138*G1138,0)</f>
        <v>0</v>
      </c>
      <c r="I1138" s="470"/>
      <c r="J1138" s="470">
        <f>TRUNC(I1138*E1138,0)</f>
        <v>0</v>
      </c>
      <c r="K1138" s="470">
        <f>중기사용료!$M$950</f>
        <v>58411</v>
      </c>
      <c r="L1138" s="470">
        <f>TRUNC(K1138*E1138,0)</f>
        <v>58411</v>
      </c>
      <c r="M1138" s="470">
        <f t="shared" si="340"/>
        <v>58411</v>
      </c>
      <c r="N1138" s="470">
        <f t="shared" si="340"/>
        <v>58411</v>
      </c>
      <c r="O1138" s="460">
        <f>중기사용료!$A$933</f>
        <v>50</v>
      </c>
      <c r="P1138" s="767"/>
    </row>
    <row r="1139" spans="2:17" ht="15.2" customHeight="1">
      <c r="B1139" s="766" t="s">
        <v>440</v>
      </c>
      <c r="C1139" s="766"/>
      <c r="D1139" s="84"/>
      <c r="E1139" s="87">
        <v>0.2</v>
      </c>
      <c r="F1139" s="86" t="s">
        <v>1163</v>
      </c>
      <c r="G1139" s="470"/>
      <c r="H1139" s="470">
        <f>TRUNC(E1139*G1139,0)</f>
        <v>0</v>
      </c>
      <c r="I1139" s="470"/>
      <c r="J1139" s="470">
        <f>TRUNC(I1139*E1139,0)</f>
        <v>0</v>
      </c>
      <c r="K1139" s="470">
        <f>SUMIF('노임(2015)'!$B$4:$B$87,B1139,'노임(2015)'!$C$4:$C$87)+SUMIF('노임(2015)'!$E$4:$E$87,B1139,'노임(2015)'!$F$4:$F$87)</f>
        <v>161990</v>
      </c>
      <c r="L1139" s="470">
        <f>TRUNC(K1139*E1139,0)</f>
        <v>32398</v>
      </c>
      <c r="M1139" s="470">
        <f t="shared" si="340"/>
        <v>161990</v>
      </c>
      <c r="N1139" s="470">
        <f t="shared" si="340"/>
        <v>32398</v>
      </c>
      <c r="O1139" s="457"/>
      <c r="P1139" s="767"/>
    </row>
    <row r="1140" spans="2:17" ht="15.2" customHeight="1">
      <c r="B1140" s="766" t="s">
        <v>1165</v>
      </c>
      <c r="C1140" s="766"/>
      <c r="D1140" s="84"/>
      <c r="E1140" s="87">
        <v>0.09</v>
      </c>
      <c r="F1140" s="86" t="s">
        <v>1163</v>
      </c>
      <c r="G1140" s="470"/>
      <c r="H1140" s="470">
        <f>TRUNC(E1140*G1140,0)</f>
        <v>0</v>
      </c>
      <c r="I1140" s="470"/>
      <c r="J1140" s="470">
        <f>TRUNC(I1140*E1140,0)</f>
        <v>0</v>
      </c>
      <c r="K1140" s="470">
        <f>SUMIF('노임(2015)'!$B$4:$B$87,B1140,'노임(2015)'!$C$4:$C$87)+SUMIF('노임(2015)'!$E$4:$E$87,B1140,'노임(2015)'!$F$4:$F$87)</f>
        <v>111771</v>
      </c>
      <c r="L1140" s="470">
        <f>TRUNC(K1140*E1140,0)</f>
        <v>10059</v>
      </c>
      <c r="M1140" s="470">
        <f t="shared" si="340"/>
        <v>111771</v>
      </c>
      <c r="N1140" s="470">
        <f t="shared" si="340"/>
        <v>10059</v>
      </c>
      <c r="O1140" s="457"/>
      <c r="P1140" s="767"/>
    </row>
    <row r="1141" spans="2:17" ht="15.2" customHeight="1">
      <c r="B1141" s="766" t="s">
        <v>855</v>
      </c>
      <c r="C1141" s="766"/>
      <c r="D1141" s="84"/>
      <c r="E1141" s="87"/>
      <c r="F1141" s="86"/>
      <c r="G1141" s="470"/>
      <c r="H1141" s="470">
        <f>SUM(H1136:H1140)</f>
        <v>0</v>
      </c>
      <c r="I1141" s="470"/>
      <c r="J1141" s="470">
        <f>SUM(J1136:J1140)</f>
        <v>0</v>
      </c>
      <c r="K1141" s="470"/>
      <c r="L1141" s="470">
        <f>SUM(L1136:L1140)</f>
        <v>292868</v>
      </c>
      <c r="M1141" s="470"/>
      <c r="N1141" s="470">
        <f>SUM(N1136:N1140)</f>
        <v>292868</v>
      </c>
      <c r="O1141" s="457"/>
      <c r="P1141" s="767"/>
      <c r="Q1141" s="80" t="s">
        <v>3244</v>
      </c>
    </row>
    <row r="1142" spans="2:17" ht="15.2" customHeight="1">
      <c r="B1142" s="96">
        <f>P1142</f>
        <v>184</v>
      </c>
      <c r="C1142" s="770" t="s">
        <v>1089</v>
      </c>
      <c r="D1142" s="770"/>
      <c r="E1142" s="770"/>
      <c r="F1142" s="771"/>
      <c r="G1142" s="470"/>
      <c r="H1142" s="470"/>
      <c r="I1142" s="470"/>
      <c r="J1142" s="470"/>
      <c r="K1142" s="470"/>
      <c r="L1142" s="470"/>
      <c r="M1142" s="470"/>
      <c r="N1142" s="470"/>
      <c r="O1142" s="457"/>
      <c r="P1142" s="767">
        <f>MAX($P$5:P1141)+1</f>
        <v>184</v>
      </c>
      <c r="Q1142" s="80" t="s">
        <v>3243</v>
      </c>
    </row>
    <row r="1143" spans="2:17" ht="15.2" customHeight="1">
      <c r="B1143" s="766" t="s">
        <v>1087</v>
      </c>
      <c r="C1143" s="766"/>
      <c r="D1143" s="84" t="s">
        <v>843</v>
      </c>
      <c r="E1143" s="88"/>
      <c r="F1143" s="86" t="s">
        <v>1531</v>
      </c>
      <c r="G1143" s="470"/>
      <c r="H1143" s="470">
        <f>TRUNC(E1143*G1143,0)</f>
        <v>0</v>
      </c>
      <c r="I1143" s="470"/>
      <c r="J1143" s="470">
        <f>TRUNC(I1143*E1143,0)</f>
        <v>0</v>
      </c>
      <c r="K1143" s="470">
        <f>사급자재!$M$115</f>
        <v>2100000</v>
      </c>
      <c r="L1143" s="470">
        <f>TRUNC(K1143*E1143,0)</f>
        <v>0</v>
      </c>
      <c r="M1143" s="470">
        <f t="shared" ref="M1143:N1147" si="341">G1143+I1143+K1143</f>
        <v>2100000</v>
      </c>
      <c r="N1143" s="470">
        <f t="shared" si="341"/>
        <v>0</v>
      </c>
      <c r="O1143" s="457"/>
      <c r="P1143" s="767"/>
    </row>
    <row r="1144" spans="2:17" ht="15.2" customHeight="1">
      <c r="B1144" s="766" t="s">
        <v>442</v>
      </c>
      <c r="C1144" s="766"/>
      <c r="D1144" s="84" t="s">
        <v>443</v>
      </c>
      <c r="E1144" s="87">
        <v>0.12</v>
      </c>
      <c r="F1144" s="86" t="s">
        <v>933</v>
      </c>
      <c r="G1144" s="470"/>
      <c r="H1144" s="470">
        <f>TRUNC(E1144*G1144,0)</f>
        <v>0</v>
      </c>
      <c r="I1144" s="470"/>
      <c r="J1144" s="470">
        <f>TRUNC(I1144*E1144,0)</f>
        <v>0</v>
      </c>
      <c r="K1144" s="470">
        <f>K1143</f>
        <v>2100000</v>
      </c>
      <c r="L1144" s="470">
        <f>TRUNC(K1144*E1144,0)</f>
        <v>252000</v>
      </c>
      <c r="M1144" s="470">
        <f t="shared" si="341"/>
        <v>2100000</v>
      </c>
      <c r="N1144" s="470">
        <f t="shared" si="341"/>
        <v>252000</v>
      </c>
      <c r="O1144" s="457"/>
      <c r="P1144" s="767"/>
    </row>
    <row r="1145" spans="2:17" ht="15.2" customHeight="1">
      <c r="B1145" s="766" t="s">
        <v>444</v>
      </c>
      <c r="C1145" s="766"/>
      <c r="D1145" s="84" t="s">
        <v>1088</v>
      </c>
      <c r="E1145" s="87">
        <v>1</v>
      </c>
      <c r="F1145" s="86" t="s">
        <v>445</v>
      </c>
      <c r="G1145" s="470"/>
      <c r="H1145" s="470">
        <f>TRUNC(E1145*G1145,0)</f>
        <v>0</v>
      </c>
      <c r="I1145" s="470"/>
      <c r="J1145" s="470">
        <f>TRUNC(I1145*E1145,0)</f>
        <v>0</v>
      </c>
      <c r="K1145" s="470">
        <f>중기사용료!$M$950</f>
        <v>58411</v>
      </c>
      <c r="L1145" s="470">
        <f>TRUNC(K1145*E1145,0)</f>
        <v>58411</v>
      </c>
      <c r="M1145" s="470">
        <f t="shared" si="341"/>
        <v>58411</v>
      </c>
      <c r="N1145" s="470">
        <f t="shared" si="341"/>
        <v>58411</v>
      </c>
      <c r="O1145" s="460">
        <f>중기사용료!$A$933</f>
        <v>50</v>
      </c>
      <c r="P1145" s="767"/>
    </row>
    <row r="1146" spans="2:17" ht="15.2" customHeight="1">
      <c r="B1146" s="766" t="s">
        <v>440</v>
      </c>
      <c r="C1146" s="766"/>
      <c r="D1146" s="84"/>
      <c r="E1146" s="87">
        <v>0.28999999999999998</v>
      </c>
      <c r="F1146" s="86" t="s">
        <v>1163</v>
      </c>
      <c r="G1146" s="470"/>
      <c r="H1146" s="470">
        <f>TRUNC(E1146*G1146,0)</f>
        <v>0</v>
      </c>
      <c r="I1146" s="470"/>
      <c r="J1146" s="470">
        <f>TRUNC(I1146*E1146,0)</f>
        <v>0</v>
      </c>
      <c r="K1146" s="470">
        <f>SUMIF('노임(2015)'!$B$4:$B$87,B1146,'노임(2015)'!$C$4:$C$87)+SUMIF('노임(2015)'!$E$4:$E$87,B1146,'노임(2015)'!$F$4:$F$87)</f>
        <v>161990</v>
      </c>
      <c r="L1146" s="470">
        <f>TRUNC(K1146*E1146,0)</f>
        <v>46977</v>
      </c>
      <c r="M1146" s="470">
        <f t="shared" si="341"/>
        <v>161990</v>
      </c>
      <c r="N1146" s="470">
        <f t="shared" si="341"/>
        <v>46977</v>
      </c>
      <c r="O1146" s="457"/>
      <c r="P1146" s="767"/>
    </row>
    <row r="1147" spans="2:17" ht="15.2" customHeight="1">
      <c r="B1147" s="766" t="s">
        <v>1165</v>
      </c>
      <c r="C1147" s="766"/>
      <c r="D1147" s="84"/>
      <c r="E1147" s="87">
        <v>0.17</v>
      </c>
      <c r="F1147" s="86" t="s">
        <v>1163</v>
      </c>
      <c r="G1147" s="470"/>
      <c r="H1147" s="470">
        <f>TRUNC(E1147*G1147,0)</f>
        <v>0</v>
      </c>
      <c r="I1147" s="470"/>
      <c r="J1147" s="470">
        <f>TRUNC(I1147*E1147,0)</f>
        <v>0</v>
      </c>
      <c r="K1147" s="470">
        <f>SUMIF('노임(2015)'!$B$4:$B$87,B1147,'노임(2015)'!$C$4:$C$87)+SUMIF('노임(2015)'!$E$4:$E$87,B1147,'노임(2015)'!$F$4:$F$87)</f>
        <v>111771</v>
      </c>
      <c r="L1147" s="470">
        <f>TRUNC(K1147*E1147,0)</f>
        <v>19001</v>
      </c>
      <c r="M1147" s="470">
        <f t="shared" si="341"/>
        <v>111771</v>
      </c>
      <c r="N1147" s="470">
        <f t="shared" si="341"/>
        <v>19001</v>
      </c>
      <c r="O1147" s="457"/>
      <c r="P1147" s="767"/>
    </row>
    <row r="1148" spans="2:17" ht="15.2" customHeight="1">
      <c r="B1148" s="766" t="s">
        <v>855</v>
      </c>
      <c r="C1148" s="766"/>
      <c r="D1148" s="84"/>
      <c r="E1148" s="87"/>
      <c r="F1148" s="86"/>
      <c r="G1148" s="470"/>
      <c r="H1148" s="470">
        <f>SUM(H1143:H1147)</f>
        <v>0</v>
      </c>
      <c r="I1148" s="470"/>
      <c r="J1148" s="470">
        <f>SUM(J1143:J1147)</f>
        <v>0</v>
      </c>
      <c r="K1148" s="470"/>
      <c r="L1148" s="470">
        <f>SUM(L1143:L1147)</f>
        <v>376389</v>
      </c>
      <c r="M1148" s="470"/>
      <c r="N1148" s="470">
        <f>SUM(N1143:N1147)</f>
        <v>376389</v>
      </c>
      <c r="O1148" s="457"/>
      <c r="P1148" s="767"/>
      <c r="Q1148" s="80" t="s">
        <v>3244</v>
      </c>
    </row>
    <row r="1149" spans="2:17" ht="15.2" customHeight="1">
      <c r="B1149" s="96">
        <f>P1149</f>
        <v>185</v>
      </c>
      <c r="C1149" s="770" t="s">
        <v>1090</v>
      </c>
      <c r="D1149" s="770"/>
      <c r="E1149" s="770"/>
      <c r="F1149" s="771"/>
      <c r="G1149" s="470"/>
      <c r="H1149" s="470"/>
      <c r="I1149" s="470"/>
      <c r="J1149" s="470"/>
      <c r="K1149" s="470"/>
      <c r="L1149" s="470"/>
      <c r="M1149" s="470"/>
      <c r="N1149" s="470"/>
      <c r="O1149" s="457"/>
      <c r="P1149" s="767">
        <f>MAX($P$5:P1148)+1</f>
        <v>185</v>
      </c>
      <c r="Q1149" s="80" t="s">
        <v>3243</v>
      </c>
    </row>
    <row r="1150" spans="2:17" ht="15.2" customHeight="1">
      <c r="B1150" s="766" t="s">
        <v>1087</v>
      </c>
      <c r="C1150" s="766"/>
      <c r="D1150" s="84" t="s">
        <v>441</v>
      </c>
      <c r="E1150" s="88"/>
      <c r="F1150" s="86" t="s">
        <v>1531</v>
      </c>
      <c r="G1150" s="470"/>
      <c r="H1150" s="470">
        <f>TRUNC(E1150*G1150,0)</f>
        <v>0</v>
      </c>
      <c r="I1150" s="470"/>
      <c r="J1150" s="470">
        <f>TRUNC(I1150*E1150,0)</f>
        <v>0</v>
      </c>
      <c r="K1150" s="470">
        <f>사급자재!$M$116</f>
        <v>1600000</v>
      </c>
      <c r="L1150" s="470">
        <f>TRUNC(K1150*E1150,0)</f>
        <v>0</v>
      </c>
      <c r="M1150" s="470">
        <f t="shared" ref="M1150:N1154" si="342">G1150+I1150+K1150</f>
        <v>1600000</v>
      </c>
      <c r="N1150" s="470">
        <f t="shared" si="342"/>
        <v>0</v>
      </c>
      <c r="O1150" s="457"/>
      <c r="P1150" s="767"/>
    </row>
    <row r="1151" spans="2:17" ht="15.2" customHeight="1">
      <c r="B1151" s="766" t="s">
        <v>442</v>
      </c>
      <c r="C1151" s="766"/>
      <c r="D1151" s="84" t="s">
        <v>844</v>
      </c>
      <c r="E1151" s="87">
        <v>0.16</v>
      </c>
      <c r="F1151" s="86" t="s">
        <v>933</v>
      </c>
      <c r="G1151" s="470"/>
      <c r="H1151" s="470">
        <f>TRUNC(E1151*G1151,0)</f>
        <v>0</v>
      </c>
      <c r="I1151" s="470"/>
      <c r="J1151" s="470">
        <f>TRUNC(I1151*E1151,0)</f>
        <v>0</v>
      </c>
      <c r="K1151" s="470">
        <f>K1150</f>
        <v>1600000</v>
      </c>
      <c r="L1151" s="470">
        <f>TRUNC(K1151*E1151,0)</f>
        <v>256000</v>
      </c>
      <c r="M1151" s="470">
        <f t="shared" si="342"/>
        <v>1600000</v>
      </c>
      <c r="N1151" s="470">
        <f t="shared" si="342"/>
        <v>256000</v>
      </c>
      <c r="O1151" s="457"/>
      <c r="P1151" s="767"/>
    </row>
    <row r="1152" spans="2:17" ht="15.2" customHeight="1">
      <c r="B1152" s="766" t="s">
        <v>444</v>
      </c>
      <c r="C1152" s="766"/>
      <c r="D1152" s="84" t="s">
        <v>1088</v>
      </c>
      <c r="E1152" s="87">
        <v>1</v>
      </c>
      <c r="F1152" s="86" t="s">
        <v>445</v>
      </c>
      <c r="G1152" s="470"/>
      <c r="H1152" s="470">
        <f>TRUNC(E1152*G1152,0)</f>
        <v>0</v>
      </c>
      <c r="I1152" s="470"/>
      <c r="J1152" s="470">
        <f>TRUNC(I1152*E1152,0)</f>
        <v>0</v>
      </c>
      <c r="K1152" s="470">
        <f>중기사용료!$M$950</f>
        <v>58411</v>
      </c>
      <c r="L1152" s="470">
        <f>TRUNC(K1152*E1152,0)</f>
        <v>58411</v>
      </c>
      <c r="M1152" s="470">
        <f t="shared" si="342"/>
        <v>58411</v>
      </c>
      <c r="N1152" s="470">
        <f t="shared" si="342"/>
        <v>58411</v>
      </c>
      <c r="O1152" s="460">
        <f>중기사용료!$A$933</f>
        <v>50</v>
      </c>
      <c r="P1152" s="767"/>
    </row>
    <row r="1153" spans="2:17" ht="15.2" customHeight="1">
      <c r="B1153" s="766" t="s">
        <v>440</v>
      </c>
      <c r="C1153" s="766"/>
      <c r="D1153" s="84"/>
      <c r="E1153" s="87">
        <v>0.2</v>
      </c>
      <c r="F1153" s="86" t="s">
        <v>1163</v>
      </c>
      <c r="G1153" s="470"/>
      <c r="H1153" s="470">
        <f>TRUNC(E1153*G1153,0)</f>
        <v>0</v>
      </c>
      <c r="I1153" s="470"/>
      <c r="J1153" s="470">
        <f>TRUNC(I1153*E1153,0)</f>
        <v>0</v>
      </c>
      <c r="K1153" s="470">
        <f>SUMIF('노임(2015)'!$B$4:$B$87,B1153,'노임(2015)'!$C$4:$C$87)+SUMIF('노임(2015)'!$E$4:$E$87,B1153,'노임(2015)'!$F$4:$F$87)</f>
        <v>161990</v>
      </c>
      <c r="L1153" s="470">
        <f>TRUNC(K1153*E1153,0)</f>
        <v>32398</v>
      </c>
      <c r="M1153" s="470">
        <f t="shared" si="342"/>
        <v>161990</v>
      </c>
      <c r="N1153" s="470">
        <f t="shared" si="342"/>
        <v>32398</v>
      </c>
      <c r="O1153" s="457"/>
      <c r="P1153" s="767"/>
    </row>
    <row r="1154" spans="2:17" ht="15.2" customHeight="1">
      <c r="B1154" s="766" t="s">
        <v>1165</v>
      </c>
      <c r="C1154" s="766"/>
      <c r="D1154" s="84"/>
      <c r="E1154" s="87">
        <v>0.09</v>
      </c>
      <c r="F1154" s="86" t="s">
        <v>1163</v>
      </c>
      <c r="G1154" s="470"/>
      <c r="H1154" s="470">
        <f>TRUNC(E1154*G1154,0)</f>
        <v>0</v>
      </c>
      <c r="I1154" s="470"/>
      <c r="J1154" s="470">
        <f>TRUNC(I1154*E1154,0)</f>
        <v>0</v>
      </c>
      <c r="K1154" s="470">
        <f>SUMIF('노임(2015)'!$B$4:$B$87,B1154,'노임(2015)'!$C$4:$C$87)+SUMIF('노임(2015)'!$E$4:$E$87,B1154,'노임(2015)'!$F$4:$F$87)</f>
        <v>111771</v>
      </c>
      <c r="L1154" s="470">
        <f>TRUNC(K1154*E1154,0)</f>
        <v>10059</v>
      </c>
      <c r="M1154" s="470">
        <f t="shared" si="342"/>
        <v>111771</v>
      </c>
      <c r="N1154" s="470">
        <f t="shared" si="342"/>
        <v>10059</v>
      </c>
      <c r="O1154" s="457"/>
      <c r="P1154" s="767"/>
    </row>
    <row r="1155" spans="2:17" ht="15.2" customHeight="1">
      <c r="B1155" s="766" t="s">
        <v>855</v>
      </c>
      <c r="C1155" s="766"/>
      <c r="D1155" s="84"/>
      <c r="E1155" s="87"/>
      <c r="F1155" s="86"/>
      <c r="G1155" s="470"/>
      <c r="H1155" s="470">
        <f>SUM(H1150:H1154)</f>
        <v>0</v>
      </c>
      <c r="I1155" s="470"/>
      <c r="J1155" s="470">
        <f>SUM(J1150:J1154)</f>
        <v>0</v>
      </c>
      <c r="K1155" s="470"/>
      <c r="L1155" s="470">
        <f>SUM(L1150:L1154)</f>
        <v>356868</v>
      </c>
      <c r="M1155" s="470"/>
      <c r="N1155" s="470">
        <f>SUM(N1150:N1154)</f>
        <v>356868</v>
      </c>
      <c r="O1155" s="457"/>
      <c r="P1155" s="767"/>
      <c r="Q1155" s="80" t="s">
        <v>3244</v>
      </c>
    </row>
    <row r="1156" spans="2:17" ht="15.2" customHeight="1">
      <c r="B1156" s="96">
        <f>P1156</f>
        <v>186</v>
      </c>
      <c r="C1156" s="770" t="s">
        <v>1091</v>
      </c>
      <c r="D1156" s="770"/>
      <c r="E1156" s="770"/>
      <c r="F1156" s="771"/>
      <c r="G1156" s="470"/>
      <c r="H1156" s="470"/>
      <c r="I1156" s="470"/>
      <c r="J1156" s="470"/>
      <c r="K1156" s="470"/>
      <c r="L1156" s="470"/>
      <c r="M1156" s="470"/>
      <c r="N1156" s="470"/>
      <c r="O1156" s="457"/>
      <c r="P1156" s="767">
        <f>MAX($P$5:P1155)+1</f>
        <v>186</v>
      </c>
      <c r="Q1156" s="80" t="s">
        <v>3243</v>
      </c>
    </row>
    <row r="1157" spans="2:17" ht="15.2" customHeight="1">
      <c r="B1157" s="766" t="s">
        <v>1087</v>
      </c>
      <c r="C1157" s="766"/>
      <c r="D1157" s="84" t="s">
        <v>843</v>
      </c>
      <c r="E1157" s="88"/>
      <c r="F1157" s="86" t="s">
        <v>1531</v>
      </c>
      <c r="G1157" s="470"/>
      <c r="H1157" s="470">
        <f>TRUNC(E1157*G1157,0)</f>
        <v>0</v>
      </c>
      <c r="I1157" s="470"/>
      <c r="J1157" s="470">
        <f>TRUNC(I1157*E1157,0)</f>
        <v>0</v>
      </c>
      <c r="K1157" s="470">
        <f>사급자재!$M$115</f>
        <v>2100000</v>
      </c>
      <c r="L1157" s="470">
        <f>TRUNC(K1157*E1157,0)</f>
        <v>0</v>
      </c>
      <c r="M1157" s="470">
        <f t="shared" ref="M1157:N1161" si="343">G1157+I1157+K1157</f>
        <v>2100000</v>
      </c>
      <c r="N1157" s="470">
        <f t="shared" si="343"/>
        <v>0</v>
      </c>
      <c r="O1157" s="457"/>
      <c r="P1157" s="767"/>
    </row>
    <row r="1158" spans="2:17" ht="15.2" customHeight="1">
      <c r="B1158" s="766" t="s">
        <v>442</v>
      </c>
      <c r="C1158" s="766"/>
      <c r="D1158" s="84" t="s">
        <v>844</v>
      </c>
      <c r="E1158" s="87">
        <v>0.16</v>
      </c>
      <c r="F1158" s="86" t="s">
        <v>933</v>
      </c>
      <c r="G1158" s="470"/>
      <c r="H1158" s="470">
        <f>TRUNC(E1158*G1158,0)</f>
        <v>0</v>
      </c>
      <c r="I1158" s="470"/>
      <c r="J1158" s="470">
        <f>TRUNC(I1158*E1158,0)</f>
        <v>0</v>
      </c>
      <c r="K1158" s="470">
        <f>K1157</f>
        <v>2100000</v>
      </c>
      <c r="L1158" s="470">
        <f>TRUNC(K1158*E1158,0)</f>
        <v>336000</v>
      </c>
      <c r="M1158" s="470">
        <f t="shared" si="343"/>
        <v>2100000</v>
      </c>
      <c r="N1158" s="470">
        <f t="shared" si="343"/>
        <v>336000</v>
      </c>
      <c r="O1158" s="457"/>
      <c r="P1158" s="767"/>
    </row>
    <row r="1159" spans="2:17" ht="15.2" customHeight="1">
      <c r="B1159" s="766" t="s">
        <v>444</v>
      </c>
      <c r="C1159" s="766"/>
      <c r="D1159" s="84" t="s">
        <v>1088</v>
      </c>
      <c r="E1159" s="87">
        <v>1</v>
      </c>
      <c r="F1159" s="86" t="s">
        <v>445</v>
      </c>
      <c r="G1159" s="470"/>
      <c r="H1159" s="470">
        <f>TRUNC(E1159*G1159,0)</f>
        <v>0</v>
      </c>
      <c r="I1159" s="470"/>
      <c r="J1159" s="470">
        <f>TRUNC(I1159*E1159,0)</f>
        <v>0</v>
      </c>
      <c r="K1159" s="470">
        <f>중기사용료!$M$950</f>
        <v>58411</v>
      </c>
      <c r="L1159" s="470">
        <f>TRUNC(K1159*E1159,0)</f>
        <v>58411</v>
      </c>
      <c r="M1159" s="470">
        <f t="shared" si="343"/>
        <v>58411</v>
      </c>
      <c r="N1159" s="470">
        <f t="shared" si="343"/>
        <v>58411</v>
      </c>
      <c r="O1159" s="460">
        <f>중기사용료!$A$933</f>
        <v>50</v>
      </c>
      <c r="P1159" s="767"/>
    </row>
    <row r="1160" spans="2:17" ht="15.2" customHeight="1">
      <c r="B1160" s="766" t="s">
        <v>440</v>
      </c>
      <c r="C1160" s="766"/>
      <c r="D1160" s="84"/>
      <c r="E1160" s="87">
        <v>0.28999999999999998</v>
      </c>
      <c r="F1160" s="86" t="s">
        <v>1163</v>
      </c>
      <c r="G1160" s="470"/>
      <c r="H1160" s="470">
        <f>TRUNC(E1160*G1160,0)</f>
        <v>0</v>
      </c>
      <c r="I1160" s="470"/>
      <c r="J1160" s="470">
        <f>TRUNC(I1160*E1160,0)</f>
        <v>0</v>
      </c>
      <c r="K1160" s="470">
        <f>SUMIF('노임(2015)'!$B$4:$B$87,B1160,'노임(2015)'!$C$4:$C$87)+SUMIF('노임(2015)'!$E$4:$E$87,B1160,'노임(2015)'!$F$4:$F$87)</f>
        <v>161990</v>
      </c>
      <c r="L1160" s="470">
        <f>TRUNC(K1160*E1160,0)</f>
        <v>46977</v>
      </c>
      <c r="M1160" s="470">
        <f t="shared" si="343"/>
        <v>161990</v>
      </c>
      <c r="N1160" s="470">
        <f t="shared" si="343"/>
        <v>46977</v>
      </c>
      <c r="O1160" s="457"/>
      <c r="P1160" s="767"/>
    </row>
    <row r="1161" spans="2:17" ht="15.2" customHeight="1">
      <c r="B1161" s="766" t="s">
        <v>1165</v>
      </c>
      <c r="C1161" s="766"/>
      <c r="D1161" s="84"/>
      <c r="E1161" s="87">
        <v>0.17</v>
      </c>
      <c r="F1161" s="86" t="s">
        <v>1163</v>
      </c>
      <c r="G1161" s="470"/>
      <c r="H1161" s="470">
        <f>TRUNC(E1161*G1161,0)</f>
        <v>0</v>
      </c>
      <c r="I1161" s="470"/>
      <c r="J1161" s="470">
        <f>TRUNC(I1161*E1161,0)</f>
        <v>0</v>
      </c>
      <c r="K1161" s="470">
        <f>SUMIF('노임(2015)'!$B$4:$B$87,B1161,'노임(2015)'!$C$4:$C$87)+SUMIF('노임(2015)'!$E$4:$E$87,B1161,'노임(2015)'!$F$4:$F$87)</f>
        <v>111771</v>
      </c>
      <c r="L1161" s="470">
        <f>TRUNC(K1161*E1161,0)</f>
        <v>19001</v>
      </c>
      <c r="M1161" s="470">
        <f t="shared" si="343"/>
        <v>111771</v>
      </c>
      <c r="N1161" s="470">
        <f t="shared" si="343"/>
        <v>19001</v>
      </c>
      <c r="O1161" s="457"/>
      <c r="P1161" s="767"/>
    </row>
    <row r="1162" spans="2:17" ht="15.2" customHeight="1">
      <c r="B1162" s="766" t="s">
        <v>855</v>
      </c>
      <c r="C1162" s="766"/>
      <c r="D1162" s="84"/>
      <c r="E1162" s="87"/>
      <c r="F1162" s="86"/>
      <c r="G1162" s="470"/>
      <c r="H1162" s="470">
        <f>SUM(H1157:H1161)</f>
        <v>0</v>
      </c>
      <c r="I1162" s="470"/>
      <c r="J1162" s="470">
        <f>SUM(J1157:J1161)</f>
        <v>0</v>
      </c>
      <c r="K1162" s="470"/>
      <c r="L1162" s="470">
        <f>SUM(L1157:L1161)</f>
        <v>460389</v>
      </c>
      <c r="M1162" s="470"/>
      <c r="N1162" s="470">
        <f>SUM(N1157:N1161)</f>
        <v>460389</v>
      </c>
      <c r="O1162" s="457"/>
      <c r="P1162" s="767"/>
      <c r="Q1162" s="80" t="s">
        <v>3244</v>
      </c>
    </row>
    <row r="1163" spans="2:17" ht="15.2" customHeight="1">
      <c r="B1163" s="96">
        <f>P1163</f>
        <v>187</v>
      </c>
      <c r="C1163" s="770" t="s">
        <v>983</v>
      </c>
      <c r="D1163" s="770"/>
      <c r="E1163" s="770"/>
      <c r="F1163" s="771"/>
      <c r="G1163" s="470"/>
      <c r="H1163" s="470"/>
      <c r="I1163" s="470"/>
      <c r="J1163" s="470"/>
      <c r="K1163" s="470"/>
      <c r="L1163" s="470"/>
      <c r="M1163" s="470"/>
      <c r="N1163" s="470"/>
      <c r="O1163" s="457"/>
      <c r="P1163" s="767">
        <f>MAX($P$5:P1162)+1</f>
        <v>187</v>
      </c>
      <c r="Q1163" s="80" t="s">
        <v>3243</v>
      </c>
    </row>
    <row r="1164" spans="2:17" ht="15.2" customHeight="1">
      <c r="B1164" s="766" t="s">
        <v>1087</v>
      </c>
      <c r="C1164" s="766"/>
      <c r="D1164" s="84" t="s">
        <v>845</v>
      </c>
      <c r="E1164" s="88"/>
      <c r="F1164" s="86" t="s">
        <v>1531</v>
      </c>
      <c r="G1164" s="470"/>
      <c r="H1164" s="470">
        <f>TRUNC(E1164*G1164,0)</f>
        <v>0</v>
      </c>
      <c r="I1164" s="470"/>
      <c r="J1164" s="470">
        <f>TRUNC(I1164*E1164,0)</f>
        <v>0</v>
      </c>
      <c r="K1164" s="470">
        <f>사급자재!$M$114</f>
        <v>3200000</v>
      </c>
      <c r="L1164" s="470">
        <f>TRUNC(K1164*E1164,0)</f>
        <v>0</v>
      </c>
      <c r="M1164" s="470">
        <f t="shared" ref="M1164:N1168" si="344">G1164+I1164+K1164</f>
        <v>3200000</v>
      </c>
      <c r="N1164" s="470">
        <f t="shared" si="344"/>
        <v>0</v>
      </c>
      <c r="O1164" s="457"/>
      <c r="P1164" s="767"/>
    </row>
    <row r="1165" spans="2:17" ht="15.2" customHeight="1">
      <c r="B1165" s="766" t="s">
        <v>442</v>
      </c>
      <c r="C1165" s="766"/>
      <c r="D1165" s="84" t="s">
        <v>844</v>
      </c>
      <c r="E1165" s="87">
        <v>0.16</v>
      </c>
      <c r="F1165" s="86" t="s">
        <v>933</v>
      </c>
      <c r="G1165" s="470"/>
      <c r="H1165" s="470">
        <f>TRUNC(E1165*G1165,0)</f>
        <v>0</v>
      </c>
      <c r="I1165" s="470"/>
      <c r="J1165" s="470">
        <f>TRUNC(I1165*E1165,0)</f>
        <v>0</v>
      </c>
      <c r="K1165" s="470">
        <f>K1164</f>
        <v>3200000</v>
      </c>
      <c r="L1165" s="470">
        <f>TRUNC(K1165*E1165,0)</f>
        <v>512000</v>
      </c>
      <c r="M1165" s="470">
        <f t="shared" si="344"/>
        <v>3200000</v>
      </c>
      <c r="N1165" s="470">
        <f t="shared" si="344"/>
        <v>512000</v>
      </c>
      <c r="O1165" s="457"/>
      <c r="P1165" s="767"/>
    </row>
    <row r="1166" spans="2:17" ht="15.2" customHeight="1">
      <c r="B1166" s="766" t="s">
        <v>444</v>
      </c>
      <c r="C1166" s="766"/>
      <c r="D1166" s="84" t="s">
        <v>1088</v>
      </c>
      <c r="E1166" s="87">
        <v>1</v>
      </c>
      <c r="F1166" s="86" t="s">
        <v>445</v>
      </c>
      <c r="G1166" s="470"/>
      <c r="H1166" s="470">
        <f>TRUNC(E1166*G1166,0)</f>
        <v>0</v>
      </c>
      <c r="I1166" s="470"/>
      <c r="J1166" s="470">
        <f>TRUNC(I1166*E1166,0)</f>
        <v>0</v>
      </c>
      <c r="K1166" s="470">
        <f>중기사용료!$M$950</f>
        <v>58411</v>
      </c>
      <c r="L1166" s="470">
        <f>TRUNC(K1166*E1166,0)</f>
        <v>58411</v>
      </c>
      <c r="M1166" s="470">
        <f t="shared" si="344"/>
        <v>58411</v>
      </c>
      <c r="N1166" s="470">
        <f t="shared" si="344"/>
        <v>58411</v>
      </c>
      <c r="O1166" s="460">
        <f>중기사용료!$A$933</f>
        <v>50</v>
      </c>
      <c r="P1166" s="767"/>
    </row>
    <row r="1167" spans="2:17" ht="15.2" customHeight="1">
      <c r="B1167" s="766" t="s">
        <v>440</v>
      </c>
      <c r="C1167" s="766"/>
      <c r="D1167" s="84"/>
      <c r="E1167" s="87">
        <v>0.39</v>
      </c>
      <c r="F1167" s="86" t="s">
        <v>1163</v>
      </c>
      <c r="G1167" s="470"/>
      <c r="H1167" s="470">
        <f>TRUNC(E1167*G1167,0)</f>
        <v>0</v>
      </c>
      <c r="I1167" s="470"/>
      <c r="J1167" s="470">
        <f>TRUNC(I1167*E1167,0)</f>
        <v>0</v>
      </c>
      <c r="K1167" s="470">
        <f>SUMIF('노임(2015)'!$B$4:$B$87,B1167,'노임(2015)'!$C$4:$C$87)+SUMIF('노임(2015)'!$E$4:$E$87,B1167,'노임(2015)'!$F$4:$F$87)</f>
        <v>161990</v>
      </c>
      <c r="L1167" s="470">
        <f>TRUNC(K1167*E1167,0)</f>
        <v>63176</v>
      </c>
      <c r="M1167" s="470">
        <f t="shared" si="344"/>
        <v>161990</v>
      </c>
      <c r="N1167" s="470">
        <f t="shared" si="344"/>
        <v>63176</v>
      </c>
      <c r="O1167" s="457"/>
      <c r="P1167" s="767"/>
    </row>
    <row r="1168" spans="2:17" ht="15.2" customHeight="1">
      <c r="B1168" s="766" t="s">
        <v>1165</v>
      </c>
      <c r="C1168" s="766"/>
      <c r="D1168" s="84"/>
      <c r="E1168" s="87">
        <v>0.2</v>
      </c>
      <c r="F1168" s="86" t="s">
        <v>1163</v>
      </c>
      <c r="G1168" s="470"/>
      <c r="H1168" s="470">
        <f>TRUNC(E1168*G1168,0)</f>
        <v>0</v>
      </c>
      <c r="I1168" s="470"/>
      <c r="J1168" s="470">
        <f>TRUNC(I1168*E1168,0)</f>
        <v>0</v>
      </c>
      <c r="K1168" s="470">
        <f>SUMIF('노임(2015)'!$B$4:$B$87,B1168,'노임(2015)'!$C$4:$C$87)+SUMIF('노임(2015)'!$E$4:$E$87,B1168,'노임(2015)'!$F$4:$F$87)</f>
        <v>111771</v>
      </c>
      <c r="L1168" s="470">
        <f>TRUNC(K1168*E1168,0)</f>
        <v>22354</v>
      </c>
      <c r="M1168" s="470">
        <f t="shared" si="344"/>
        <v>111771</v>
      </c>
      <c r="N1168" s="470">
        <f t="shared" si="344"/>
        <v>22354</v>
      </c>
      <c r="O1168" s="457"/>
      <c r="P1168" s="767"/>
    </row>
    <row r="1169" spans="2:17" ht="15.2" customHeight="1">
      <c r="B1169" s="766" t="s">
        <v>855</v>
      </c>
      <c r="C1169" s="766"/>
      <c r="D1169" s="84"/>
      <c r="E1169" s="87"/>
      <c r="F1169" s="86"/>
      <c r="G1169" s="470"/>
      <c r="H1169" s="470">
        <f>SUM(H1164:H1168)</f>
        <v>0</v>
      </c>
      <c r="I1169" s="470"/>
      <c r="J1169" s="470">
        <f>SUM(J1164:J1168)</f>
        <v>0</v>
      </c>
      <c r="K1169" s="470"/>
      <c r="L1169" s="470">
        <f>SUM(L1164:L1168)</f>
        <v>655941</v>
      </c>
      <c r="M1169" s="470"/>
      <c r="N1169" s="470">
        <f>SUM(N1164:N1168)</f>
        <v>655941</v>
      </c>
      <c r="O1169" s="457"/>
      <c r="P1169" s="767"/>
      <c r="Q1169" s="80" t="s">
        <v>3244</v>
      </c>
    </row>
    <row r="1170" spans="2:17" ht="15.2" customHeight="1">
      <c r="B1170" s="96">
        <f>P1170</f>
        <v>188</v>
      </c>
      <c r="C1170" s="770" t="s">
        <v>984</v>
      </c>
      <c r="D1170" s="770"/>
      <c r="E1170" s="770"/>
      <c r="F1170" s="771"/>
      <c r="G1170" s="470"/>
      <c r="H1170" s="470"/>
      <c r="I1170" s="470"/>
      <c r="J1170" s="470"/>
      <c r="K1170" s="470"/>
      <c r="L1170" s="470"/>
      <c r="M1170" s="470"/>
      <c r="N1170" s="470"/>
      <c r="O1170" s="457"/>
      <c r="P1170" s="767">
        <f>MAX($P$5:P1169)+1</f>
        <v>188</v>
      </c>
      <c r="Q1170" s="80" t="s">
        <v>3243</v>
      </c>
    </row>
    <row r="1171" spans="2:17" ht="15.2" customHeight="1">
      <c r="B1171" s="766" t="s">
        <v>1087</v>
      </c>
      <c r="C1171" s="766"/>
      <c r="D1171" s="84" t="s">
        <v>441</v>
      </c>
      <c r="E1171" s="88"/>
      <c r="F1171" s="86" t="s">
        <v>1531</v>
      </c>
      <c r="G1171" s="470"/>
      <c r="H1171" s="470">
        <f>TRUNC(E1171*G1171,0)</f>
        <v>0</v>
      </c>
      <c r="I1171" s="470"/>
      <c r="J1171" s="470">
        <f>TRUNC(I1171*E1171,0)</f>
        <v>0</v>
      </c>
      <c r="K1171" s="470">
        <f>사급자재!$M$116</f>
        <v>1600000</v>
      </c>
      <c r="L1171" s="470">
        <f>TRUNC(K1171*E1171,0)</f>
        <v>0</v>
      </c>
      <c r="M1171" s="470">
        <f t="shared" ref="M1171:N1175" si="345">G1171+I1171+K1171</f>
        <v>1600000</v>
      </c>
      <c r="N1171" s="470">
        <f t="shared" si="345"/>
        <v>0</v>
      </c>
      <c r="O1171" s="457"/>
      <c r="P1171" s="767"/>
    </row>
    <row r="1172" spans="2:17" ht="15.2" customHeight="1">
      <c r="B1172" s="766" t="s">
        <v>442</v>
      </c>
      <c r="C1172" s="766"/>
      <c r="D1172" s="84" t="s">
        <v>1197</v>
      </c>
      <c r="E1172" s="87">
        <v>0.25</v>
      </c>
      <c r="F1172" s="86" t="s">
        <v>933</v>
      </c>
      <c r="G1172" s="470"/>
      <c r="H1172" s="470">
        <f>TRUNC(E1172*G1172,0)</f>
        <v>0</v>
      </c>
      <c r="I1172" s="470"/>
      <c r="J1172" s="470">
        <f>TRUNC(I1172*E1172,0)</f>
        <v>0</v>
      </c>
      <c r="K1172" s="470">
        <f>K1171</f>
        <v>1600000</v>
      </c>
      <c r="L1172" s="470">
        <f>TRUNC(K1172*E1172,0)</f>
        <v>400000</v>
      </c>
      <c r="M1172" s="470">
        <f t="shared" si="345"/>
        <v>1600000</v>
      </c>
      <c r="N1172" s="470">
        <f t="shared" si="345"/>
        <v>400000</v>
      </c>
      <c r="O1172" s="457"/>
      <c r="P1172" s="767"/>
    </row>
    <row r="1173" spans="2:17" ht="15.2" customHeight="1">
      <c r="B1173" s="766" t="s">
        <v>444</v>
      </c>
      <c r="C1173" s="766"/>
      <c r="D1173" s="84" t="s">
        <v>1088</v>
      </c>
      <c r="E1173" s="87">
        <v>1</v>
      </c>
      <c r="F1173" s="86" t="s">
        <v>445</v>
      </c>
      <c r="G1173" s="470"/>
      <c r="H1173" s="470">
        <f>TRUNC(E1173*G1173,0)</f>
        <v>0</v>
      </c>
      <c r="I1173" s="470"/>
      <c r="J1173" s="470">
        <f>TRUNC(I1173*E1173,0)</f>
        <v>0</v>
      </c>
      <c r="K1173" s="470">
        <f>중기사용료!$M$950</f>
        <v>58411</v>
      </c>
      <c r="L1173" s="470">
        <f>TRUNC(K1173*E1173,0)</f>
        <v>58411</v>
      </c>
      <c r="M1173" s="470">
        <f t="shared" si="345"/>
        <v>58411</v>
      </c>
      <c r="N1173" s="470">
        <f t="shared" si="345"/>
        <v>58411</v>
      </c>
      <c r="O1173" s="460">
        <f>중기사용료!$A$933</f>
        <v>50</v>
      </c>
      <c r="P1173" s="767"/>
    </row>
    <row r="1174" spans="2:17" ht="15.2" customHeight="1">
      <c r="B1174" s="766" t="s">
        <v>440</v>
      </c>
      <c r="C1174" s="766"/>
      <c r="D1174" s="84"/>
      <c r="E1174" s="87">
        <v>0.2</v>
      </c>
      <c r="F1174" s="86" t="s">
        <v>1163</v>
      </c>
      <c r="G1174" s="470"/>
      <c r="H1174" s="470">
        <f>TRUNC(E1174*G1174,0)</f>
        <v>0</v>
      </c>
      <c r="I1174" s="470"/>
      <c r="J1174" s="470">
        <f>TRUNC(I1174*E1174,0)</f>
        <v>0</v>
      </c>
      <c r="K1174" s="470">
        <f>SUMIF('노임(2015)'!$B$4:$B$87,B1174,'노임(2015)'!$C$4:$C$87)+SUMIF('노임(2015)'!$E$4:$E$87,B1174,'노임(2015)'!$F$4:$F$87)</f>
        <v>161990</v>
      </c>
      <c r="L1174" s="470">
        <f>TRUNC(K1174*E1174,0)</f>
        <v>32398</v>
      </c>
      <c r="M1174" s="470">
        <f t="shared" si="345"/>
        <v>161990</v>
      </c>
      <c r="N1174" s="470">
        <f t="shared" si="345"/>
        <v>32398</v>
      </c>
      <c r="O1174" s="457"/>
      <c r="P1174" s="767"/>
    </row>
    <row r="1175" spans="2:17" ht="15.2" customHeight="1">
      <c r="B1175" s="766" t="s">
        <v>1165</v>
      </c>
      <c r="C1175" s="766"/>
      <c r="D1175" s="84"/>
      <c r="E1175" s="87">
        <v>0.09</v>
      </c>
      <c r="F1175" s="86" t="s">
        <v>1163</v>
      </c>
      <c r="G1175" s="470"/>
      <c r="H1175" s="470">
        <f>TRUNC(E1175*G1175,0)</f>
        <v>0</v>
      </c>
      <c r="I1175" s="470"/>
      <c r="J1175" s="470">
        <f>TRUNC(I1175*E1175,0)</f>
        <v>0</v>
      </c>
      <c r="K1175" s="470">
        <f>SUMIF('노임(2015)'!$B$4:$B$87,B1175,'노임(2015)'!$C$4:$C$87)+SUMIF('노임(2015)'!$E$4:$E$87,B1175,'노임(2015)'!$F$4:$F$87)</f>
        <v>111771</v>
      </c>
      <c r="L1175" s="470">
        <f>TRUNC(K1175*E1175,0)</f>
        <v>10059</v>
      </c>
      <c r="M1175" s="470">
        <f t="shared" si="345"/>
        <v>111771</v>
      </c>
      <c r="N1175" s="470">
        <f t="shared" si="345"/>
        <v>10059</v>
      </c>
      <c r="O1175" s="457"/>
      <c r="P1175" s="767"/>
    </row>
    <row r="1176" spans="2:17" ht="15.2" customHeight="1">
      <c r="B1176" s="766" t="s">
        <v>855</v>
      </c>
      <c r="C1176" s="766"/>
      <c r="D1176" s="84"/>
      <c r="E1176" s="87"/>
      <c r="F1176" s="86"/>
      <c r="G1176" s="470"/>
      <c r="H1176" s="470">
        <f>SUM(H1171:H1175)</f>
        <v>0</v>
      </c>
      <c r="I1176" s="470"/>
      <c r="J1176" s="470">
        <f>SUM(J1171:J1175)</f>
        <v>0</v>
      </c>
      <c r="K1176" s="470"/>
      <c r="L1176" s="470">
        <f>SUM(L1171:L1175)</f>
        <v>500868</v>
      </c>
      <c r="M1176" s="470"/>
      <c r="N1176" s="470">
        <f>SUM(N1171:N1175)</f>
        <v>500868</v>
      </c>
      <c r="O1176" s="457"/>
      <c r="P1176" s="767"/>
      <c r="Q1176" s="80" t="s">
        <v>3244</v>
      </c>
    </row>
    <row r="1177" spans="2:17" ht="15.2" customHeight="1">
      <c r="B1177" s="96">
        <f>P1177</f>
        <v>189</v>
      </c>
      <c r="C1177" s="770" t="s">
        <v>985</v>
      </c>
      <c r="D1177" s="770"/>
      <c r="E1177" s="770"/>
      <c r="F1177" s="771"/>
      <c r="G1177" s="470"/>
      <c r="H1177" s="470"/>
      <c r="I1177" s="470"/>
      <c r="J1177" s="470"/>
      <c r="K1177" s="470"/>
      <c r="L1177" s="470"/>
      <c r="M1177" s="470"/>
      <c r="N1177" s="470"/>
      <c r="O1177" s="457"/>
      <c r="P1177" s="767">
        <f>MAX($P$5:P1176)+1</f>
        <v>189</v>
      </c>
      <c r="Q1177" s="80" t="s">
        <v>3243</v>
      </c>
    </row>
    <row r="1178" spans="2:17" ht="15.2" customHeight="1">
      <c r="B1178" s="766" t="s">
        <v>1087</v>
      </c>
      <c r="C1178" s="766"/>
      <c r="D1178" s="84" t="s">
        <v>843</v>
      </c>
      <c r="E1178" s="88"/>
      <c r="F1178" s="86" t="s">
        <v>1531</v>
      </c>
      <c r="G1178" s="470"/>
      <c r="H1178" s="470">
        <f>TRUNC(E1178*G1178,0)</f>
        <v>0</v>
      </c>
      <c r="I1178" s="470"/>
      <c r="J1178" s="470">
        <f>TRUNC(I1178*E1178,0)</f>
        <v>0</v>
      </c>
      <c r="K1178" s="470">
        <f>사급자재!$M$115</f>
        <v>2100000</v>
      </c>
      <c r="L1178" s="470">
        <f>TRUNC(K1178*E1178,0)</f>
        <v>0</v>
      </c>
      <c r="M1178" s="470">
        <f t="shared" ref="M1178:N1182" si="346">G1178+I1178+K1178</f>
        <v>2100000</v>
      </c>
      <c r="N1178" s="470">
        <f t="shared" si="346"/>
        <v>0</v>
      </c>
      <c r="O1178" s="457"/>
      <c r="P1178" s="767"/>
    </row>
    <row r="1179" spans="2:17" ht="15.2" customHeight="1">
      <c r="B1179" s="766" t="s">
        <v>442</v>
      </c>
      <c r="C1179" s="766"/>
      <c r="D1179" s="84" t="s">
        <v>1197</v>
      </c>
      <c r="E1179" s="87">
        <v>0.25</v>
      </c>
      <c r="F1179" s="86" t="s">
        <v>933</v>
      </c>
      <c r="G1179" s="470"/>
      <c r="H1179" s="470">
        <f>TRUNC(E1179*G1179,0)</f>
        <v>0</v>
      </c>
      <c r="I1179" s="470"/>
      <c r="J1179" s="470">
        <f>TRUNC(I1179*E1179,0)</f>
        <v>0</v>
      </c>
      <c r="K1179" s="470">
        <f>K1178</f>
        <v>2100000</v>
      </c>
      <c r="L1179" s="470">
        <f>TRUNC(K1179*E1179,0)</f>
        <v>525000</v>
      </c>
      <c r="M1179" s="470">
        <f t="shared" si="346"/>
        <v>2100000</v>
      </c>
      <c r="N1179" s="470">
        <f t="shared" si="346"/>
        <v>525000</v>
      </c>
      <c r="O1179" s="457"/>
      <c r="P1179" s="767"/>
    </row>
    <row r="1180" spans="2:17" ht="15.2" customHeight="1">
      <c r="B1180" s="766" t="s">
        <v>444</v>
      </c>
      <c r="C1180" s="766"/>
      <c r="D1180" s="84" t="s">
        <v>1088</v>
      </c>
      <c r="E1180" s="87">
        <v>1</v>
      </c>
      <c r="F1180" s="86" t="s">
        <v>445</v>
      </c>
      <c r="G1180" s="470"/>
      <c r="H1180" s="470">
        <f>TRUNC(E1180*G1180,0)</f>
        <v>0</v>
      </c>
      <c r="I1180" s="470"/>
      <c r="J1180" s="470">
        <f>TRUNC(I1180*E1180,0)</f>
        <v>0</v>
      </c>
      <c r="K1180" s="470">
        <f>중기사용료!$M$950</f>
        <v>58411</v>
      </c>
      <c r="L1180" s="470">
        <f>TRUNC(K1180*E1180,0)</f>
        <v>58411</v>
      </c>
      <c r="M1180" s="470">
        <f t="shared" si="346"/>
        <v>58411</v>
      </c>
      <c r="N1180" s="470">
        <f t="shared" si="346"/>
        <v>58411</v>
      </c>
      <c r="O1180" s="460">
        <f>중기사용료!$A$933</f>
        <v>50</v>
      </c>
      <c r="P1180" s="767"/>
    </row>
    <row r="1181" spans="2:17" ht="15.2" customHeight="1">
      <c r="B1181" s="766" t="s">
        <v>440</v>
      </c>
      <c r="C1181" s="766"/>
      <c r="D1181" s="84"/>
      <c r="E1181" s="87">
        <v>0.28999999999999998</v>
      </c>
      <c r="F1181" s="86" t="s">
        <v>1163</v>
      </c>
      <c r="G1181" s="470"/>
      <c r="H1181" s="470">
        <f>TRUNC(E1181*G1181,0)</f>
        <v>0</v>
      </c>
      <c r="I1181" s="470"/>
      <c r="J1181" s="470">
        <f>TRUNC(I1181*E1181,0)</f>
        <v>0</v>
      </c>
      <c r="K1181" s="470">
        <f>SUMIF('노임(2015)'!$B$4:$B$87,B1181,'노임(2015)'!$C$4:$C$87)+SUMIF('노임(2015)'!$E$4:$E$87,B1181,'노임(2015)'!$F$4:$F$87)</f>
        <v>161990</v>
      </c>
      <c r="L1181" s="470">
        <f>TRUNC(K1181*E1181,0)</f>
        <v>46977</v>
      </c>
      <c r="M1181" s="470">
        <f t="shared" si="346"/>
        <v>161990</v>
      </c>
      <c r="N1181" s="470">
        <f t="shared" si="346"/>
        <v>46977</v>
      </c>
      <c r="O1181" s="457"/>
      <c r="P1181" s="767"/>
    </row>
    <row r="1182" spans="2:17" ht="15.2" customHeight="1">
      <c r="B1182" s="766" t="s">
        <v>1165</v>
      </c>
      <c r="C1182" s="766"/>
      <c r="D1182" s="84"/>
      <c r="E1182" s="87">
        <v>0.17</v>
      </c>
      <c r="F1182" s="86" t="s">
        <v>1163</v>
      </c>
      <c r="G1182" s="470"/>
      <c r="H1182" s="470">
        <f>TRUNC(E1182*G1182,0)</f>
        <v>0</v>
      </c>
      <c r="I1182" s="470"/>
      <c r="J1182" s="470">
        <f>TRUNC(I1182*E1182,0)</f>
        <v>0</v>
      </c>
      <c r="K1182" s="470">
        <f>SUMIF('노임(2015)'!$B$4:$B$87,B1182,'노임(2015)'!$C$4:$C$87)+SUMIF('노임(2015)'!$E$4:$E$87,B1182,'노임(2015)'!$F$4:$F$87)</f>
        <v>111771</v>
      </c>
      <c r="L1182" s="470">
        <f>TRUNC(K1182*E1182,0)</f>
        <v>19001</v>
      </c>
      <c r="M1182" s="470">
        <f t="shared" si="346"/>
        <v>111771</v>
      </c>
      <c r="N1182" s="470">
        <f t="shared" si="346"/>
        <v>19001</v>
      </c>
      <c r="O1182" s="457"/>
      <c r="P1182" s="767"/>
    </row>
    <row r="1183" spans="2:17" ht="15.2" customHeight="1">
      <c r="B1183" s="766" t="s">
        <v>855</v>
      </c>
      <c r="C1183" s="766"/>
      <c r="D1183" s="84"/>
      <c r="E1183" s="87"/>
      <c r="F1183" s="86"/>
      <c r="G1183" s="470"/>
      <c r="H1183" s="470">
        <f>SUM(H1178:H1182)</f>
        <v>0</v>
      </c>
      <c r="I1183" s="470"/>
      <c r="J1183" s="470">
        <f>SUM(J1178:J1182)</f>
        <v>0</v>
      </c>
      <c r="K1183" s="470"/>
      <c r="L1183" s="470">
        <f>SUM(L1178:L1182)</f>
        <v>649389</v>
      </c>
      <c r="M1183" s="470"/>
      <c r="N1183" s="470">
        <f>SUM(N1178:N1182)</f>
        <v>649389</v>
      </c>
      <c r="O1183" s="457"/>
      <c r="P1183" s="767"/>
      <c r="Q1183" s="80" t="s">
        <v>3244</v>
      </c>
    </row>
    <row r="1184" spans="2:17" ht="15.2" customHeight="1">
      <c r="B1184" s="96">
        <f>P1184</f>
        <v>190</v>
      </c>
      <c r="C1184" s="770" t="s">
        <v>986</v>
      </c>
      <c r="D1184" s="770"/>
      <c r="E1184" s="770"/>
      <c r="F1184" s="771"/>
      <c r="G1184" s="470"/>
      <c r="H1184" s="470"/>
      <c r="I1184" s="470"/>
      <c r="J1184" s="470"/>
      <c r="K1184" s="470"/>
      <c r="L1184" s="470"/>
      <c r="M1184" s="470"/>
      <c r="N1184" s="470"/>
      <c r="O1184" s="457"/>
      <c r="P1184" s="767">
        <f>MAX($P$5:P1183)+1</f>
        <v>190</v>
      </c>
      <c r="Q1184" s="80" t="s">
        <v>3243</v>
      </c>
    </row>
    <row r="1185" spans="2:17" ht="15.2" customHeight="1">
      <c r="B1185" s="766" t="s">
        <v>1087</v>
      </c>
      <c r="C1185" s="766"/>
      <c r="D1185" s="84" t="s">
        <v>845</v>
      </c>
      <c r="E1185" s="88"/>
      <c r="F1185" s="86" t="s">
        <v>1531</v>
      </c>
      <c r="G1185" s="470"/>
      <c r="H1185" s="470">
        <f>TRUNC(E1185*G1185,0)</f>
        <v>0</v>
      </c>
      <c r="I1185" s="470"/>
      <c r="J1185" s="470">
        <f>TRUNC(I1185*E1185,0)</f>
        <v>0</v>
      </c>
      <c r="K1185" s="470">
        <f>사급자재!$M$114</f>
        <v>3200000</v>
      </c>
      <c r="L1185" s="470">
        <f>TRUNC(K1185*E1185,0)</f>
        <v>0</v>
      </c>
      <c r="M1185" s="470">
        <f t="shared" ref="M1185:N1189" si="347">G1185+I1185+K1185</f>
        <v>3200000</v>
      </c>
      <c r="N1185" s="470">
        <f t="shared" si="347"/>
        <v>0</v>
      </c>
      <c r="O1185" s="457"/>
      <c r="P1185" s="767"/>
    </row>
    <row r="1186" spans="2:17" ht="15.2" customHeight="1">
      <c r="B1186" s="766" t="s">
        <v>442</v>
      </c>
      <c r="C1186" s="766"/>
      <c r="D1186" s="84" t="s">
        <v>1197</v>
      </c>
      <c r="E1186" s="87">
        <v>0.25</v>
      </c>
      <c r="F1186" s="86" t="s">
        <v>933</v>
      </c>
      <c r="G1186" s="470"/>
      <c r="H1186" s="470">
        <f>TRUNC(E1186*G1186,0)</f>
        <v>0</v>
      </c>
      <c r="I1186" s="470"/>
      <c r="J1186" s="470">
        <f>TRUNC(I1186*E1186,0)</f>
        <v>0</v>
      </c>
      <c r="K1186" s="470">
        <f>K1185</f>
        <v>3200000</v>
      </c>
      <c r="L1186" s="470">
        <f>TRUNC(K1186*E1186,0)</f>
        <v>800000</v>
      </c>
      <c r="M1186" s="470">
        <f t="shared" si="347"/>
        <v>3200000</v>
      </c>
      <c r="N1186" s="470">
        <f t="shared" si="347"/>
        <v>800000</v>
      </c>
      <c r="O1186" s="457"/>
      <c r="P1186" s="767"/>
    </row>
    <row r="1187" spans="2:17" ht="15.2" customHeight="1">
      <c r="B1187" s="766" t="s">
        <v>444</v>
      </c>
      <c r="C1187" s="766"/>
      <c r="D1187" s="84" t="s">
        <v>1088</v>
      </c>
      <c r="E1187" s="87">
        <v>1</v>
      </c>
      <c r="F1187" s="86" t="s">
        <v>445</v>
      </c>
      <c r="G1187" s="470"/>
      <c r="H1187" s="470">
        <f>TRUNC(E1187*G1187,0)</f>
        <v>0</v>
      </c>
      <c r="I1187" s="470"/>
      <c r="J1187" s="470">
        <f>TRUNC(I1187*E1187,0)</f>
        <v>0</v>
      </c>
      <c r="K1187" s="470">
        <f>중기사용료!$M$950</f>
        <v>58411</v>
      </c>
      <c r="L1187" s="470">
        <f>TRUNC(K1187*E1187,0)</f>
        <v>58411</v>
      </c>
      <c r="M1187" s="470">
        <f t="shared" si="347"/>
        <v>58411</v>
      </c>
      <c r="N1187" s="470">
        <f t="shared" si="347"/>
        <v>58411</v>
      </c>
      <c r="O1187" s="460">
        <f>중기사용료!$A$933</f>
        <v>50</v>
      </c>
      <c r="P1187" s="767"/>
    </row>
    <row r="1188" spans="2:17" ht="15.2" customHeight="1">
      <c r="B1188" s="766" t="s">
        <v>440</v>
      </c>
      <c r="C1188" s="766"/>
      <c r="D1188" s="84"/>
      <c r="E1188" s="87">
        <v>0.39</v>
      </c>
      <c r="F1188" s="86" t="s">
        <v>1163</v>
      </c>
      <c r="G1188" s="470"/>
      <c r="H1188" s="470">
        <f>TRUNC(E1188*G1188,0)</f>
        <v>0</v>
      </c>
      <c r="I1188" s="470"/>
      <c r="J1188" s="470">
        <f>TRUNC(I1188*E1188,0)</f>
        <v>0</v>
      </c>
      <c r="K1188" s="470">
        <f>SUMIF('노임(2015)'!$B$4:$B$87,B1188,'노임(2015)'!$C$4:$C$87)+SUMIF('노임(2015)'!$E$4:$E$87,B1188,'노임(2015)'!$F$4:$F$87)</f>
        <v>161990</v>
      </c>
      <c r="L1188" s="470">
        <f>TRUNC(K1188*E1188,0)</f>
        <v>63176</v>
      </c>
      <c r="M1188" s="470">
        <f t="shared" si="347"/>
        <v>161990</v>
      </c>
      <c r="N1188" s="470">
        <f t="shared" si="347"/>
        <v>63176</v>
      </c>
      <c r="O1188" s="457"/>
      <c r="P1188" s="767"/>
    </row>
    <row r="1189" spans="2:17" ht="15.2" customHeight="1">
      <c r="B1189" s="766" t="s">
        <v>1165</v>
      </c>
      <c r="C1189" s="766"/>
      <c r="D1189" s="84"/>
      <c r="E1189" s="87">
        <v>0.2</v>
      </c>
      <c r="F1189" s="86" t="s">
        <v>1163</v>
      </c>
      <c r="G1189" s="470"/>
      <c r="H1189" s="470">
        <f>TRUNC(E1189*G1189,0)</f>
        <v>0</v>
      </c>
      <c r="I1189" s="470"/>
      <c r="J1189" s="470">
        <f>TRUNC(I1189*E1189,0)</f>
        <v>0</v>
      </c>
      <c r="K1189" s="470">
        <f>SUMIF('노임(2015)'!$B$4:$B$87,B1189,'노임(2015)'!$C$4:$C$87)+SUMIF('노임(2015)'!$E$4:$E$87,B1189,'노임(2015)'!$F$4:$F$87)</f>
        <v>111771</v>
      </c>
      <c r="L1189" s="470">
        <f>TRUNC(K1189*E1189,0)</f>
        <v>22354</v>
      </c>
      <c r="M1189" s="470">
        <f t="shared" si="347"/>
        <v>111771</v>
      </c>
      <c r="N1189" s="470">
        <f t="shared" si="347"/>
        <v>22354</v>
      </c>
      <c r="O1189" s="457"/>
      <c r="P1189" s="767"/>
    </row>
    <row r="1190" spans="2:17" ht="15.2" customHeight="1">
      <c r="B1190" s="766" t="s">
        <v>855</v>
      </c>
      <c r="C1190" s="766"/>
      <c r="D1190" s="84"/>
      <c r="E1190" s="87"/>
      <c r="F1190" s="86"/>
      <c r="G1190" s="470"/>
      <c r="H1190" s="470">
        <f>SUM(H1185:H1189)</f>
        <v>0</v>
      </c>
      <c r="I1190" s="470"/>
      <c r="J1190" s="470">
        <f>SUM(J1185:J1189)</f>
        <v>0</v>
      </c>
      <c r="K1190" s="470"/>
      <c r="L1190" s="470">
        <f>SUM(L1185:L1189)</f>
        <v>943941</v>
      </c>
      <c r="M1190" s="470"/>
      <c r="N1190" s="470">
        <f>SUM(N1185:N1189)</f>
        <v>943941</v>
      </c>
      <c r="O1190" s="457"/>
      <c r="P1190" s="767"/>
      <c r="Q1190" s="80" t="s">
        <v>3244</v>
      </c>
    </row>
    <row r="1191" spans="2:17" ht="15.2" customHeight="1">
      <c r="B1191" s="96">
        <f>P1191</f>
        <v>191</v>
      </c>
      <c r="C1191" s="770" t="s">
        <v>987</v>
      </c>
      <c r="D1191" s="770"/>
      <c r="E1191" s="770"/>
      <c r="F1191" s="771"/>
      <c r="G1191" s="470"/>
      <c r="H1191" s="470"/>
      <c r="I1191" s="470"/>
      <c r="J1191" s="470"/>
      <c r="K1191" s="470"/>
      <c r="L1191" s="470"/>
      <c r="M1191" s="470"/>
      <c r="N1191" s="470"/>
      <c r="O1191" s="457"/>
      <c r="P1191" s="767">
        <f>MAX($P$5:P1190)+1</f>
        <v>191</v>
      </c>
      <c r="Q1191" s="80" t="s">
        <v>3243</v>
      </c>
    </row>
    <row r="1192" spans="2:17" ht="15.2" customHeight="1">
      <c r="B1192" s="766" t="s">
        <v>988</v>
      </c>
      <c r="C1192" s="766"/>
      <c r="D1192" s="84" t="s">
        <v>441</v>
      </c>
      <c r="E1192" s="88"/>
      <c r="F1192" s="86" t="s">
        <v>1531</v>
      </c>
      <c r="G1192" s="470"/>
      <c r="H1192" s="470">
        <f>TRUNC(E1192*G1192,0)</f>
        <v>0</v>
      </c>
      <c r="I1192" s="470"/>
      <c r="J1192" s="470">
        <f>TRUNC(I1192*E1192,0)</f>
        <v>0</v>
      </c>
      <c r="K1192" s="470">
        <f>사급자재!$M$110</f>
        <v>1600000</v>
      </c>
      <c r="L1192" s="470">
        <f>TRUNC(K1192*E1192,0)</f>
        <v>0</v>
      </c>
      <c r="M1192" s="470">
        <f t="shared" ref="M1192:N1196" si="348">G1192+I1192+K1192</f>
        <v>1600000</v>
      </c>
      <c r="N1192" s="470">
        <f t="shared" si="348"/>
        <v>0</v>
      </c>
      <c r="O1192" s="457"/>
      <c r="P1192" s="767"/>
    </row>
    <row r="1193" spans="2:17" ht="15.2" customHeight="1">
      <c r="B1193" s="766" t="s">
        <v>442</v>
      </c>
      <c r="C1193" s="766"/>
      <c r="D1193" s="84" t="s">
        <v>443</v>
      </c>
      <c r="E1193" s="87">
        <v>0.12</v>
      </c>
      <c r="F1193" s="86" t="s">
        <v>933</v>
      </c>
      <c r="G1193" s="470"/>
      <c r="H1193" s="470">
        <f>TRUNC(E1193*G1193,0)</f>
        <v>0</v>
      </c>
      <c r="I1193" s="470"/>
      <c r="J1193" s="470">
        <f>TRUNC(I1193*E1193,0)</f>
        <v>0</v>
      </c>
      <c r="K1193" s="470">
        <f>K1192</f>
        <v>1600000</v>
      </c>
      <c r="L1193" s="470">
        <f>TRUNC(K1193*E1193,0)</f>
        <v>192000</v>
      </c>
      <c r="M1193" s="470">
        <f t="shared" si="348"/>
        <v>1600000</v>
      </c>
      <c r="N1193" s="470">
        <f t="shared" si="348"/>
        <v>192000</v>
      </c>
      <c r="O1193" s="457"/>
      <c r="P1193" s="767"/>
    </row>
    <row r="1194" spans="2:17" ht="15.2" customHeight="1">
      <c r="B1194" s="766" t="s">
        <v>444</v>
      </c>
      <c r="C1194" s="766"/>
      <c r="D1194" s="84" t="s">
        <v>1088</v>
      </c>
      <c r="E1194" s="87">
        <v>1</v>
      </c>
      <c r="F1194" s="86" t="s">
        <v>445</v>
      </c>
      <c r="G1194" s="470"/>
      <c r="H1194" s="470">
        <f>TRUNC(E1194*G1194,0)</f>
        <v>0</v>
      </c>
      <c r="I1194" s="470"/>
      <c r="J1194" s="470">
        <f>TRUNC(I1194*E1194,0)</f>
        <v>0</v>
      </c>
      <c r="K1194" s="470">
        <f>중기사용료!$M$950</f>
        <v>58411</v>
      </c>
      <c r="L1194" s="470">
        <f>TRUNC(K1194*E1194,0)</f>
        <v>58411</v>
      </c>
      <c r="M1194" s="470">
        <f t="shared" si="348"/>
        <v>58411</v>
      </c>
      <c r="N1194" s="470">
        <f t="shared" si="348"/>
        <v>58411</v>
      </c>
      <c r="O1194" s="460">
        <f>중기사용료!$A$933</f>
        <v>50</v>
      </c>
      <c r="P1194" s="767"/>
    </row>
    <row r="1195" spans="2:17" ht="15.2" customHeight="1">
      <c r="B1195" s="766" t="s">
        <v>440</v>
      </c>
      <c r="C1195" s="766"/>
      <c r="D1195" s="84"/>
      <c r="E1195" s="87">
        <v>0.2</v>
      </c>
      <c r="F1195" s="86" t="s">
        <v>1163</v>
      </c>
      <c r="G1195" s="470"/>
      <c r="H1195" s="470">
        <f>TRUNC(E1195*G1195,0)</f>
        <v>0</v>
      </c>
      <c r="I1195" s="470"/>
      <c r="J1195" s="470">
        <f>TRUNC(I1195*E1195,0)</f>
        <v>0</v>
      </c>
      <c r="K1195" s="470">
        <f>SUMIF('노임(2015)'!$B$4:$B$87,B1195,'노임(2015)'!$C$4:$C$87)+SUMIF('노임(2015)'!$E$4:$E$87,B1195,'노임(2015)'!$F$4:$F$87)</f>
        <v>161990</v>
      </c>
      <c r="L1195" s="470">
        <f>TRUNC(K1195*E1195,0)</f>
        <v>32398</v>
      </c>
      <c r="M1195" s="470">
        <f t="shared" si="348"/>
        <v>161990</v>
      </c>
      <c r="N1195" s="470">
        <f t="shared" si="348"/>
        <v>32398</v>
      </c>
      <c r="O1195" s="457"/>
      <c r="P1195" s="767"/>
    </row>
    <row r="1196" spans="2:17" ht="15.2" customHeight="1">
      <c r="B1196" s="766" t="s">
        <v>1165</v>
      </c>
      <c r="C1196" s="766"/>
      <c r="D1196" s="84"/>
      <c r="E1196" s="87">
        <v>0.09</v>
      </c>
      <c r="F1196" s="86" t="s">
        <v>1163</v>
      </c>
      <c r="G1196" s="470"/>
      <c r="H1196" s="470">
        <f>TRUNC(E1196*G1196,0)</f>
        <v>0</v>
      </c>
      <c r="I1196" s="470"/>
      <c r="J1196" s="470">
        <f>TRUNC(I1196*E1196,0)</f>
        <v>0</v>
      </c>
      <c r="K1196" s="470">
        <f>SUMIF('노임(2015)'!$B$4:$B$87,B1196,'노임(2015)'!$C$4:$C$87)+SUMIF('노임(2015)'!$E$4:$E$87,B1196,'노임(2015)'!$F$4:$F$87)</f>
        <v>111771</v>
      </c>
      <c r="L1196" s="470">
        <f>TRUNC(K1196*E1196,0)</f>
        <v>10059</v>
      </c>
      <c r="M1196" s="470">
        <f t="shared" si="348"/>
        <v>111771</v>
      </c>
      <c r="N1196" s="470">
        <f t="shared" si="348"/>
        <v>10059</v>
      </c>
      <c r="O1196" s="457"/>
      <c r="P1196" s="767"/>
    </row>
    <row r="1197" spans="2:17" ht="15.2" customHeight="1">
      <c r="B1197" s="766" t="s">
        <v>855</v>
      </c>
      <c r="C1197" s="766"/>
      <c r="D1197" s="84"/>
      <c r="E1197" s="87"/>
      <c r="F1197" s="86"/>
      <c r="G1197" s="470"/>
      <c r="H1197" s="470">
        <f>SUM(H1192:H1196)</f>
        <v>0</v>
      </c>
      <c r="I1197" s="470"/>
      <c r="J1197" s="470">
        <f>SUM(J1192:J1196)</f>
        <v>0</v>
      </c>
      <c r="K1197" s="470"/>
      <c r="L1197" s="470">
        <f>SUM(L1192:L1196)</f>
        <v>292868</v>
      </c>
      <c r="M1197" s="470"/>
      <c r="N1197" s="470">
        <f>SUM(N1192:N1196)</f>
        <v>292868</v>
      </c>
      <c r="O1197" s="457"/>
      <c r="P1197" s="767"/>
      <c r="Q1197" s="80" t="s">
        <v>3244</v>
      </c>
    </row>
    <row r="1198" spans="2:17" ht="15.2" customHeight="1">
      <c r="B1198" s="96">
        <f>P1198</f>
        <v>192</v>
      </c>
      <c r="C1198" s="770" t="s">
        <v>989</v>
      </c>
      <c r="D1198" s="770"/>
      <c r="E1198" s="770"/>
      <c r="F1198" s="771"/>
      <c r="G1198" s="470"/>
      <c r="H1198" s="470"/>
      <c r="I1198" s="470"/>
      <c r="J1198" s="470"/>
      <c r="K1198" s="470"/>
      <c r="L1198" s="470"/>
      <c r="M1198" s="470"/>
      <c r="N1198" s="470"/>
      <c r="O1198" s="457"/>
      <c r="P1198" s="767">
        <f>MAX($P$5:P1197)+1</f>
        <v>192</v>
      </c>
      <c r="Q1198" s="80" t="s">
        <v>3243</v>
      </c>
    </row>
    <row r="1199" spans="2:17" ht="15.2" customHeight="1">
      <c r="B1199" s="766" t="s">
        <v>988</v>
      </c>
      <c r="C1199" s="766"/>
      <c r="D1199" s="84" t="s">
        <v>843</v>
      </c>
      <c r="E1199" s="88"/>
      <c r="F1199" s="86" t="s">
        <v>1531</v>
      </c>
      <c r="G1199" s="470"/>
      <c r="H1199" s="470">
        <f>TRUNC(E1199*G1199,0)</f>
        <v>0</v>
      </c>
      <c r="I1199" s="470"/>
      <c r="J1199" s="470">
        <f>TRUNC(I1199*E1199,0)</f>
        <v>0</v>
      </c>
      <c r="K1199" s="470">
        <f>사급자재!$M$109</f>
        <v>2100000</v>
      </c>
      <c r="L1199" s="470">
        <f>TRUNC(K1199*E1199,0)</f>
        <v>0</v>
      </c>
      <c r="M1199" s="470">
        <f t="shared" ref="M1199:N1203" si="349">G1199+I1199+K1199</f>
        <v>2100000</v>
      </c>
      <c r="N1199" s="470">
        <f t="shared" si="349"/>
        <v>0</v>
      </c>
      <c r="O1199" s="457"/>
      <c r="P1199" s="767"/>
    </row>
    <row r="1200" spans="2:17" ht="15.2" customHeight="1">
      <c r="B1200" s="766" t="s">
        <v>442</v>
      </c>
      <c r="C1200" s="766"/>
      <c r="D1200" s="84" t="s">
        <v>443</v>
      </c>
      <c r="E1200" s="87">
        <v>0.12</v>
      </c>
      <c r="F1200" s="86" t="s">
        <v>933</v>
      </c>
      <c r="G1200" s="470"/>
      <c r="H1200" s="470">
        <f>TRUNC(E1200*G1200,0)</f>
        <v>0</v>
      </c>
      <c r="I1200" s="470"/>
      <c r="J1200" s="470">
        <f>TRUNC(I1200*E1200,0)</f>
        <v>0</v>
      </c>
      <c r="K1200" s="470">
        <f>K1199</f>
        <v>2100000</v>
      </c>
      <c r="L1200" s="470">
        <f>TRUNC(K1200*E1200,0)</f>
        <v>252000</v>
      </c>
      <c r="M1200" s="470">
        <f t="shared" si="349"/>
        <v>2100000</v>
      </c>
      <c r="N1200" s="470">
        <f t="shared" si="349"/>
        <v>252000</v>
      </c>
      <c r="O1200" s="457"/>
      <c r="P1200" s="767"/>
    </row>
    <row r="1201" spans="2:17" ht="15.2" customHeight="1">
      <c r="B1201" s="766" t="s">
        <v>444</v>
      </c>
      <c r="C1201" s="766"/>
      <c r="D1201" s="84" t="s">
        <v>1088</v>
      </c>
      <c r="E1201" s="87">
        <v>1</v>
      </c>
      <c r="F1201" s="86" t="s">
        <v>445</v>
      </c>
      <c r="G1201" s="470"/>
      <c r="H1201" s="470">
        <f>TRUNC(E1201*G1201,0)</f>
        <v>0</v>
      </c>
      <c r="I1201" s="470"/>
      <c r="J1201" s="470">
        <f>TRUNC(I1201*E1201,0)</f>
        <v>0</v>
      </c>
      <c r="K1201" s="470">
        <f>중기사용료!$M$950</f>
        <v>58411</v>
      </c>
      <c r="L1201" s="470">
        <f>TRUNC(K1201*E1201,0)</f>
        <v>58411</v>
      </c>
      <c r="M1201" s="470">
        <f t="shared" si="349"/>
        <v>58411</v>
      </c>
      <c r="N1201" s="470">
        <f t="shared" si="349"/>
        <v>58411</v>
      </c>
      <c r="O1201" s="460">
        <f>중기사용료!$A$933</f>
        <v>50</v>
      </c>
      <c r="P1201" s="767"/>
    </row>
    <row r="1202" spans="2:17" ht="15.2" customHeight="1">
      <c r="B1202" s="766" t="s">
        <v>440</v>
      </c>
      <c r="C1202" s="766"/>
      <c r="D1202" s="84"/>
      <c r="E1202" s="87">
        <v>0.28999999999999998</v>
      </c>
      <c r="F1202" s="86" t="s">
        <v>1163</v>
      </c>
      <c r="G1202" s="470"/>
      <c r="H1202" s="470">
        <f>TRUNC(E1202*G1202,0)</f>
        <v>0</v>
      </c>
      <c r="I1202" s="470"/>
      <c r="J1202" s="470">
        <f>TRUNC(I1202*E1202,0)</f>
        <v>0</v>
      </c>
      <c r="K1202" s="470">
        <f>SUMIF('노임(2015)'!$B$4:$B$87,B1202,'노임(2015)'!$C$4:$C$87)+SUMIF('노임(2015)'!$E$4:$E$87,B1202,'노임(2015)'!$F$4:$F$87)</f>
        <v>161990</v>
      </c>
      <c r="L1202" s="470">
        <f>TRUNC(K1202*E1202,0)</f>
        <v>46977</v>
      </c>
      <c r="M1202" s="470">
        <f t="shared" si="349"/>
        <v>161990</v>
      </c>
      <c r="N1202" s="470">
        <f t="shared" si="349"/>
        <v>46977</v>
      </c>
      <c r="O1202" s="457"/>
      <c r="P1202" s="767"/>
    </row>
    <row r="1203" spans="2:17" ht="15.2" customHeight="1">
      <c r="B1203" s="766" t="s">
        <v>1165</v>
      </c>
      <c r="C1203" s="766"/>
      <c r="D1203" s="84"/>
      <c r="E1203" s="87">
        <v>0.17</v>
      </c>
      <c r="F1203" s="86" t="s">
        <v>1163</v>
      </c>
      <c r="G1203" s="470"/>
      <c r="H1203" s="470">
        <f>TRUNC(E1203*G1203,0)</f>
        <v>0</v>
      </c>
      <c r="I1203" s="470"/>
      <c r="J1203" s="470">
        <f>TRUNC(I1203*E1203,0)</f>
        <v>0</v>
      </c>
      <c r="K1203" s="470">
        <f>SUMIF('노임(2015)'!$B$4:$B$87,B1203,'노임(2015)'!$C$4:$C$87)+SUMIF('노임(2015)'!$E$4:$E$87,B1203,'노임(2015)'!$F$4:$F$87)</f>
        <v>111771</v>
      </c>
      <c r="L1203" s="470">
        <f>TRUNC(K1203*E1203,0)</f>
        <v>19001</v>
      </c>
      <c r="M1203" s="470">
        <f t="shared" si="349"/>
        <v>111771</v>
      </c>
      <c r="N1203" s="470">
        <f t="shared" si="349"/>
        <v>19001</v>
      </c>
      <c r="O1203" s="457"/>
      <c r="P1203" s="767"/>
    </row>
    <row r="1204" spans="2:17" ht="15.2" customHeight="1">
      <c r="B1204" s="766" t="s">
        <v>855</v>
      </c>
      <c r="C1204" s="766"/>
      <c r="D1204" s="84"/>
      <c r="E1204" s="87"/>
      <c r="F1204" s="86"/>
      <c r="G1204" s="470"/>
      <c r="H1204" s="470">
        <f>SUM(H1199:H1203)</f>
        <v>0</v>
      </c>
      <c r="I1204" s="470"/>
      <c r="J1204" s="470">
        <f>SUM(J1199:J1203)</f>
        <v>0</v>
      </c>
      <c r="K1204" s="470"/>
      <c r="L1204" s="470">
        <f>SUM(L1199:L1203)</f>
        <v>376389</v>
      </c>
      <c r="M1204" s="470"/>
      <c r="N1204" s="470">
        <f>SUM(N1199:N1203)</f>
        <v>376389</v>
      </c>
      <c r="O1204" s="457"/>
      <c r="P1204" s="767"/>
      <c r="Q1204" s="80" t="s">
        <v>3244</v>
      </c>
    </row>
    <row r="1205" spans="2:17" ht="15.2" customHeight="1">
      <c r="B1205" s="96">
        <f>P1205</f>
        <v>193</v>
      </c>
      <c r="C1205" s="770" t="s">
        <v>990</v>
      </c>
      <c r="D1205" s="770"/>
      <c r="E1205" s="770"/>
      <c r="F1205" s="771"/>
      <c r="G1205" s="470"/>
      <c r="H1205" s="470"/>
      <c r="I1205" s="470"/>
      <c r="J1205" s="470"/>
      <c r="K1205" s="470"/>
      <c r="L1205" s="470"/>
      <c r="M1205" s="470"/>
      <c r="N1205" s="470"/>
      <c r="O1205" s="457"/>
      <c r="P1205" s="767">
        <f>MAX($P$5:P1204)+1</f>
        <v>193</v>
      </c>
      <c r="Q1205" s="80" t="s">
        <v>3243</v>
      </c>
    </row>
    <row r="1206" spans="2:17" ht="15.2" customHeight="1">
      <c r="B1206" s="766" t="s">
        <v>988</v>
      </c>
      <c r="C1206" s="766"/>
      <c r="D1206" s="84" t="s">
        <v>441</v>
      </c>
      <c r="E1206" s="88"/>
      <c r="F1206" s="86" t="s">
        <v>1531</v>
      </c>
      <c r="G1206" s="470"/>
      <c r="H1206" s="470">
        <f>TRUNC(E1206*G1206,0)</f>
        <v>0</v>
      </c>
      <c r="I1206" s="470"/>
      <c r="J1206" s="470">
        <f>TRUNC(I1206*E1206,0)</f>
        <v>0</v>
      </c>
      <c r="K1206" s="470">
        <f>사급자재!$M$110</f>
        <v>1600000</v>
      </c>
      <c r="L1206" s="470">
        <f>TRUNC(K1206*E1206,0)</f>
        <v>0</v>
      </c>
      <c r="M1206" s="470">
        <f t="shared" ref="M1206:N1210" si="350">G1206+I1206+K1206</f>
        <v>1600000</v>
      </c>
      <c r="N1206" s="470">
        <f t="shared" si="350"/>
        <v>0</v>
      </c>
      <c r="O1206" s="457"/>
      <c r="P1206" s="767"/>
    </row>
    <row r="1207" spans="2:17" ht="15.2" customHeight="1">
      <c r="B1207" s="766" t="s">
        <v>442</v>
      </c>
      <c r="C1207" s="766"/>
      <c r="D1207" s="84" t="s">
        <v>844</v>
      </c>
      <c r="E1207" s="87">
        <v>0.16</v>
      </c>
      <c r="F1207" s="86" t="s">
        <v>933</v>
      </c>
      <c r="G1207" s="470"/>
      <c r="H1207" s="470">
        <f>TRUNC(E1207*G1207,0)</f>
        <v>0</v>
      </c>
      <c r="I1207" s="470"/>
      <c r="J1207" s="470">
        <f>TRUNC(I1207*E1207,0)</f>
        <v>0</v>
      </c>
      <c r="K1207" s="470">
        <f>K1206</f>
        <v>1600000</v>
      </c>
      <c r="L1207" s="470">
        <f>TRUNC(K1207*E1207,0)</f>
        <v>256000</v>
      </c>
      <c r="M1207" s="470">
        <f t="shared" si="350"/>
        <v>1600000</v>
      </c>
      <c r="N1207" s="470">
        <f t="shared" si="350"/>
        <v>256000</v>
      </c>
      <c r="O1207" s="457"/>
      <c r="P1207" s="767"/>
    </row>
    <row r="1208" spans="2:17" ht="15.2" customHeight="1">
      <c r="B1208" s="766" t="s">
        <v>444</v>
      </c>
      <c r="C1208" s="766"/>
      <c r="D1208" s="84" t="s">
        <v>1088</v>
      </c>
      <c r="E1208" s="87">
        <v>1</v>
      </c>
      <c r="F1208" s="86" t="s">
        <v>445</v>
      </c>
      <c r="G1208" s="470"/>
      <c r="H1208" s="470">
        <f>TRUNC(E1208*G1208,0)</f>
        <v>0</v>
      </c>
      <c r="I1208" s="470"/>
      <c r="J1208" s="470">
        <f>TRUNC(I1208*E1208,0)</f>
        <v>0</v>
      </c>
      <c r="K1208" s="470">
        <f>중기사용료!$M$950</f>
        <v>58411</v>
      </c>
      <c r="L1208" s="470">
        <f>TRUNC(K1208*E1208,0)</f>
        <v>58411</v>
      </c>
      <c r="M1208" s="470">
        <f t="shared" si="350"/>
        <v>58411</v>
      </c>
      <c r="N1208" s="470">
        <f t="shared" si="350"/>
        <v>58411</v>
      </c>
      <c r="O1208" s="460">
        <f>중기사용료!$A$933</f>
        <v>50</v>
      </c>
      <c r="P1208" s="767"/>
    </row>
    <row r="1209" spans="2:17" ht="15.2" customHeight="1">
      <c r="B1209" s="766" t="s">
        <v>440</v>
      </c>
      <c r="C1209" s="766"/>
      <c r="D1209" s="84"/>
      <c r="E1209" s="87">
        <v>0.2</v>
      </c>
      <c r="F1209" s="86" t="s">
        <v>1163</v>
      </c>
      <c r="G1209" s="470"/>
      <c r="H1209" s="470">
        <f>TRUNC(E1209*G1209,0)</f>
        <v>0</v>
      </c>
      <c r="I1209" s="470"/>
      <c r="J1209" s="470">
        <f>TRUNC(I1209*E1209,0)</f>
        <v>0</v>
      </c>
      <c r="K1209" s="470">
        <f>SUMIF('노임(2015)'!$B$4:$B$87,B1209,'노임(2015)'!$C$4:$C$87)+SUMIF('노임(2015)'!$E$4:$E$87,B1209,'노임(2015)'!$F$4:$F$87)</f>
        <v>161990</v>
      </c>
      <c r="L1209" s="470">
        <f>TRUNC(K1209*E1209,0)</f>
        <v>32398</v>
      </c>
      <c r="M1209" s="470">
        <f t="shared" si="350"/>
        <v>161990</v>
      </c>
      <c r="N1209" s="470">
        <f t="shared" si="350"/>
        <v>32398</v>
      </c>
      <c r="O1209" s="457"/>
      <c r="P1209" s="767"/>
    </row>
    <row r="1210" spans="2:17" ht="15.2" customHeight="1">
      <c r="B1210" s="766" t="s">
        <v>1165</v>
      </c>
      <c r="C1210" s="766"/>
      <c r="D1210" s="84"/>
      <c r="E1210" s="87">
        <v>0.09</v>
      </c>
      <c r="F1210" s="86" t="s">
        <v>1163</v>
      </c>
      <c r="G1210" s="470"/>
      <c r="H1210" s="470">
        <f>TRUNC(E1210*G1210,0)</f>
        <v>0</v>
      </c>
      <c r="I1210" s="470"/>
      <c r="J1210" s="470">
        <f>TRUNC(I1210*E1210,0)</f>
        <v>0</v>
      </c>
      <c r="K1210" s="470">
        <f>SUMIF('노임(2015)'!$B$4:$B$87,B1210,'노임(2015)'!$C$4:$C$87)+SUMIF('노임(2015)'!$E$4:$E$87,B1210,'노임(2015)'!$F$4:$F$87)</f>
        <v>111771</v>
      </c>
      <c r="L1210" s="470">
        <f>TRUNC(K1210*E1210,0)</f>
        <v>10059</v>
      </c>
      <c r="M1210" s="470">
        <f t="shared" si="350"/>
        <v>111771</v>
      </c>
      <c r="N1210" s="470">
        <f t="shared" si="350"/>
        <v>10059</v>
      </c>
      <c r="O1210" s="457"/>
      <c r="P1210" s="767"/>
    </row>
    <row r="1211" spans="2:17" ht="15.2" customHeight="1">
      <c r="B1211" s="766" t="s">
        <v>855</v>
      </c>
      <c r="C1211" s="766"/>
      <c r="D1211" s="84"/>
      <c r="E1211" s="87"/>
      <c r="F1211" s="86"/>
      <c r="G1211" s="470"/>
      <c r="H1211" s="470">
        <f>SUM(H1206:H1210)</f>
        <v>0</v>
      </c>
      <c r="I1211" s="470"/>
      <c r="J1211" s="470">
        <f>SUM(J1206:J1210)</f>
        <v>0</v>
      </c>
      <c r="K1211" s="470"/>
      <c r="L1211" s="470">
        <f>SUM(L1206:L1210)</f>
        <v>356868</v>
      </c>
      <c r="M1211" s="470"/>
      <c r="N1211" s="470">
        <f>SUM(N1206:N1210)</f>
        <v>356868</v>
      </c>
      <c r="O1211" s="457"/>
      <c r="P1211" s="767"/>
      <c r="Q1211" s="80" t="s">
        <v>3244</v>
      </c>
    </row>
    <row r="1212" spans="2:17" ht="15.2" customHeight="1">
      <c r="B1212" s="96">
        <f>P1212</f>
        <v>194</v>
      </c>
      <c r="C1212" s="770" t="s">
        <v>991</v>
      </c>
      <c r="D1212" s="770"/>
      <c r="E1212" s="770"/>
      <c r="F1212" s="771"/>
      <c r="G1212" s="470"/>
      <c r="H1212" s="470"/>
      <c r="I1212" s="470"/>
      <c r="J1212" s="470"/>
      <c r="K1212" s="470"/>
      <c r="L1212" s="470"/>
      <c r="M1212" s="470"/>
      <c r="N1212" s="470"/>
      <c r="O1212" s="457"/>
      <c r="P1212" s="767">
        <f>MAX($P$5:P1211)+1</f>
        <v>194</v>
      </c>
      <c r="Q1212" s="80" t="s">
        <v>3243</v>
      </c>
    </row>
    <row r="1213" spans="2:17" ht="15.2" customHeight="1">
      <c r="B1213" s="766" t="s">
        <v>988</v>
      </c>
      <c r="C1213" s="766"/>
      <c r="D1213" s="84" t="s">
        <v>843</v>
      </c>
      <c r="E1213" s="88"/>
      <c r="F1213" s="86" t="s">
        <v>1531</v>
      </c>
      <c r="G1213" s="470"/>
      <c r="H1213" s="470">
        <f>TRUNC(E1213*G1213,0)</f>
        <v>0</v>
      </c>
      <c r="I1213" s="470"/>
      <c r="J1213" s="470">
        <f>TRUNC(I1213*E1213,0)</f>
        <v>0</v>
      </c>
      <c r="K1213" s="470">
        <f>사급자재!$M$109</f>
        <v>2100000</v>
      </c>
      <c r="L1213" s="470">
        <f>TRUNC(K1213*E1213,0)</f>
        <v>0</v>
      </c>
      <c r="M1213" s="470">
        <f t="shared" ref="M1213:N1217" si="351">G1213+I1213+K1213</f>
        <v>2100000</v>
      </c>
      <c r="N1213" s="470">
        <f t="shared" si="351"/>
        <v>0</v>
      </c>
      <c r="O1213" s="457"/>
      <c r="P1213" s="767"/>
    </row>
    <row r="1214" spans="2:17" ht="15.2" customHeight="1">
      <c r="B1214" s="766" t="s">
        <v>442</v>
      </c>
      <c r="C1214" s="766"/>
      <c r="D1214" s="84" t="s">
        <v>844</v>
      </c>
      <c r="E1214" s="87">
        <v>0.16</v>
      </c>
      <c r="F1214" s="86" t="s">
        <v>933</v>
      </c>
      <c r="G1214" s="470"/>
      <c r="H1214" s="470">
        <f>TRUNC(E1214*G1214,0)</f>
        <v>0</v>
      </c>
      <c r="I1214" s="470"/>
      <c r="J1214" s="470">
        <f>TRUNC(I1214*E1214,0)</f>
        <v>0</v>
      </c>
      <c r="K1214" s="470">
        <f>K1213</f>
        <v>2100000</v>
      </c>
      <c r="L1214" s="470">
        <f>TRUNC(K1214*E1214,0)</f>
        <v>336000</v>
      </c>
      <c r="M1214" s="470">
        <f t="shared" si="351"/>
        <v>2100000</v>
      </c>
      <c r="N1214" s="470">
        <f t="shared" si="351"/>
        <v>336000</v>
      </c>
      <c r="O1214" s="457"/>
      <c r="P1214" s="767"/>
    </row>
    <row r="1215" spans="2:17" ht="15.2" customHeight="1">
      <c r="B1215" s="766" t="s">
        <v>444</v>
      </c>
      <c r="C1215" s="766"/>
      <c r="D1215" s="84" t="s">
        <v>1088</v>
      </c>
      <c r="E1215" s="87">
        <v>1</v>
      </c>
      <c r="F1215" s="86" t="s">
        <v>445</v>
      </c>
      <c r="G1215" s="470"/>
      <c r="H1215" s="470">
        <f>TRUNC(E1215*G1215,0)</f>
        <v>0</v>
      </c>
      <c r="I1215" s="470"/>
      <c r="J1215" s="470">
        <f>TRUNC(I1215*E1215,0)</f>
        <v>0</v>
      </c>
      <c r="K1215" s="470">
        <f>중기사용료!$M$950</f>
        <v>58411</v>
      </c>
      <c r="L1215" s="470">
        <f>TRUNC(K1215*E1215,0)</f>
        <v>58411</v>
      </c>
      <c r="M1215" s="470">
        <f t="shared" si="351"/>
        <v>58411</v>
      </c>
      <c r="N1215" s="470">
        <f t="shared" si="351"/>
        <v>58411</v>
      </c>
      <c r="O1215" s="460">
        <f>중기사용료!$A$933</f>
        <v>50</v>
      </c>
      <c r="P1215" s="767"/>
    </row>
    <row r="1216" spans="2:17" ht="15.2" customHeight="1">
      <c r="B1216" s="766" t="s">
        <v>440</v>
      </c>
      <c r="C1216" s="766"/>
      <c r="D1216" s="84"/>
      <c r="E1216" s="87">
        <v>0.28999999999999998</v>
      </c>
      <c r="F1216" s="86" t="s">
        <v>1163</v>
      </c>
      <c r="G1216" s="470"/>
      <c r="H1216" s="470">
        <f>TRUNC(E1216*G1216,0)</f>
        <v>0</v>
      </c>
      <c r="I1216" s="470"/>
      <c r="J1216" s="470">
        <f>TRUNC(I1216*E1216,0)</f>
        <v>0</v>
      </c>
      <c r="K1216" s="470">
        <f>SUMIF('노임(2015)'!$B$4:$B$87,B1216,'노임(2015)'!$C$4:$C$87)+SUMIF('노임(2015)'!$E$4:$E$87,B1216,'노임(2015)'!$F$4:$F$87)</f>
        <v>161990</v>
      </c>
      <c r="L1216" s="470">
        <f>TRUNC(K1216*E1216,0)</f>
        <v>46977</v>
      </c>
      <c r="M1216" s="470">
        <f t="shared" si="351"/>
        <v>161990</v>
      </c>
      <c r="N1216" s="470">
        <f t="shared" si="351"/>
        <v>46977</v>
      </c>
      <c r="O1216" s="457"/>
      <c r="P1216" s="767"/>
    </row>
    <row r="1217" spans="2:17" ht="15.2" customHeight="1">
      <c r="B1217" s="766" t="s">
        <v>1165</v>
      </c>
      <c r="C1217" s="766"/>
      <c r="D1217" s="84"/>
      <c r="E1217" s="87">
        <v>0.17</v>
      </c>
      <c r="F1217" s="86" t="s">
        <v>1163</v>
      </c>
      <c r="G1217" s="470"/>
      <c r="H1217" s="470">
        <f>TRUNC(E1217*G1217,0)</f>
        <v>0</v>
      </c>
      <c r="I1217" s="470"/>
      <c r="J1217" s="470">
        <f>TRUNC(I1217*E1217,0)</f>
        <v>0</v>
      </c>
      <c r="K1217" s="470">
        <f>SUMIF('노임(2015)'!$B$4:$B$87,B1217,'노임(2015)'!$C$4:$C$87)+SUMIF('노임(2015)'!$E$4:$E$87,B1217,'노임(2015)'!$F$4:$F$87)</f>
        <v>111771</v>
      </c>
      <c r="L1217" s="470">
        <f>TRUNC(K1217*E1217,0)</f>
        <v>19001</v>
      </c>
      <c r="M1217" s="470">
        <f t="shared" si="351"/>
        <v>111771</v>
      </c>
      <c r="N1217" s="470">
        <f t="shared" si="351"/>
        <v>19001</v>
      </c>
      <c r="O1217" s="457"/>
      <c r="P1217" s="767"/>
    </row>
    <row r="1218" spans="2:17" ht="15.2" customHeight="1">
      <c r="B1218" s="766" t="s">
        <v>855</v>
      </c>
      <c r="C1218" s="766"/>
      <c r="D1218" s="84"/>
      <c r="E1218" s="87"/>
      <c r="F1218" s="86"/>
      <c r="G1218" s="470"/>
      <c r="H1218" s="470">
        <f>SUM(H1213:H1217)</f>
        <v>0</v>
      </c>
      <c r="I1218" s="470"/>
      <c r="J1218" s="470">
        <f>SUM(J1213:J1217)</f>
        <v>0</v>
      </c>
      <c r="K1218" s="470"/>
      <c r="L1218" s="470">
        <f>SUM(L1213:L1217)</f>
        <v>460389</v>
      </c>
      <c r="M1218" s="470"/>
      <c r="N1218" s="470">
        <f>SUM(N1213:N1217)</f>
        <v>460389</v>
      </c>
      <c r="O1218" s="457"/>
      <c r="P1218" s="767"/>
      <c r="Q1218" s="80" t="s">
        <v>3244</v>
      </c>
    </row>
    <row r="1219" spans="2:17" ht="15.2" customHeight="1">
      <c r="B1219" s="96">
        <f>P1219</f>
        <v>195</v>
      </c>
      <c r="C1219" s="770" t="s">
        <v>992</v>
      </c>
      <c r="D1219" s="770"/>
      <c r="E1219" s="770"/>
      <c r="F1219" s="771"/>
      <c r="G1219" s="470"/>
      <c r="H1219" s="470"/>
      <c r="I1219" s="470"/>
      <c r="J1219" s="470"/>
      <c r="K1219" s="470"/>
      <c r="L1219" s="470"/>
      <c r="M1219" s="470"/>
      <c r="N1219" s="470"/>
      <c r="O1219" s="457"/>
      <c r="P1219" s="767">
        <f>MAX($P$5:P1218)+1</f>
        <v>195</v>
      </c>
      <c r="Q1219" s="80" t="s">
        <v>3243</v>
      </c>
    </row>
    <row r="1220" spans="2:17" ht="15.2" customHeight="1">
      <c r="B1220" s="766" t="s">
        <v>988</v>
      </c>
      <c r="C1220" s="766"/>
      <c r="D1220" s="84" t="s">
        <v>845</v>
      </c>
      <c r="E1220" s="88"/>
      <c r="F1220" s="86" t="s">
        <v>1531</v>
      </c>
      <c r="G1220" s="470"/>
      <c r="H1220" s="470">
        <f>TRUNC(E1220*G1220,0)</f>
        <v>0</v>
      </c>
      <c r="I1220" s="470"/>
      <c r="J1220" s="470">
        <f>TRUNC(I1220*E1220,0)</f>
        <v>0</v>
      </c>
      <c r="K1220" s="470">
        <f>사급자재!$M$108</f>
        <v>2600000</v>
      </c>
      <c r="L1220" s="470">
        <f>TRUNC(K1220*E1220,0)</f>
        <v>0</v>
      </c>
      <c r="M1220" s="470">
        <f t="shared" ref="M1220:N1224" si="352">G1220+I1220+K1220</f>
        <v>2600000</v>
      </c>
      <c r="N1220" s="470">
        <f t="shared" si="352"/>
        <v>0</v>
      </c>
      <c r="O1220" s="457"/>
      <c r="P1220" s="767"/>
    </row>
    <row r="1221" spans="2:17" ht="15.2" customHeight="1">
      <c r="B1221" s="766" t="s">
        <v>442</v>
      </c>
      <c r="C1221" s="766"/>
      <c r="D1221" s="84" t="s">
        <v>844</v>
      </c>
      <c r="E1221" s="87">
        <v>0.16</v>
      </c>
      <c r="F1221" s="86" t="s">
        <v>933</v>
      </c>
      <c r="G1221" s="470"/>
      <c r="H1221" s="470">
        <f>TRUNC(E1221*G1221,0)</f>
        <v>0</v>
      </c>
      <c r="I1221" s="470"/>
      <c r="J1221" s="470">
        <f>TRUNC(I1221*E1221,0)</f>
        <v>0</v>
      </c>
      <c r="K1221" s="470">
        <f>K1220</f>
        <v>2600000</v>
      </c>
      <c r="L1221" s="470">
        <f>TRUNC(K1221*E1221,0)</f>
        <v>416000</v>
      </c>
      <c r="M1221" s="470">
        <f t="shared" si="352"/>
        <v>2600000</v>
      </c>
      <c r="N1221" s="470">
        <f t="shared" si="352"/>
        <v>416000</v>
      </c>
      <c r="O1221" s="457"/>
      <c r="P1221" s="767"/>
    </row>
    <row r="1222" spans="2:17" ht="15.2" customHeight="1">
      <c r="B1222" s="766" t="s">
        <v>444</v>
      </c>
      <c r="C1222" s="766"/>
      <c r="D1222" s="84" t="s">
        <v>1088</v>
      </c>
      <c r="E1222" s="87">
        <v>1</v>
      </c>
      <c r="F1222" s="86" t="s">
        <v>445</v>
      </c>
      <c r="G1222" s="470"/>
      <c r="H1222" s="470">
        <f>TRUNC(E1222*G1222,0)</f>
        <v>0</v>
      </c>
      <c r="I1222" s="470"/>
      <c r="J1222" s="470">
        <f>TRUNC(I1222*E1222,0)</f>
        <v>0</v>
      </c>
      <c r="K1222" s="470">
        <f>중기사용료!$M$950</f>
        <v>58411</v>
      </c>
      <c r="L1222" s="470">
        <f>TRUNC(K1222*E1222,0)</f>
        <v>58411</v>
      </c>
      <c r="M1222" s="470">
        <f t="shared" si="352"/>
        <v>58411</v>
      </c>
      <c r="N1222" s="470">
        <f t="shared" si="352"/>
        <v>58411</v>
      </c>
      <c r="O1222" s="460">
        <f>중기사용료!$A$933</f>
        <v>50</v>
      </c>
      <c r="P1222" s="767"/>
    </row>
    <row r="1223" spans="2:17" ht="15.2" customHeight="1">
      <c r="B1223" s="766" t="s">
        <v>440</v>
      </c>
      <c r="C1223" s="766"/>
      <c r="D1223" s="84"/>
      <c r="E1223" s="87">
        <v>0.39</v>
      </c>
      <c r="F1223" s="86" t="s">
        <v>1163</v>
      </c>
      <c r="G1223" s="470"/>
      <c r="H1223" s="470">
        <f>TRUNC(E1223*G1223,0)</f>
        <v>0</v>
      </c>
      <c r="I1223" s="470"/>
      <c r="J1223" s="470">
        <f>TRUNC(I1223*E1223,0)</f>
        <v>0</v>
      </c>
      <c r="K1223" s="470">
        <f>SUMIF('노임(2015)'!$B$4:$B$87,B1223,'노임(2015)'!$C$4:$C$87)+SUMIF('노임(2015)'!$E$4:$E$87,B1223,'노임(2015)'!$F$4:$F$87)</f>
        <v>161990</v>
      </c>
      <c r="L1223" s="470">
        <f>TRUNC(K1223*E1223,0)</f>
        <v>63176</v>
      </c>
      <c r="M1223" s="470">
        <f t="shared" si="352"/>
        <v>161990</v>
      </c>
      <c r="N1223" s="470">
        <f t="shared" si="352"/>
        <v>63176</v>
      </c>
      <c r="O1223" s="457"/>
      <c r="P1223" s="767"/>
    </row>
    <row r="1224" spans="2:17" ht="15.2" customHeight="1">
      <c r="B1224" s="766" t="s">
        <v>1165</v>
      </c>
      <c r="C1224" s="766"/>
      <c r="D1224" s="84"/>
      <c r="E1224" s="87">
        <v>0.2</v>
      </c>
      <c r="F1224" s="86" t="s">
        <v>1163</v>
      </c>
      <c r="G1224" s="470"/>
      <c r="H1224" s="470">
        <f>TRUNC(E1224*G1224,0)</f>
        <v>0</v>
      </c>
      <c r="I1224" s="470"/>
      <c r="J1224" s="470">
        <f>TRUNC(I1224*E1224,0)</f>
        <v>0</v>
      </c>
      <c r="K1224" s="470">
        <f>SUMIF('노임(2015)'!$B$4:$B$87,B1224,'노임(2015)'!$C$4:$C$87)+SUMIF('노임(2015)'!$E$4:$E$87,B1224,'노임(2015)'!$F$4:$F$87)</f>
        <v>111771</v>
      </c>
      <c r="L1224" s="470">
        <f>TRUNC(K1224*E1224,0)</f>
        <v>22354</v>
      </c>
      <c r="M1224" s="470">
        <f t="shared" si="352"/>
        <v>111771</v>
      </c>
      <c r="N1224" s="470">
        <f t="shared" si="352"/>
        <v>22354</v>
      </c>
      <c r="O1224" s="457"/>
      <c r="P1224" s="767"/>
    </row>
    <row r="1225" spans="2:17" ht="15.2" customHeight="1">
      <c r="B1225" s="766" t="s">
        <v>855</v>
      </c>
      <c r="C1225" s="766"/>
      <c r="D1225" s="84"/>
      <c r="E1225" s="87"/>
      <c r="F1225" s="86"/>
      <c r="G1225" s="470"/>
      <c r="H1225" s="470">
        <f>SUM(H1220:H1224)</f>
        <v>0</v>
      </c>
      <c r="I1225" s="470"/>
      <c r="J1225" s="470">
        <f>SUM(J1220:J1224)</f>
        <v>0</v>
      </c>
      <c r="K1225" s="470"/>
      <c r="L1225" s="470">
        <f>SUM(L1220:L1224)</f>
        <v>559941</v>
      </c>
      <c r="M1225" s="470"/>
      <c r="N1225" s="470">
        <f>SUM(N1220:N1224)</f>
        <v>559941</v>
      </c>
      <c r="O1225" s="457"/>
      <c r="P1225" s="767"/>
      <c r="Q1225" s="80" t="s">
        <v>3244</v>
      </c>
    </row>
    <row r="1226" spans="2:17" ht="15.2" customHeight="1">
      <c r="B1226" s="96">
        <f>P1226</f>
        <v>196</v>
      </c>
      <c r="C1226" s="770" t="s">
        <v>993</v>
      </c>
      <c r="D1226" s="770"/>
      <c r="E1226" s="770"/>
      <c r="F1226" s="771"/>
      <c r="G1226" s="470"/>
      <c r="H1226" s="470"/>
      <c r="I1226" s="470"/>
      <c r="J1226" s="470"/>
      <c r="K1226" s="470"/>
      <c r="L1226" s="470"/>
      <c r="M1226" s="470"/>
      <c r="N1226" s="470"/>
      <c r="O1226" s="457"/>
      <c r="P1226" s="767">
        <f>MAX($P$5:P1225)+1</f>
        <v>196</v>
      </c>
      <c r="Q1226" s="80" t="s">
        <v>3243</v>
      </c>
    </row>
    <row r="1227" spans="2:17" ht="15.2" customHeight="1">
      <c r="B1227" s="766" t="s">
        <v>988</v>
      </c>
      <c r="C1227" s="766"/>
      <c r="D1227" s="84" t="s">
        <v>441</v>
      </c>
      <c r="E1227" s="88"/>
      <c r="F1227" s="86" t="s">
        <v>1531</v>
      </c>
      <c r="G1227" s="470"/>
      <c r="H1227" s="470">
        <f>TRUNC(E1227*G1227,0)</f>
        <v>0</v>
      </c>
      <c r="I1227" s="470"/>
      <c r="J1227" s="470">
        <f>TRUNC(I1227*E1227,0)</f>
        <v>0</v>
      </c>
      <c r="K1227" s="470">
        <f>사급자재!$M$110</f>
        <v>1600000</v>
      </c>
      <c r="L1227" s="470">
        <f>TRUNC(K1227*E1227,0)</f>
        <v>0</v>
      </c>
      <c r="M1227" s="470">
        <f t="shared" ref="M1227:N1231" si="353">G1227+I1227+K1227</f>
        <v>1600000</v>
      </c>
      <c r="N1227" s="470">
        <f t="shared" si="353"/>
        <v>0</v>
      </c>
      <c r="O1227" s="457"/>
      <c r="P1227" s="767"/>
    </row>
    <row r="1228" spans="2:17" ht="15.2" customHeight="1">
      <c r="B1228" s="766" t="s">
        <v>442</v>
      </c>
      <c r="C1228" s="766"/>
      <c r="D1228" s="84" t="s">
        <v>1197</v>
      </c>
      <c r="E1228" s="87">
        <v>0.25</v>
      </c>
      <c r="F1228" s="86" t="s">
        <v>933</v>
      </c>
      <c r="G1228" s="470"/>
      <c r="H1228" s="470">
        <f>TRUNC(E1228*G1228,0)</f>
        <v>0</v>
      </c>
      <c r="I1228" s="470"/>
      <c r="J1228" s="470">
        <f>TRUNC(I1228*E1228,0)</f>
        <v>0</v>
      </c>
      <c r="K1228" s="470">
        <f>K1227</f>
        <v>1600000</v>
      </c>
      <c r="L1228" s="470">
        <f>TRUNC(K1228*E1228,0)</f>
        <v>400000</v>
      </c>
      <c r="M1228" s="470">
        <f t="shared" si="353"/>
        <v>1600000</v>
      </c>
      <c r="N1228" s="470">
        <f t="shared" si="353"/>
        <v>400000</v>
      </c>
      <c r="O1228" s="457"/>
      <c r="P1228" s="767"/>
    </row>
    <row r="1229" spans="2:17" ht="15.2" customHeight="1">
      <c r="B1229" s="766" t="s">
        <v>444</v>
      </c>
      <c r="C1229" s="766"/>
      <c r="D1229" s="84" t="s">
        <v>1088</v>
      </c>
      <c r="E1229" s="87">
        <v>1</v>
      </c>
      <c r="F1229" s="86" t="s">
        <v>445</v>
      </c>
      <c r="G1229" s="470"/>
      <c r="H1229" s="470">
        <f>TRUNC(E1229*G1229,0)</f>
        <v>0</v>
      </c>
      <c r="I1229" s="470"/>
      <c r="J1229" s="470">
        <f>TRUNC(I1229*E1229,0)</f>
        <v>0</v>
      </c>
      <c r="K1229" s="470">
        <f>중기사용료!$M$950</f>
        <v>58411</v>
      </c>
      <c r="L1229" s="470">
        <f>TRUNC(K1229*E1229,0)</f>
        <v>58411</v>
      </c>
      <c r="M1229" s="470">
        <f t="shared" si="353"/>
        <v>58411</v>
      </c>
      <c r="N1229" s="470">
        <f t="shared" si="353"/>
        <v>58411</v>
      </c>
      <c r="O1229" s="460">
        <f>중기사용료!$A$933</f>
        <v>50</v>
      </c>
      <c r="P1229" s="767"/>
    </row>
    <row r="1230" spans="2:17" ht="15.2" customHeight="1">
      <c r="B1230" s="766" t="s">
        <v>440</v>
      </c>
      <c r="C1230" s="766"/>
      <c r="D1230" s="84"/>
      <c r="E1230" s="87">
        <v>0.2</v>
      </c>
      <c r="F1230" s="86" t="s">
        <v>1163</v>
      </c>
      <c r="G1230" s="470"/>
      <c r="H1230" s="470">
        <f>TRUNC(E1230*G1230,0)</f>
        <v>0</v>
      </c>
      <c r="I1230" s="470"/>
      <c r="J1230" s="470">
        <f>TRUNC(I1230*E1230,0)</f>
        <v>0</v>
      </c>
      <c r="K1230" s="470">
        <f>SUMIF('노임(2015)'!$B$4:$B$87,B1230,'노임(2015)'!$C$4:$C$87)+SUMIF('노임(2015)'!$E$4:$E$87,B1230,'노임(2015)'!$F$4:$F$87)</f>
        <v>161990</v>
      </c>
      <c r="L1230" s="470">
        <f>TRUNC(K1230*E1230,0)</f>
        <v>32398</v>
      </c>
      <c r="M1230" s="470">
        <f t="shared" si="353"/>
        <v>161990</v>
      </c>
      <c r="N1230" s="470">
        <f t="shared" si="353"/>
        <v>32398</v>
      </c>
      <c r="O1230" s="457"/>
      <c r="P1230" s="767"/>
    </row>
    <row r="1231" spans="2:17" ht="15.2" customHeight="1">
      <c r="B1231" s="766" t="s">
        <v>1165</v>
      </c>
      <c r="C1231" s="766"/>
      <c r="D1231" s="84"/>
      <c r="E1231" s="87">
        <v>0.09</v>
      </c>
      <c r="F1231" s="86" t="s">
        <v>1163</v>
      </c>
      <c r="G1231" s="470"/>
      <c r="H1231" s="470">
        <f>TRUNC(E1231*G1231,0)</f>
        <v>0</v>
      </c>
      <c r="I1231" s="470"/>
      <c r="J1231" s="470">
        <f>TRUNC(I1231*E1231,0)</f>
        <v>0</v>
      </c>
      <c r="K1231" s="470">
        <f>SUMIF('노임(2015)'!$B$4:$B$87,B1231,'노임(2015)'!$C$4:$C$87)+SUMIF('노임(2015)'!$E$4:$E$87,B1231,'노임(2015)'!$F$4:$F$87)</f>
        <v>111771</v>
      </c>
      <c r="L1231" s="470">
        <f>TRUNC(K1231*E1231,0)</f>
        <v>10059</v>
      </c>
      <c r="M1231" s="470">
        <f t="shared" si="353"/>
        <v>111771</v>
      </c>
      <c r="N1231" s="470">
        <f t="shared" si="353"/>
        <v>10059</v>
      </c>
      <c r="O1231" s="457"/>
      <c r="P1231" s="767"/>
    </row>
    <row r="1232" spans="2:17" ht="15.2" customHeight="1">
      <c r="B1232" s="766" t="s">
        <v>855</v>
      </c>
      <c r="C1232" s="766"/>
      <c r="D1232" s="84"/>
      <c r="E1232" s="87"/>
      <c r="F1232" s="86"/>
      <c r="G1232" s="470"/>
      <c r="H1232" s="470">
        <f>SUM(H1227:H1231)</f>
        <v>0</v>
      </c>
      <c r="I1232" s="470"/>
      <c r="J1232" s="470">
        <f>SUM(J1227:J1231)</f>
        <v>0</v>
      </c>
      <c r="K1232" s="470"/>
      <c r="L1232" s="470">
        <f>SUM(L1227:L1231)</f>
        <v>500868</v>
      </c>
      <c r="M1232" s="470"/>
      <c r="N1232" s="470">
        <f>SUM(N1227:N1231)</f>
        <v>500868</v>
      </c>
      <c r="O1232" s="457"/>
      <c r="P1232" s="767"/>
      <c r="Q1232" s="80" t="s">
        <v>3244</v>
      </c>
    </row>
    <row r="1233" spans="2:17" ht="15.2" customHeight="1">
      <c r="B1233" s="96">
        <f>P1233</f>
        <v>197</v>
      </c>
      <c r="C1233" s="770" t="s">
        <v>994</v>
      </c>
      <c r="D1233" s="770"/>
      <c r="E1233" s="770"/>
      <c r="F1233" s="771"/>
      <c r="G1233" s="470"/>
      <c r="H1233" s="470"/>
      <c r="I1233" s="470"/>
      <c r="J1233" s="470"/>
      <c r="K1233" s="470"/>
      <c r="L1233" s="470"/>
      <c r="M1233" s="470"/>
      <c r="N1233" s="470"/>
      <c r="O1233" s="457"/>
      <c r="P1233" s="767">
        <f>MAX($P$5:P1232)+1</f>
        <v>197</v>
      </c>
      <c r="Q1233" s="80" t="s">
        <v>3243</v>
      </c>
    </row>
    <row r="1234" spans="2:17" ht="15.2" customHeight="1">
      <c r="B1234" s="766" t="s">
        <v>988</v>
      </c>
      <c r="C1234" s="766"/>
      <c r="D1234" s="84" t="s">
        <v>843</v>
      </c>
      <c r="E1234" s="88"/>
      <c r="F1234" s="86" t="s">
        <v>1531</v>
      </c>
      <c r="G1234" s="470"/>
      <c r="H1234" s="470">
        <f>TRUNC(E1234*G1234,0)</f>
        <v>0</v>
      </c>
      <c r="I1234" s="470"/>
      <c r="J1234" s="470">
        <f>TRUNC(I1234*E1234,0)</f>
        <v>0</v>
      </c>
      <c r="K1234" s="470">
        <f>사급자재!$M$109</f>
        <v>2100000</v>
      </c>
      <c r="L1234" s="470">
        <f>TRUNC(K1234*E1234,0)</f>
        <v>0</v>
      </c>
      <c r="M1234" s="470">
        <f t="shared" ref="M1234:N1238" si="354">G1234+I1234+K1234</f>
        <v>2100000</v>
      </c>
      <c r="N1234" s="470">
        <f t="shared" si="354"/>
        <v>0</v>
      </c>
      <c r="O1234" s="457"/>
      <c r="P1234" s="767"/>
    </row>
    <row r="1235" spans="2:17" ht="15.2" customHeight="1">
      <c r="B1235" s="766" t="s">
        <v>442</v>
      </c>
      <c r="C1235" s="766"/>
      <c r="D1235" s="84" t="s">
        <v>846</v>
      </c>
      <c r="E1235" s="87">
        <v>0.25</v>
      </c>
      <c r="F1235" s="86" t="s">
        <v>933</v>
      </c>
      <c r="G1235" s="470"/>
      <c r="H1235" s="470">
        <f>TRUNC(E1235*G1235,0)</f>
        <v>0</v>
      </c>
      <c r="I1235" s="470"/>
      <c r="J1235" s="470">
        <f>TRUNC(I1235*E1235,0)</f>
        <v>0</v>
      </c>
      <c r="K1235" s="470">
        <f>K1234</f>
        <v>2100000</v>
      </c>
      <c r="L1235" s="470">
        <f>TRUNC(K1235*E1235,0)</f>
        <v>525000</v>
      </c>
      <c r="M1235" s="470">
        <f t="shared" si="354"/>
        <v>2100000</v>
      </c>
      <c r="N1235" s="470">
        <f t="shared" si="354"/>
        <v>525000</v>
      </c>
      <c r="O1235" s="457"/>
      <c r="P1235" s="767"/>
    </row>
    <row r="1236" spans="2:17" ht="15.2" customHeight="1">
      <c r="B1236" s="766" t="s">
        <v>444</v>
      </c>
      <c r="C1236" s="766"/>
      <c r="D1236" s="84" t="s">
        <v>1088</v>
      </c>
      <c r="E1236" s="87">
        <v>1</v>
      </c>
      <c r="F1236" s="86" t="s">
        <v>445</v>
      </c>
      <c r="G1236" s="470"/>
      <c r="H1236" s="470">
        <f>TRUNC(E1236*G1236,0)</f>
        <v>0</v>
      </c>
      <c r="I1236" s="470"/>
      <c r="J1236" s="470">
        <f>TRUNC(I1236*E1236,0)</f>
        <v>0</v>
      </c>
      <c r="K1236" s="470">
        <f>중기사용료!$M$950</f>
        <v>58411</v>
      </c>
      <c r="L1236" s="470">
        <f>TRUNC(K1236*E1236,0)</f>
        <v>58411</v>
      </c>
      <c r="M1236" s="470">
        <f t="shared" si="354"/>
        <v>58411</v>
      </c>
      <c r="N1236" s="470">
        <f t="shared" si="354"/>
        <v>58411</v>
      </c>
      <c r="O1236" s="460">
        <f>중기사용료!$A$933</f>
        <v>50</v>
      </c>
      <c r="P1236" s="767"/>
    </row>
    <row r="1237" spans="2:17" ht="15.2" customHeight="1">
      <c r="B1237" s="766" t="s">
        <v>440</v>
      </c>
      <c r="C1237" s="766"/>
      <c r="D1237" s="84"/>
      <c r="E1237" s="87">
        <v>0.28999999999999998</v>
      </c>
      <c r="F1237" s="86" t="s">
        <v>1163</v>
      </c>
      <c r="G1237" s="470"/>
      <c r="H1237" s="470">
        <f>TRUNC(E1237*G1237,0)</f>
        <v>0</v>
      </c>
      <c r="I1237" s="470"/>
      <c r="J1237" s="470">
        <f>TRUNC(I1237*E1237,0)</f>
        <v>0</v>
      </c>
      <c r="K1237" s="470">
        <f>SUMIF('노임(2015)'!$B$4:$B$87,B1237,'노임(2015)'!$C$4:$C$87)+SUMIF('노임(2015)'!$E$4:$E$87,B1237,'노임(2015)'!$F$4:$F$87)</f>
        <v>161990</v>
      </c>
      <c r="L1237" s="470">
        <f>TRUNC(K1237*E1237,0)</f>
        <v>46977</v>
      </c>
      <c r="M1237" s="470">
        <f t="shared" si="354"/>
        <v>161990</v>
      </c>
      <c r="N1237" s="470">
        <f t="shared" si="354"/>
        <v>46977</v>
      </c>
      <c r="O1237" s="457"/>
      <c r="P1237" s="767"/>
    </row>
    <row r="1238" spans="2:17" ht="15.2" customHeight="1">
      <c r="B1238" s="766" t="s">
        <v>1165</v>
      </c>
      <c r="C1238" s="766"/>
      <c r="D1238" s="84"/>
      <c r="E1238" s="87">
        <v>0.17</v>
      </c>
      <c r="F1238" s="86" t="s">
        <v>1163</v>
      </c>
      <c r="G1238" s="470"/>
      <c r="H1238" s="470">
        <f>TRUNC(E1238*G1238,0)</f>
        <v>0</v>
      </c>
      <c r="I1238" s="470"/>
      <c r="J1238" s="470">
        <f>TRUNC(I1238*E1238,0)</f>
        <v>0</v>
      </c>
      <c r="K1238" s="470">
        <f>SUMIF('노임(2015)'!$B$4:$B$87,B1238,'노임(2015)'!$C$4:$C$87)+SUMIF('노임(2015)'!$E$4:$E$87,B1238,'노임(2015)'!$F$4:$F$87)</f>
        <v>111771</v>
      </c>
      <c r="L1238" s="470">
        <f>TRUNC(K1238*E1238,0)</f>
        <v>19001</v>
      </c>
      <c r="M1238" s="470">
        <f t="shared" si="354"/>
        <v>111771</v>
      </c>
      <c r="N1238" s="470">
        <f t="shared" si="354"/>
        <v>19001</v>
      </c>
      <c r="O1238" s="457"/>
      <c r="P1238" s="767"/>
    </row>
    <row r="1239" spans="2:17" ht="15.2" customHeight="1">
      <c r="B1239" s="766" t="s">
        <v>855</v>
      </c>
      <c r="C1239" s="766"/>
      <c r="D1239" s="84"/>
      <c r="E1239" s="87"/>
      <c r="F1239" s="86"/>
      <c r="G1239" s="470"/>
      <c r="H1239" s="470">
        <f>SUM(H1234:H1238)</f>
        <v>0</v>
      </c>
      <c r="I1239" s="470"/>
      <c r="J1239" s="470">
        <f>SUM(J1234:J1238)</f>
        <v>0</v>
      </c>
      <c r="K1239" s="470"/>
      <c r="L1239" s="470">
        <f>SUM(L1234:L1238)</f>
        <v>649389</v>
      </c>
      <c r="M1239" s="470"/>
      <c r="N1239" s="470">
        <f>SUM(N1234:N1238)</f>
        <v>649389</v>
      </c>
      <c r="O1239" s="457"/>
      <c r="P1239" s="767"/>
      <c r="Q1239" s="80" t="s">
        <v>3244</v>
      </c>
    </row>
    <row r="1240" spans="2:17" ht="15.2" customHeight="1">
      <c r="B1240" s="96">
        <f>P1240</f>
        <v>198</v>
      </c>
      <c r="C1240" s="770" t="s">
        <v>995</v>
      </c>
      <c r="D1240" s="770"/>
      <c r="E1240" s="770"/>
      <c r="F1240" s="771"/>
      <c r="G1240" s="470"/>
      <c r="H1240" s="470"/>
      <c r="I1240" s="470"/>
      <c r="J1240" s="470"/>
      <c r="K1240" s="470"/>
      <c r="L1240" s="470"/>
      <c r="M1240" s="470"/>
      <c r="N1240" s="470"/>
      <c r="O1240" s="457"/>
      <c r="P1240" s="767">
        <f>MAX($P$5:P1239)+1</f>
        <v>198</v>
      </c>
      <c r="Q1240" s="80" t="s">
        <v>3243</v>
      </c>
    </row>
    <row r="1241" spans="2:17" ht="15.2" customHeight="1">
      <c r="B1241" s="766" t="s">
        <v>988</v>
      </c>
      <c r="C1241" s="766"/>
      <c r="D1241" s="84" t="s">
        <v>845</v>
      </c>
      <c r="E1241" s="88"/>
      <c r="F1241" s="86" t="s">
        <v>1531</v>
      </c>
      <c r="G1241" s="470"/>
      <c r="H1241" s="470">
        <f>TRUNC(E1241*G1241,0)</f>
        <v>0</v>
      </c>
      <c r="I1241" s="470"/>
      <c r="J1241" s="470">
        <f>TRUNC(I1241*E1241,0)</f>
        <v>0</v>
      </c>
      <c r="K1241" s="470">
        <f>사급자재!$M$108</f>
        <v>2600000</v>
      </c>
      <c r="L1241" s="470">
        <f>TRUNC(K1241*E1241,0)</f>
        <v>0</v>
      </c>
      <c r="M1241" s="470">
        <f t="shared" ref="M1241:N1245" si="355">G1241+I1241+K1241</f>
        <v>2600000</v>
      </c>
      <c r="N1241" s="470">
        <f t="shared" si="355"/>
        <v>0</v>
      </c>
      <c r="O1241" s="457"/>
      <c r="P1241" s="767"/>
    </row>
    <row r="1242" spans="2:17" ht="15.2" customHeight="1">
      <c r="B1242" s="766" t="s">
        <v>442</v>
      </c>
      <c r="C1242" s="766"/>
      <c r="D1242" s="84" t="s">
        <v>1197</v>
      </c>
      <c r="E1242" s="87">
        <v>0.25</v>
      </c>
      <c r="F1242" s="86" t="s">
        <v>933</v>
      </c>
      <c r="G1242" s="470"/>
      <c r="H1242" s="470">
        <f>TRUNC(E1242*G1242,0)</f>
        <v>0</v>
      </c>
      <c r="I1242" s="470"/>
      <c r="J1242" s="470">
        <f>TRUNC(I1242*E1242,0)</f>
        <v>0</v>
      </c>
      <c r="K1242" s="470">
        <f>K1241</f>
        <v>2600000</v>
      </c>
      <c r="L1242" s="470">
        <f>TRUNC(K1242*E1242,0)</f>
        <v>650000</v>
      </c>
      <c r="M1242" s="470">
        <f t="shared" si="355"/>
        <v>2600000</v>
      </c>
      <c r="N1242" s="470">
        <f t="shared" si="355"/>
        <v>650000</v>
      </c>
      <c r="O1242" s="457"/>
      <c r="P1242" s="767"/>
    </row>
    <row r="1243" spans="2:17" ht="15.2" customHeight="1">
      <c r="B1243" s="766" t="s">
        <v>444</v>
      </c>
      <c r="C1243" s="766"/>
      <c r="D1243" s="84" t="s">
        <v>1088</v>
      </c>
      <c r="E1243" s="87">
        <v>1</v>
      </c>
      <c r="F1243" s="86" t="s">
        <v>445</v>
      </c>
      <c r="G1243" s="470"/>
      <c r="H1243" s="470">
        <f>TRUNC(E1243*G1243,0)</f>
        <v>0</v>
      </c>
      <c r="I1243" s="470"/>
      <c r="J1243" s="470">
        <f>TRUNC(I1243*E1243,0)</f>
        <v>0</v>
      </c>
      <c r="K1243" s="470">
        <f>중기사용료!$M$950</f>
        <v>58411</v>
      </c>
      <c r="L1243" s="470">
        <f>TRUNC(K1243*E1243,0)</f>
        <v>58411</v>
      </c>
      <c r="M1243" s="470">
        <f t="shared" si="355"/>
        <v>58411</v>
      </c>
      <c r="N1243" s="470">
        <f t="shared" si="355"/>
        <v>58411</v>
      </c>
      <c r="O1243" s="460">
        <f>중기사용료!$A$933</f>
        <v>50</v>
      </c>
      <c r="P1243" s="767"/>
    </row>
    <row r="1244" spans="2:17" ht="15.2" customHeight="1">
      <c r="B1244" s="766" t="s">
        <v>440</v>
      </c>
      <c r="C1244" s="766"/>
      <c r="D1244" s="84"/>
      <c r="E1244" s="87">
        <v>0.39</v>
      </c>
      <c r="F1244" s="86" t="s">
        <v>1163</v>
      </c>
      <c r="G1244" s="470"/>
      <c r="H1244" s="470">
        <f>TRUNC(E1244*G1244,0)</f>
        <v>0</v>
      </c>
      <c r="I1244" s="470"/>
      <c r="J1244" s="470">
        <f>TRUNC(I1244*E1244,0)</f>
        <v>0</v>
      </c>
      <c r="K1244" s="470">
        <f>SUMIF('노임(2015)'!$B$4:$B$87,B1244,'노임(2015)'!$C$4:$C$87)+SUMIF('노임(2015)'!$E$4:$E$87,B1244,'노임(2015)'!$F$4:$F$87)</f>
        <v>161990</v>
      </c>
      <c r="L1244" s="470">
        <f>TRUNC(K1244*E1244,0)</f>
        <v>63176</v>
      </c>
      <c r="M1244" s="470">
        <f t="shared" si="355"/>
        <v>161990</v>
      </c>
      <c r="N1244" s="470">
        <f t="shared" si="355"/>
        <v>63176</v>
      </c>
      <c r="O1244" s="457"/>
      <c r="P1244" s="767"/>
    </row>
    <row r="1245" spans="2:17" ht="15.2" customHeight="1">
      <c r="B1245" s="766" t="s">
        <v>1165</v>
      </c>
      <c r="C1245" s="766"/>
      <c r="D1245" s="84"/>
      <c r="E1245" s="87">
        <v>0.2</v>
      </c>
      <c r="F1245" s="86" t="s">
        <v>1163</v>
      </c>
      <c r="G1245" s="470"/>
      <c r="H1245" s="470">
        <f>TRUNC(E1245*G1245,0)</f>
        <v>0</v>
      </c>
      <c r="I1245" s="470"/>
      <c r="J1245" s="470">
        <f>TRUNC(I1245*E1245,0)</f>
        <v>0</v>
      </c>
      <c r="K1245" s="470">
        <f>SUMIF('노임(2015)'!$B$4:$B$87,B1245,'노임(2015)'!$C$4:$C$87)+SUMIF('노임(2015)'!$E$4:$E$87,B1245,'노임(2015)'!$F$4:$F$87)</f>
        <v>111771</v>
      </c>
      <c r="L1245" s="470">
        <f>TRUNC(K1245*E1245,0)</f>
        <v>22354</v>
      </c>
      <c r="M1245" s="470">
        <f t="shared" si="355"/>
        <v>111771</v>
      </c>
      <c r="N1245" s="470">
        <f t="shared" si="355"/>
        <v>22354</v>
      </c>
      <c r="O1245" s="457"/>
      <c r="P1245" s="767"/>
    </row>
    <row r="1246" spans="2:17" ht="15.2" customHeight="1">
      <c r="B1246" s="766" t="s">
        <v>855</v>
      </c>
      <c r="C1246" s="766"/>
      <c r="D1246" s="84"/>
      <c r="E1246" s="87"/>
      <c r="F1246" s="86"/>
      <c r="G1246" s="470"/>
      <c r="H1246" s="470">
        <f>SUM(H1241:H1245)</f>
        <v>0</v>
      </c>
      <c r="I1246" s="470"/>
      <c r="J1246" s="470">
        <f>SUM(J1241:J1245)</f>
        <v>0</v>
      </c>
      <c r="K1246" s="470"/>
      <c r="L1246" s="470">
        <f>SUM(L1241:L1245)</f>
        <v>793941</v>
      </c>
      <c r="M1246" s="470"/>
      <c r="N1246" s="470">
        <f>SUM(N1241:N1245)</f>
        <v>793941</v>
      </c>
      <c r="O1246" s="457"/>
      <c r="P1246" s="767"/>
      <c r="Q1246" s="80" t="s">
        <v>3244</v>
      </c>
    </row>
    <row r="1247" spans="2:17" ht="15.2" customHeight="1">
      <c r="B1247" s="96">
        <f>P1247</f>
        <v>199</v>
      </c>
      <c r="C1247" s="770" t="s">
        <v>996</v>
      </c>
      <c r="D1247" s="770"/>
      <c r="E1247" s="770"/>
      <c r="F1247" s="771"/>
      <c r="G1247" s="470"/>
      <c r="H1247" s="470"/>
      <c r="I1247" s="470"/>
      <c r="J1247" s="470"/>
      <c r="K1247" s="470"/>
      <c r="L1247" s="470"/>
      <c r="M1247" s="470"/>
      <c r="N1247" s="470"/>
      <c r="O1247" s="457"/>
      <c r="P1247" s="767">
        <f>MAX($P$5:P1246)+1</f>
        <v>199</v>
      </c>
      <c r="Q1247" s="80" t="s">
        <v>3243</v>
      </c>
    </row>
    <row r="1248" spans="2:17" ht="15.2" customHeight="1">
      <c r="B1248" s="766" t="s">
        <v>997</v>
      </c>
      <c r="C1248" s="766"/>
      <c r="D1248" s="84" t="s">
        <v>446</v>
      </c>
      <c r="E1248" s="87">
        <v>1</v>
      </c>
      <c r="F1248" s="86" t="s">
        <v>1161</v>
      </c>
      <c r="G1248" s="470"/>
      <c r="H1248" s="470">
        <f>TRUNC(E1248*G1248,0)</f>
        <v>0</v>
      </c>
      <c r="I1248" s="470"/>
      <c r="J1248" s="470">
        <f>TRUNC(I1248*E1248,0)</f>
        <v>0</v>
      </c>
      <c r="K1248" s="470">
        <f>사급자재!$M$197</f>
        <v>16000</v>
      </c>
      <c r="L1248" s="470">
        <f>TRUNC(K1248*E1248,0)</f>
        <v>16000</v>
      </c>
      <c r="M1248" s="470">
        <f>G1248+I1248+K1248</f>
        <v>16000</v>
      </c>
      <c r="N1248" s="470">
        <f>H1248+J1248+L1248</f>
        <v>16000</v>
      </c>
      <c r="O1248" s="457"/>
      <c r="P1248" s="767"/>
    </row>
    <row r="1249" spans="2:17" ht="15.2" customHeight="1">
      <c r="B1249" s="766" t="s">
        <v>855</v>
      </c>
      <c r="C1249" s="766"/>
      <c r="D1249" s="84"/>
      <c r="E1249" s="87"/>
      <c r="F1249" s="86"/>
      <c r="G1249" s="470"/>
      <c r="H1249" s="470">
        <f>SUM(H1248:H1248)</f>
        <v>0</v>
      </c>
      <c r="I1249" s="470"/>
      <c r="J1249" s="470">
        <f>SUM(J1248:J1248)</f>
        <v>0</v>
      </c>
      <c r="K1249" s="470"/>
      <c r="L1249" s="470">
        <f>SUM(L1248:L1248)</f>
        <v>16000</v>
      </c>
      <c r="M1249" s="470"/>
      <c r="N1249" s="470">
        <f>SUM(N1248:N1248)</f>
        <v>16000</v>
      </c>
      <c r="O1249" s="457"/>
      <c r="P1249" s="767"/>
      <c r="Q1249" s="80" t="s">
        <v>3244</v>
      </c>
    </row>
    <row r="1250" spans="2:17" ht="15.2" customHeight="1">
      <c r="B1250" s="96">
        <f>P1250</f>
        <v>200</v>
      </c>
      <c r="C1250" s="770" t="s">
        <v>998</v>
      </c>
      <c r="D1250" s="770"/>
      <c r="E1250" s="770"/>
      <c r="F1250" s="771"/>
      <c r="G1250" s="470"/>
      <c r="H1250" s="470"/>
      <c r="I1250" s="470"/>
      <c r="J1250" s="470"/>
      <c r="K1250" s="470"/>
      <c r="L1250" s="470"/>
      <c r="M1250" s="470"/>
      <c r="N1250" s="470"/>
      <c r="O1250" s="457"/>
      <c r="P1250" s="767">
        <f>MAX($P$5:P1249)+1</f>
        <v>200</v>
      </c>
      <c r="Q1250" s="80" t="s">
        <v>3243</v>
      </c>
    </row>
    <row r="1251" spans="2:17" ht="15.2" customHeight="1">
      <c r="B1251" s="766" t="s">
        <v>997</v>
      </c>
      <c r="C1251" s="766"/>
      <c r="D1251" s="84" t="s">
        <v>446</v>
      </c>
      <c r="E1251" s="87"/>
      <c r="F1251" s="86" t="s">
        <v>1161</v>
      </c>
      <c r="G1251" s="470"/>
      <c r="H1251" s="470">
        <f>TRUNC(E1251*G1251,0)</f>
        <v>0</v>
      </c>
      <c r="I1251" s="470"/>
      <c r="J1251" s="470">
        <f>TRUNC(I1251*E1251,0)</f>
        <v>0</v>
      </c>
      <c r="K1251" s="470">
        <f>사급자재!$M$197</f>
        <v>16000</v>
      </c>
      <c r="L1251" s="470">
        <f>TRUNC(K1251*E1251,0)</f>
        <v>0</v>
      </c>
      <c r="M1251" s="470">
        <f t="shared" ref="M1251:N1254" si="356">G1251+I1251+K1251</f>
        <v>16000</v>
      </c>
      <c r="N1251" s="470">
        <f t="shared" si="356"/>
        <v>0</v>
      </c>
      <c r="O1251" s="457"/>
      <c r="P1251" s="767"/>
    </row>
    <row r="1252" spans="2:17" ht="15.2" customHeight="1">
      <c r="B1252" s="766" t="s">
        <v>999</v>
      </c>
      <c r="C1252" s="766"/>
      <c r="D1252" s="84" t="s">
        <v>1000</v>
      </c>
      <c r="E1252" s="87">
        <v>0.06</v>
      </c>
      <c r="F1252" s="86" t="s">
        <v>933</v>
      </c>
      <c r="G1252" s="470"/>
      <c r="H1252" s="470">
        <f>TRUNC(E1252*G1252,0)</f>
        <v>0</v>
      </c>
      <c r="I1252" s="470"/>
      <c r="J1252" s="470">
        <f>TRUNC(I1252*E1252,0)</f>
        <v>0</v>
      </c>
      <c r="K1252" s="470">
        <f>K1251</f>
        <v>16000</v>
      </c>
      <c r="L1252" s="470">
        <f>TRUNC(K1252*E1252,0)</f>
        <v>960</v>
      </c>
      <c r="M1252" s="470">
        <f t="shared" si="356"/>
        <v>16000</v>
      </c>
      <c r="N1252" s="470">
        <f t="shared" si="356"/>
        <v>960</v>
      </c>
      <c r="O1252" s="457"/>
      <c r="P1252" s="767"/>
    </row>
    <row r="1253" spans="2:17" ht="15.2" customHeight="1">
      <c r="B1253" s="766" t="s">
        <v>1162</v>
      </c>
      <c r="C1253" s="766"/>
      <c r="D1253" s="84" t="s">
        <v>1001</v>
      </c>
      <c r="E1253" s="87">
        <v>0.04</v>
      </c>
      <c r="F1253" s="86" t="s">
        <v>1163</v>
      </c>
      <c r="G1253" s="470"/>
      <c r="H1253" s="470">
        <f>TRUNC(E1253*G1253,0)</f>
        <v>0</v>
      </c>
      <c r="I1253" s="470">
        <f>SUMIF('노임(2015)'!$B$4:$B$87,B1253,'노임(2015)'!$C$4:$C$87)+SUMIF('노임(2015)'!$E$4:$E$87,B1253,'노임(2015)'!$F$4:$F$87)</f>
        <v>89566</v>
      </c>
      <c r="J1253" s="470">
        <f>TRUNC(I1253*E1253,0)</f>
        <v>3582</v>
      </c>
      <c r="K1253" s="470"/>
      <c r="L1253" s="470">
        <f>TRUNC(K1253*E1253,0)</f>
        <v>0</v>
      </c>
      <c r="M1253" s="470">
        <f t="shared" si="356"/>
        <v>89566</v>
      </c>
      <c r="N1253" s="470">
        <f t="shared" si="356"/>
        <v>3582</v>
      </c>
      <c r="O1253" s="457"/>
      <c r="P1253" s="767"/>
    </row>
    <row r="1254" spans="2:17" ht="15.2" customHeight="1">
      <c r="B1254" s="766" t="s">
        <v>1085</v>
      </c>
      <c r="C1254" s="766"/>
      <c r="D1254" s="84"/>
      <c r="E1254" s="87"/>
      <c r="F1254" s="86"/>
      <c r="G1254" s="470"/>
      <c r="H1254" s="470">
        <f>SUM(H1251:H1253)</f>
        <v>0</v>
      </c>
      <c r="I1254" s="470"/>
      <c r="J1254" s="470">
        <f>SUM(J1251:J1253)</f>
        <v>3582</v>
      </c>
      <c r="K1254" s="470"/>
      <c r="L1254" s="470">
        <f>SUM(L1251:L1253)</f>
        <v>960</v>
      </c>
      <c r="M1254" s="470">
        <f t="shared" si="356"/>
        <v>0</v>
      </c>
      <c r="N1254" s="470">
        <f t="shared" si="356"/>
        <v>4542</v>
      </c>
      <c r="O1254" s="457"/>
      <c r="P1254" s="767"/>
    </row>
    <row r="1255" spans="2:17" ht="15.2" customHeight="1">
      <c r="B1255" s="766" t="s">
        <v>457</v>
      </c>
      <c r="C1255" s="766"/>
      <c r="D1255" s="84"/>
      <c r="E1255" s="87">
        <v>1</v>
      </c>
      <c r="F1255" s="86" t="s">
        <v>933</v>
      </c>
      <c r="G1255" s="470"/>
      <c r="H1255" s="470">
        <f>TRUNC(E1255*G1255,0)</f>
        <v>0</v>
      </c>
      <c r="I1255" s="470"/>
      <c r="J1255" s="470">
        <f>TRUNC(I1255*E1255,0)</f>
        <v>0</v>
      </c>
      <c r="K1255" s="470">
        <f>N1254</f>
        <v>4542</v>
      </c>
      <c r="L1255" s="470">
        <f>TRUNC(K1255*E1255,0)</f>
        <v>4542</v>
      </c>
      <c r="M1255" s="470">
        <f>G1255+I1255+K1255</f>
        <v>4542</v>
      </c>
      <c r="N1255" s="470">
        <f>H1255+J1255+L1255</f>
        <v>4542</v>
      </c>
      <c r="O1255" s="457"/>
      <c r="P1255" s="767"/>
    </row>
    <row r="1256" spans="2:17" ht="15.2" customHeight="1">
      <c r="B1256" s="766" t="s">
        <v>855</v>
      </c>
      <c r="C1256" s="766"/>
      <c r="D1256" s="84"/>
      <c r="E1256" s="87"/>
      <c r="F1256" s="86"/>
      <c r="G1256" s="470"/>
      <c r="H1256" s="470">
        <f>SUM(H1255)</f>
        <v>0</v>
      </c>
      <c r="I1256" s="470"/>
      <c r="J1256" s="470">
        <f>SUM(J1255)</f>
        <v>0</v>
      </c>
      <c r="K1256" s="470"/>
      <c r="L1256" s="470">
        <f>SUM(L1255)</f>
        <v>4542</v>
      </c>
      <c r="M1256" s="470"/>
      <c r="N1256" s="470">
        <f>SUM(N1255)</f>
        <v>4542</v>
      </c>
      <c r="O1256" s="457"/>
      <c r="P1256" s="767"/>
      <c r="Q1256" s="80" t="s">
        <v>3244</v>
      </c>
    </row>
    <row r="1257" spans="2:17" ht="15.2" customHeight="1">
      <c r="B1257" s="96">
        <f>P1257</f>
        <v>201</v>
      </c>
      <c r="C1257" s="770" t="s">
        <v>1002</v>
      </c>
      <c r="D1257" s="770"/>
      <c r="E1257" s="770"/>
      <c r="F1257" s="771"/>
      <c r="G1257" s="470"/>
      <c r="H1257" s="470"/>
      <c r="I1257" s="470"/>
      <c r="J1257" s="470"/>
      <c r="K1257" s="470"/>
      <c r="L1257" s="470"/>
      <c r="M1257" s="470"/>
      <c r="N1257" s="470"/>
      <c r="O1257" s="457"/>
      <c r="P1257" s="767">
        <f>MAX($P$5:P1256)+1</f>
        <v>201</v>
      </c>
      <c r="Q1257" s="80" t="s">
        <v>3243</v>
      </c>
    </row>
    <row r="1258" spans="2:17" ht="15.2" customHeight="1">
      <c r="B1258" s="766" t="s">
        <v>997</v>
      </c>
      <c r="C1258" s="766"/>
      <c r="D1258" s="84" t="s">
        <v>446</v>
      </c>
      <c r="E1258" s="87"/>
      <c r="F1258" s="86" t="s">
        <v>1161</v>
      </c>
      <c r="G1258" s="470"/>
      <c r="H1258" s="470">
        <f>TRUNC(E1258*G1258,0)</f>
        <v>0</v>
      </c>
      <c r="I1258" s="470"/>
      <c r="J1258" s="470">
        <f>TRUNC(I1258*E1258,0)</f>
        <v>0</v>
      </c>
      <c r="K1258" s="470">
        <f>사급자재!$M$197</f>
        <v>16000</v>
      </c>
      <c r="L1258" s="470">
        <f>TRUNC(K1258*E1258,0)</f>
        <v>0</v>
      </c>
      <c r="M1258" s="470">
        <f t="shared" ref="M1258:N1262" si="357">G1258+I1258+K1258</f>
        <v>16000</v>
      </c>
      <c r="N1258" s="470">
        <f t="shared" si="357"/>
        <v>0</v>
      </c>
      <c r="O1258" s="457"/>
      <c r="P1258" s="767"/>
    </row>
    <row r="1259" spans="2:17" ht="15.2" customHeight="1">
      <c r="B1259" s="766" t="s">
        <v>1003</v>
      </c>
      <c r="C1259" s="766"/>
      <c r="D1259" s="84" t="s">
        <v>1004</v>
      </c>
      <c r="E1259" s="87">
        <v>0.13</v>
      </c>
      <c r="F1259" s="86" t="s">
        <v>933</v>
      </c>
      <c r="G1259" s="470"/>
      <c r="H1259" s="470">
        <f>TRUNC(E1259*G1259,0)</f>
        <v>0</v>
      </c>
      <c r="I1259" s="470"/>
      <c r="J1259" s="470">
        <f>TRUNC(I1259*E1259,0)</f>
        <v>0</v>
      </c>
      <c r="K1259" s="470">
        <f>K1258</f>
        <v>16000</v>
      </c>
      <c r="L1259" s="470">
        <f>TRUNC(K1259*E1259,0)</f>
        <v>2080</v>
      </c>
      <c r="M1259" s="470">
        <f t="shared" si="357"/>
        <v>16000</v>
      </c>
      <c r="N1259" s="470">
        <f t="shared" si="357"/>
        <v>2080</v>
      </c>
      <c r="O1259" s="457"/>
      <c r="P1259" s="767"/>
    </row>
    <row r="1260" spans="2:17" ht="15.2" customHeight="1">
      <c r="B1260" s="766" t="s">
        <v>1162</v>
      </c>
      <c r="C1260" s="766"/>
      <c r="D1260" s="84" t="s">
        <v>1001</v>
      </c>
      <c r="E1260" s="87">
        <v>0.04</v>
      </c>
      <c r="F1260" s="86" t="s">
        <v>1163</v>
      </c>
      <c r="G1260" s="470"/>
      <c r="H1260" s="470">
        <f>TRUNC(E1260*G1260,0)</f>
        <v>0</v>
      </c>
      <c r="I1260" s="470">
        <f>SUMIF('노임(2015)'!$B$4:$B$87,B1260,'노임(2015)'!$C$4:$C$87)+SUMIF('노임(2015)'!$E$4:$E$87,B1260,'노임(2015)'!$F$4:$F$87)</f>
        <v>89566</v>
      </c>
      <c r="J1260" s="470">
        <f>TRUNC(I1260*E1260,0)</f>
        <v>3582</v>
      </c>
      <c r="K1260" s="470"/>
      <c r="L1260" s="470">
        <f>TRUNC(K1260*E1260,0)</f>
        <v>0</v>
      </c>
      <c r="M1260" s="470">
        <f t="shared" si="357"/>
        <v>89566</v>
      </c>
      <c r="N1260" s="470">
        <f t="shared" si="357"/>
        <v>3582</v>
      </c>
      <c r="O1260" s="457"/>
      <c r="P1260" s="767"/>
    </row>
    <row r="1261" spans="2:17" ht="15.2" customHeight="1">
      <c r="B1261" s="766" t="s">
        <v>1085</v>
      </c>
      <c r="C1261" s="766"/>
      <c r="D1261" s="84"/>
      <c r="E1261" s="87"/>
      <c r="F1261" s="86"/>
      <c r="G1261" s="470"/>
      <c r="H1261" s="470">
        <f>SUM(H1258:H1260)</f>
        <v>0</v>
      </c>
      <c r="I1261" s="470"/>
      <c r="J1261" s="470">
        <f>SUM(J1258:J1260)</f>
        <v>3582</v>
      </c>
      <c r="K1261" s="470"/>
      <c r="L1261" s="470">
        <f>SUM(L1258:L1260)</f>
        <v>2080</v>
      </c>
      <c r="M1261" s="470">
        <f t="shared" si="357"/>
        <v>0</v>
      </c>
      <c r="N1261" s="470">
        <f t="shared" si="357"/>
        <v>5662</v>
      </c>
      <c r="O1261" s="457"/>
      <c r="P1261" s="767"/>
    </row>
    <row r="1262" spans="2:17" ht="15.2" customHeight="1">
      <c r="B1262" s="766" t="s">
        <v>457</v>
      </c>
      <c r="C1262" s="766"/>
      <c r="D1262" s="84"/>
      <c r="E1262" s="87">
        <v>1</v>
      </c>
      <c r="F1262" s="86" t="s">
        <v>933</v>
      </c>
      <c r="G1262" s="470"/>
      <c r="H1262" s="470">
        <f>TRUNC(E1262*G1262,0)</f>
        <v>0</v>
      </c>
      <c r="I1262" s="470"/>
      <c r="J1262" s="470">
        <f>TRUNC(I1262*E1262,0)</f>
        <v>0</v>
      </c>
      <c r="K1262" s="470">
        <f>N1261</f>
        <v>5662</v>
      </c>
      <c r="L1262" s="470">
        <f>TRUNC(K1262*E1262,0)</f>
        <v>5662</v>
      </c>
      <c r="M1262" s="470">
        <f t="shared" si="357"/>
        <v>5662</v>
      </c>
      <c r="N1262" s="470">
        <f t="shared" si="357"/>
        <v>5662</v>
      </c>
      <c r="O1262" s="457"/>
      <c r="P1262" s="767"/>
    </row>
    <row r="1263" spans="2:17" ht="15.2" customHeight="1">
      <c r="B1263" s="766" t="s">
        <v>855</v>
      </c>
      <c r="C1263" s="766"/>
      <c r="D1263" s="84"/>
      <c r="E1263" s="87"/>
      <c r="F1263" s="86"/>
      <c r="G1263" s="470"/>
      <c r="H1263" s="470">
        <f>SUM(H1262)</f>
        <v>0</v>
      </c>
      <c r="I1263" s="470"/>
      <c r="J1263" s="470">
        <f>SUM(J1262)</f>
        <v>0</v>
      </c>
      <c r="K1263" s="470"/>
      <c r="L1263" s="470">
        <f>SUM(L1262)</f>
        <v>5662</v>
      </c>
      <c r="M1263" s="470"/>
      <c r="N1263" s="470">
        <f>SUM(N1262)</f>
        <v>5662</v>
      </c>
      <c r="O1263" s="457"/>
      <c r="P1263" s="767"/>
      <c r="Q1263" s="80" t="s">
        <v>3244</v>
      </c>
    </row>
    <row r="1264" spans="2:17" ht="15.2" customHeight="1">
      <c r="B1264" s="96">
        <f>P1264</f>
        <v>202</v>
      </c>
      <c r="C1264" s="770" t="s">
        <v>1005</v>
      </c>
      <c r="D1264" s="770"/>
      <c r="E1264" s="770"/>
      <c r="F1264" s="771"/>
      <c r="G1264" s="470"/>
      <c r="H1264" s="470"/>
      <c r="I1264" s="470"/>
      <c r="J1264" s="470"/>
      <c r="K1264" s="470"/>
      <c r="L1264" s="470"/>
      <c r="M1264" s="470"/>
      <c r="N1264" s="470"/>
      <c r="O1264" s="457"/>
      <c r="P1264" s="767">
        <f>MAX($P$5:P1263)+1</f>
        <v>202</v>
      </c>
      <c r="Q1264" s="80" t="s">
        <v>3243</v>
      </c>
    </row>
    <row r="1265" spans="2:17" ht="15.2" customHeight="1">
      <c r="B1265" s="766" t="s">
        <v>997</v>
      </c>
      <c r="C1265" s="766"/>
      <c r="D1265" s="84" t="s">
        <v>446</v>
      </c>
      <c r="E1265" s="87"/>
      <c r="F1265" s="86" t="s">
        <v>1161</v>
      </c>
      <c r="G1265" s="470"/>
      <c r="H1265" s="470">
        <f>TRUNC(E1265*G1265,0)</f>
        <v>0</v>
      </c>
      <c r="I1265" s="470"/>
      <c r="J1265" s="470">
        <f>TRUNC(I1265*E1265,0)</f>
        <v>0</v>
      </c>
      <c r="K1265" s="470">
        <f>사급자재!$M$197</f>
        <v>16000</v>
      </c>
      <c r="L1265" s="470">
        <f>TRUNC(K1265*E1265,0)</f>
        <v>0</v>
      </c>
      <c r="M1265" s="470">
        <f t="shared" ref="M1265:N1269" si="358">G1265+I1265+K1265</f>
        <v>16000</v>
      </c>
      <c r="N1265" s="470">
        <f t="shared" si="358"/>
        <v>0</v>
      </c>
      <c r="O1265" s="457"/>
      <c r="P1265" s="767"/>
    </row>
    <row r="1266" spans="2:17" ht="15.2" customHeight="1">
      <c r="B1266" s="766" t="s">
        <v>1006</v>
      </c>
      <c r="C1266" s="766"/>
      <c r="D1266" s="84" t="s">
        <v>1007</v>
      </c>
      <c r="E1266" s="87">
        <v>0.25</v>
      </c>
      <c r="F1266" s="86" t="s">
        <v>933</v>
      </c>
      <c r="G1266" s="470"/>
      <c r="H1266" s="470">
        <f>TRUNC(E1266*G1266,0)</f>
        <v>0</v>
      </c>
      <c r="I1266" s="470"/>
      <c r="J1266" s="470">
        <f>TRUNC(I1266*E1266,0)</f>
        <v>0</v>
      </c>
      <c r="K1266" s="470">
        <f>K1265</f>
        <v>16000</v>
      </c>
      <c r="L1266" s="470">
        <f>TRUNC(K1266*E1266,0)</f>
        <v>4000</v>
      </c>
      <c r="M1266" s="470">
        <f t="shared" si="358"/>
        <v>16000</v>
      </c>
      <c r="N1266" s="470">
        <f t="shared" si="358"/>
        <v>4000</v>
      </c>
      <c r="O1266" s="457"/>
      <c r="P1266" s="767"/>
    </row>
    <row r="1267" spans="2:17" ht="15.2" customHeight="1">
      <c r="B1267" s="766" t="s">
        <v>1162</v>
      </c>
      <c r="C1267" s="766"/>
      <c r="D1267" s="84" t="s">
        <v>1001</v>
      </c>
      <c r="E1267" s="87">
        <v>0.04</v>
      </c>
      <c r="F1267" s="86" t="s">
        <v>1163</v>
      </c>
      <c r="G1267" s="470"/>
      <c r="H1267" s="470">
        <f>TRUNC(E1267*G1267,0)</f>
        <v>0</v>
      </c>
      <c r="I1267" s="470">
        <f>SUMIF('노임(2015)'!$B$4:$B$87,B1267,'노임(2015)'!$C$4:$C$87)+SUMIF('노임(2015)'!$E$4:$E$87,B1267,'노임(2015)'!$F$4:$F$87)</f>
        <v>89566</v>
      </c>
      <c r="J1267" s="470">
        <f>TRUNC(I1267*E1267,0)</f>
        <v>3582</v>
      </c>
      <c r="K1267" s="470"/>
      <c r="L1267" s="470">
        <f>TRUNC(K1267*E1267,0)</f>
        <v>0</v>
      </c>
      <c r="M1267" s="470">
        <f t="shared" si="358"/>
        <v>89566</v>
      </c>
      <c r="N1267" s="470">
        <f t="shared" si="358"/>
        <v>3582</v>
      </c>
      <c r="O1267" s="457"/>
      <c r="P1267" s="767"/>
    </row>
    <row r="1268" spans="2:17" ht="15.2" customHeight="1">
      <c r="B1268" s="766" t="s">
        <v>1085</v>
      </c>
      <c r="C1268" s="766"/>
      <c r="D1268" s="84"/>
      <c r="E1268" s="87"/>
      <c r="F1268" s="86"/>
      <c r="G1268" s="470"/>
      <c r="H1268" s="470">
        <f>SUM(H1265:H1267)</f>
        <v>0</v>
      </c>
      <c r="I1268" s="470"/>
      <c r="J1268" s="470">
        <f>SUM(J1265:J1267)</f>
        <v>3582</v>
      </c>
      <c r="K1268" s="470"/>
      <c r="L1268" s="470">
        <f>SUM(L1265:L1267)</f>
        <v>4000</v>
      </c>
      <c r="M1268" s="470">
        <f t="shared" si="358"/>
        <v>0</v>
      </c>
      <c r="N1268" s="470">
        <f t="shared" si="358"/>
        <v>7582</v>
      </c>
      <c r="O1268" s="457"/>
      <c r="P1268" s="767"/>
    </row>
    <row r="1269" spans="2:17" ht="15.2" customHeight="1">
      <c r="B1269" s="766" t="s">
        <v>457</v>
      </c>
      <c r="C1269" s="766"/>
      <c r="D1269" s="84"/>
      <c r="E1269" s="87">
        <v>1</v>
      </c>
      <c r="F1269" s="86" t="s">
        <v>933</v>
      </c>
      <c r="G1269" s="470"/>
      <c r="H1269" s="470">
        <f>TRUNC(E1269*G1269,0)</f>
        <v>0</v>
      </c>
      <c r="I1269" s="470"/>
      <c r="J1269" s="470">
        <f>TRUNC(I1269*E1269,0)</f>
        <v>0</v>
      </c>
      <c r="K1269" s="470">
        <f>N1268</f>
        <v>7582</v>
      </c>
      <c r="L1269" s="470">
        <f>TRUNC(K1269*E1269,0)</f>
        <v>7582</v>
      </c>
      <c r="M1269" s="470">
        <f t="shared" si="358"/>
        <v>7582</v>
      </c>
      <c r="N1269" s="470">
        <f t="shared" si="358"/>
        <v>7582</v>
      </c>
      <c r="O1269" s="457"/>
      <c r="P1269" s="767"/>
    </row>
    <row r="1270" spans="2:17" ht="15.2" customHeight="1">
      <c r="B1270" s="766" t="s">
        <v>855</v>
      </c>
      <c r="C1270" s="766"/>
      <c r="D1270" s="84"/>
      <c r="E1270" s="87"/>
      <c r="F1270" s="86"/>
      <c r="G1270" s="470"/>
      <c r="H1270" s="470">
        <f>SUM(H1269)</f>
        <v>0</v>
      </c>
      <c r="I1270" s="470"/>
      <c r="J1270" s="470">
        <f>SUM(J1269)</f>
        <v>0</v>
      </c>
      <c r="K1270" s="470"/>
      <c r="L1270" s="470">
        <f>SUM(L1269)</f>
        <v>7582</v>
      </c>
      <c r="M1270" s="470"/>
      <c r="N1270" s="470">
        <f>SUM(N1269)</f>
        <v>7582</v>
      </c>
      <c r="O1270" s="457"/>
      <c r="P1270" s="767"/>
      <c r="Q1270" s="80" t="s">
        <v>3244</v>
      </c>
    </row>
    <row r="1271" spans="2:17" ht="15.2" customHeight="1">
      <c r="B1271" s="96">
        <f>P1271</f>
        <v>203</v>
      </c>
      <c r="C1271" s="770" t="s">
        <v>1008</v>
      </c>
      <c r="D1271" s="770"/>
      <c r="E1271" s="770"/>
      <c r="F1271" s="771"/>
      <c r="G1271" s="470"/>
      <c r="H1271" s="470"/>
      <c r="I1271" s="470"/>
      <c r="J1271" s="470"/>
      <c r="K1271" s="470"/>
      <c r="L1271" s="470"/>
      <c r="M1271" s="470"/>
      <c r="N1271" s="470"/>
      <c r="O1271" s="457"/>
      <c r="P1271" s="767">
        <f>MAX($P$5:P1270)+1</f>
        <v>203</v>
      </c>
      <c r="Q1271" s="80" t="s">
        <v>3243</v>
      </c>
    </row>
    <row r="1272" spans="2:17" ht="15.2" customHeight="1">
      <c r="B1272" s="766" t="s">
        <v>1009</v>
      </c>
      <c r="C1272" s="766"/>
      <c r="D1272" s="84" t="s">
        <v>1010</v>
      </c>
      <c r="E1272" s="87">
        <v>1</v>
      </c>
      <c r="F1272" s="86" t="s">
        <v>453</v>
      </c>
      <c r="G1272" s="470">
        <f>중기사용료!$M$17</f>
        <v>32332</v>
      </c>
      <c r="H1272" s="470">
        <f>TRUNC(E1272*G1272,0)</f>
        <v>32332</v>
      </c>
      <c r="I1272" s="470">
        <f>중기사용료!$M$11</f>
        <v>27168</v>
      </c>
      <c r="J1272" s="470">
        <f>TRUNC(I1272*E1272,0)</f>
        <v>27168</v>
      </c>
      <c r="K1272" s="470">
        <f>중기사용료!$M$5</f>
        <v>25599</v>
      </c>
      <c r="L1272" s="470">
        <f>TRUNC(K1272*E1272,0)</f>
        <v>25599</v>
      </c>
      <c r="M1272" s="470">
        <f>G1272+I1272+K1272</f>
        <v>85099</v>
      </c>
      <c r="N1272" s="470">
        <f>H1272+J1272+L1272</f>
        <v>85099</v>
      </c>
      <c r="O1272" s="460">
        <f>중기사용료!A2</f>
        <v>1</v>
      </c>
      <c r="P1272" s="767"/>
    </row>
    <row r="1273" spans="2:17" ht="15.2" customHeight="1">
      <c r="B1273" s="766" t="s">
        <v>855</v>
      </c>
      <c r="C1273" s="766"/>
      <c r="D1273" s="84"/>
      <c r="E1273" s="87"/>
      <c r="F1273" s="86"/>
      <c r="G1273" s="470"/>
      <c r="H1273" s="470">
        <f>SUM(H1272:H1272)</f>
        <v>32332</v>
      </c>
      <c r="I1273" s="470"/>
      <c r="J1273" s="470">
        <f>SUM(J1272:J1272)</f>
        <v>27168</v>
      </c>
      <c r="K1273" s="470"/>
      <c r="L1273" s="470">
        <f>SUM(L1272:L1272)</f>
        <v>25599</v>
      </c>
      <c r="M1273" s="470"/>
      <c r="N1273" s="470">
        <f>SUM(N1272:N1272)</f>
        <v>85099</v>
      </c>
      <c r="O1273" s="457"/>
      <c r="P1273" s="767"/>
      <c r="Q1273" s="80" t="s">
        <v>3244</v>
      </c>
    </row>
    <row r="1274" spans="2:17" ht="15.2" customHeight="1">
      <c r="B1274" s="96">
        <f>P1274</f>
        <v>204</v>
      </c>
      <c r="C1274" s="770" t="s">
        <v>1011</v>
      </c>
      <c r="D1274" s="770"/>
      <c r="E1274" s="770"/>
      <c r="F1274" s="771"/>
      <c r="G1274" s="470"/>
      <c r="H1274" s="470"/>
      <c r="I1274" s="470"/>
      <c r="J1274" s="470"/>
      <c r="K1274" s="470"/>
      <c r="L1274" s="470"/>
      <c r="M1274" s="470"/>
      <c r="N1274" s="470"/>
      <c r="O1274" s="457"/>
      <c r="P1274" s="767">
        <f>MAX($P$5:P1273)+1</f>
        <v>204</v>
      </c>
      <c r="Q1274" s="80" t="s">
        <v>3243</v>
      </c>
    </row>
    <row r="1275" spans="2:17" ht="15.2" customHeight="1">
      <c r="B1275" s="766" t="s">
        <v>1009</v>
      </c>
      <c r="C1275" s="766"/>
      <c r="D1275" s="84" t="s">
        <v>1012</v>
      </c>
      <c r="E1275" s="87">
        <v>1</v>
      </c>
      <c r="F1275" s="86" t="s">
        <v>453</v>
      </c>
      <c r="G1275" s="470">
        <f>중기사용료!$M$36</f>
        <v>53800</v>
      </c>
      <c r="H1275" s="470">
        <f>TRUNC(E1275*G1275,0)</f>
        <v>53800</v>
      </c>
      <c r="I1275" s="470">
        <f>중기사용료!$M$30</f>
        <v>27168</v>
      </c>
      <c r="J1275" s="470">
        <f>TRUNC(I1275*E1275,0)</f>
        <v>27168</v>
      </c>
      <c r="K1275" s="470">
        <f>중기사용료!$M$24</f>
        <v>33999</v>
      </c>
      <c r="L1275" s="470">
        <f>TRUNC(K1275*E1275,0)</f>
        <v>33999</v>
      </c>
      <c r="M1275" s="470">
        <f>G1275+I1275+K1275</f>
        <v>114967</v>
      </c>
      <c r="N1275" s="470">
        <f>H1275+J1275+L1275</f>
        <v>114967</v>
      </c>
      <c r="O1275" s="460">
        <f>중기사용료!A21</f>
        <v>2</v>
      </c>
      <c r="P1275" s="767"/>
    </row>
    <row r="1276" spans="2:17" ht="15.2" customHeight="1">
      <c r="B1276" s="766" t="s">
        <v>855</v>
      </c>
      <c r="C1276" s="766"/>
      <c r="D1276" s="84"/>
      <c r="E1276" s="87"/>
      <c r="F1276" s="86"/>
      <c r="G1276" s="470"/>
      <c r="H1276" s="470">
        <f>SUM(H1275:H1275)</f>
        <v>53800</v>
      </c>
      <c r="I1276" s="470"/>
      <c r="J1276" s="470">
        <f>SUM(J1275:J1275)</f>
        <v>27168</v>
      </c>
      <c r="K1276" s="470"/>
      <c r="L1276" s="470">
        <f>SUM(L1275:L1275)</f>
        <v>33999</v>
      </c>
      <c r="M1276" s="470"/>
      <c r="N1276" s="470">
        <f>SUM(N1275:N1275)</f>
        <v>114967</v>
      </c>
      <c r="O1276" s="459"/>
      <c r="P1276" s="767"/>
      <c r="Q1276" s="80" t="s">
        <v>3244</v>
      </c>
    </row>
    <row r="1277" spans="2:17" ht="15.2" customHeight="1">
      <c r="B1277" s="96">
        <f>P1277</f>
        <v>205</v>
      </c>
      <c r="C1277" s="770" t="s">
        <v>1013</v>
      </c>
      <c r="D1277" s="770"/>
      <c r="E1277" s="770"/>
      <c r="F1277" s="771"/>
      <c r="G1277" s="470"/>
      <c r="H1277" s="470"/>
      <c r="I1277" s="470"/>
      <c r="J1277" s="470"/>
      <c r="K1277" s="470"/>
      <c r="L1277" s="470"/>
      <c r="M1277" s="470"/>
      <c r="N1277" s="470"/>
      <c r="O1277" s="459"/>
      <c r="P1277" s="767">
        <f>MAX($P$5:P1276)+1</f>
        <v>205</v>
      </c>
      <c r="Q1277" s="80" t="s">
        <v>3243</v>
      </c>
    </row>
    <row r="1278" spans="2:17" ht="15.2" customHeight="1">
      <c r="B1278" s="766" t="s">
        <v>848</v>
      </c>
      <c r="C1278" s="766"/>
      <c r="D1278" s="84" t="s">
        <v>1010</v>
      </c>
      <c r="E1278" s="87">
        <v>1</v>
      </c>
      <c r="F1278" s="86" t="s">
        <v>453</v>
      </c>
      <c r="G1278" s="470"/>
      <c r="H1278" s="470">
        <f>TRUNC(E1278*G1278,0)</f>
        <v>0</v>
      </c>
      <c r="I1278" s="470"/>
      <c r="J1278" s="470">
        <f>TRUNC(I1278*E1278,0)</f>
        <v>0</v>
      </c>
      <c r="K1278" s="470">
        <f>중기사용료!$M$43</f>
        <v>1132</v>
      </c>
      <c r="L1278" s="470">
        <f>TRUNC(K1278*E1278,0)</f>
        <v>1132</v>
      </c>
      <c r="M1278" s="470">
        <f>G1278+I1278+K1278</f>
        <v>1132</v>
      </c>
      <c r="N1278" s="470">
        <f>H1278+J1278+L1278</f>
        <v>1132</v>
      </c>
      <c r="O1278" s="460">
        <f>중기사용료!A40</f>
        <v>3</v>
      </c>
      <c r="P1278" s="767"/>
    </row>
    <row r="1279" spans="2:17" ht="15.2" customHeight="1">
      <c r="B1279" s="766" t="s">
        <v>855</v>
      </c>
      <c r="C1279" s="766"/>
      <c r="D1279" s="84"/>
      <c r="E1279" s="87"/>
      <c r="F1279" s="86"/>
      <c r="G1279" s="470"/>
      <c r="H1279" s="470">
        <f>SUM(H1278:H1278)</f>
        <v>0</v>
      </c>
      <c r="I1279" s="470"/>
      <c r="J1279" s="470">
        <f>SUM(J1278:J1278)</f>
        <v>0</v>
      </c>
      <c r="K1279" s="470"/>
      <c r="L1279" s="470">
        <f>SUM(L1278:L1278)</f>
        <v>1132</v>
      </c>
      <c r="M1279" s="470"/>
      <c r="N1279" s="470">
        <f>SUM(N1278:N1278)</f>
        <v>1132</v>
      </c>
      <c r="O1279" s="459"/>
      <c r="P1279" s="767"/>
      <c r="Q1279" s="80" t="s">
        <v>3244</v>
      </c>
    </row>
    <row r="1280" spans="2:17" ht="15.2" customHeight="1">
      <c r="B1280" s="96">
        <f>P1280</f>
        <v>206</v>
      </c>
      <c r="C1280" s="770" t="s">
        <v>1014</v>
      </c>
      <c r="D1280" s="770"/>
      <c r="E1280" s="770"/>
      <c r="F1280" s="771"/>
      <c r="G1280" s="470"/>
      <c r="H1280" s="470"/>
      <c r="I1280" s="470"/>
      <c r="J1280" s="470"/>
      <c r="K1280" s="470"/>
      <c r="L1280" s="470"/>
      <c r="M1280" s="470"/>
      <c r="N1280" s="470"/>
      <c r="O1280" s="459"/>
      <c r="P1280" s="767">
        <f>MAX($P$5:P1279)+1</f>
        <v>206</v>
      </c>
      <c r="Q1280" s="80" t="s">
        <v>3243</v>
      </c>
    </row>
    <row r="1281" spans="2:17" ht="15.2" customHeight="1">
      <c r="B1281" s="766" t="s">
        <v>848</v>
      </c>
      <c r="C1281" s="766"/>
      <c r="D1281" s="84" t="s">
        <v>1012</v>
      </c>
      <c r="E1281" s="87">
        <v>1</v>
      </c>
      <c r="F1281" s="86" t="s">
        <v>453</v>
      </c>
      <c r="G1281" s="470"/>
      <c r="H1281" s="470">
        <f>TRUNC(E1281*G1281,0)</f>
        <v>0</v>
      </c>
      <c r="I1281" s="470"/>
      <c r="J1281" s="470">
        <f>TRUNC(I1281*E1281,0)</f>
        <v>0</v>
      </c>
      <c r="K1281" s="470">
        <f>중기사용료!$M$62</f>
        <v>1775</v>
      </c>
      <c r="L1281" s="470">
        <f>TRUNC(K1281*E1281,0)</f>
        <v>1775</v>
      </c>
      <c r="M1281" s="470">
        <f>G1281+I1281+K1281</f>
        <v>1775</v>
      </c>
      <c r="N1281" s="470">
        <f>H1281+J1281+L1281</f>
        <v>1775</v>
      </c>
      <c r="O1281" s="460">
        <f>중기사용료!A59</f>
        <v>4</v>
      </c>
      <c r="P1281" s="767"/>
    </row>
    <row r="1282" spans="2:17" ht="15.2" customHeight="1">
      <c r="B1282" s="766" t="s">
        <v>855</v>
      </c>
      <c r="C1282" s="766"/>
      <c r="D1282" s="84"/>
      <c r="E1282" s="87"/>
      <c r="F1282" s="86"/>
      <c r="G1282" s="470"/>
      <c r="H1282" s="470">
        <f>SUM(H1281:H1281)</f>
        <v>0</v>
      </c>
      <c r="I1282" s="470"/>
      <c r="J1282" s="470">
        <f>SUM(J1281:J1281)</f>
        <v>0</v>
      </c>
      <c r="K1282" s="470"/>
      <c r="L1282" s="470">
        <f>SUM(L1281:L1281)</f>
        <v>1775</v>
      </c>
      <c r="M1282" s="470"/>
      <c r="N1282" s="470">
        <f>SUM(N1281:N1281)</f>
        <v>1775</v>
      </c>
      <c r="O1282" s="459"/>
      <c r="P1282" s="767"/>
      <c r="Q1282" s="80" t="s">
        <v>3244</v>
      </c>
    </row>
    <row r="1283" spans="2:17" ht="15.2" customHeight="1">
      <c r="B1283" s="96">
        <f>P1283</f>
        <v>207</v>
      </c>
      <c r="C1283" s="770" t="s">
        <v>1015</v>
      </c>
      <c r="D1283" s="770"/>
      <c r="E1283" s="770"/>
      <c r="F1283" s="771"/>
      <c r="G1283" s="470"/>
      <c r="H1283" s="470"/>
      <c r="I1283" s="470"/>
      <c r="J1283" s="470"/>
      <c r="K1283" s="470"/>
      <c r="L1283" s="470"/>
      <c r="M1283" s="470"/>
      <c r="N1283" s="470"/>
      <c r="O1283" s="459"/>
      <c r="P1283" s="767">
        <f>MAX($P$5:P1282)+1</f>
        <v>207</v>
      </c>
      <c r="Q1283" s="80" t="s">
        <v>3243</v>
      </c>
    </row>
    <row r="1284" spans="2:17" ht="15.2" customHeight="1">
      <c r="B1284" s="766" t="s">
        <v>1528</v>
      </c>
      <c r="C1284" s="766"/>
      <c r="D1284" s="84" t="s">
        <v>1016</v>
      </c>
      <c r="E1284" s="87">
        <v>1</v>
      </c>
      <c r="F1284" s="86" t="s">
        <v>453</v>
      </c>
      <c r="G1284" s="470">
        <f>중기사용료!$M$93</f>
        <v>6745</v>
      </c>
      <c r="H1284" s="470">
        <f>TRUNC(E1284*G1284,0)</f>
        <v>6745</v>
      </c>
      <c r="I1284" s="470">
        <f>중기사용료!$M$87</f>
        <v>27168</v>
      </c>
      <c r="J1284" s="470">
        <f>TRUNC(I1284*E1284,0)</f>
        <v>27168</v>
      </c>
      <c r="K1284" s="470">
        <f>중기사용료!$M$81</f>
        <v>11251</v>
      </c>
      <c r="L1284" s="470">
        <f>TRUNC(K1284*E1284,0)</f>
        <v>11251</v>
      </c>
      <c r="M1284" s="470">
        <f>G1284+I1284+K1284</f>
        <v>45164</v>
      </c>
      <c r="N1284" s="470">
        <f>H1284+J1284+L1284</f>
        <v>45164</v>
      </c>
      <c r="O1284" s="460">
        <f>중기사용료!$A$78</f>
        <v>5</v>
      </c>
      <c r="P1284" s="767"/>
    </row>
    <row r="1285" spans="2:17" ht="15.2" customHeight="1">
      <c r="B1285" s="766" t="s">
        <v>855</v>
      </c>
      <c r="C1285" s="766"/>
      <c r="D1285" s="84"/>
      <c r="E1285" s="87"/>
      <c r="F1285" s="86"/>
      <c r="G1285" s="470"/>
      <c r="H1285" s="470">
        <f>SUM(H1284:H1284)</f>
        <v>6745</v>
      </c>
      <c r="I1285" s="470"/>
      <c r="J1285" s="470">
        <f>SUM(J1284:J1284)</f>
        <v>27168</v>
      </c>
      <c r="K1285" s="470"/>
      <c r="L1285" s="470">
        <f>SUM(L1284:L1284)</f>
        <v>11251</v>
      </c>
      <c r="M1285" s="470"/>
      <c r="N1285" s="470">
        <f>SUM(N1284:N1284)</f>
        <v>45164</v>
      </c>
      <c r="O1285" s="459"/>
      <c r="P1285" s="767"/>
      <c r="Q1285" s="80" t="s">
        <v>3244</v>
      </c>
    </row>
    <row r="1286" spans="2:17" ht="15.2" customHeight="1">
      <c r="B1286" s="96">
        <f>P1286</f>
        <v>208</v>
      </c>
      <c r="C1286" s="770" t="s">
        <v>1017</v>
      </c>
      <c r="D1286" s="770"/>
      <c r="E1286" s="770"/>
      <c r="F1286" s="771"/>
      <c r="G1286" s="470"/>
      <c r="H1286" s="470"/>
      <c r="I1286" s="470"/>
      <c r="J1286" s="470"/>
      <c r="K1286" s="470"/>
      <c r="L1286" s="470"/>
      <c r="M1286" s="470"/>
      <c r="N1286" s="470"/>
      <c r="O1286" s="459"/>
      <c r="P1286" s="767">
        <f>MAX($P$5:P1285)+1</f>
        <v>208</v>
      </c>
      <c r="Q1286" s="80" t="s">
        <v>3243</v>
      </c>
    </row>
    <row r="1287" spans="2:17" ht="15.2" customHeight="1">
      <c r="B1287" s="766" t="s">
        <v>1528</v>
      </c>
      <c r="C1287" s="766"/>
      <c r="D1287" s="84" t="s">
        <v>1018</v>
      </c>
      <c r="E1287" s="87">
        <v>1</v>
      </c>
      <c r="F1287" s="86" t="s">
        <v>453</v>
      </c>
      <c r="G1287" s="470">
        <f>중기사용료!$M$112</f>
        <v>13465</v>
      </c>
      <c r="H1287" s="470">
        <f>TRUNC(E1287*G1287,0)</f>
        <v>13465</v>
      </c>
      <c r="I1287" s="470">
        <f>중기사용료!$M$106</f>
        <v>27168</v>
      </c>
      <c r="J1287" s="470">
        <f>TRUNC(I1287*E1287,0)</f>
        <v>27168</v>
      </c>
      <c r="K1287" s="470">
        <f>중기사용료!$M$100</f>
        <v>12514</v>
      </c>
      <c r="L1287" s="470">
        <f>TRUNC(K1287*E1287,0)</f>
        <v>12514</v>
      </c>
      <c r="M1287" s="470">
        <f>G1287+I1287+K1287</f>
        <v>53147</v>
      </c>
      <c r="N1287" s="470">
        <f>H1287+J1287+L1287</f>
        <v>53147</v>
      </c>
      <c r="O1287" s="460">
        <f>중기사용료!A97</f>
        <v>6</v>
      </c>
      <c r="P1287" s="767"/>
    </row>
    <row r="1288" spans="2:17" ht="15.2" customHeight="1">
      <c r="B1288" s="766" t="s">
        <v>855</v>
      </c>
      <c r="C1288" s="766"/>
      <c r="D1288" s="84"/>
      <c r="E1288" s="87"/>
      <c r="F1288" s="86"/>
      <c r="G1288" s="470"/>
      <c r="H1288" s="470">
        <f>SUM(H1287:H1287)</f>
        <v>13465</v>
      </c>
      <c r="I1288" s="470"/>
      <c r="J1288" s="470">
        <f>SUM(J1287:J1287)</f>
        <v>27168</v>
      </c>
      <c r="K1288" s="470"/>
      <c r="L1288" s="470">
        <f>SUM(L1287:L1287)</f>
        <v>12514</v>
      </c>
      <c r="M1288" s="470"/>
      <c r="N1288" s="470">
        <f>SUM(N1287:N1287)</f>
        <v>53147</v>
      </c>
      <c r="O1288" s="459"/>
      <c r="P1288" s="767"/>
      <c r="Q1288" s="80" t="s">
        <v>3244</v>
      </c>
    </row>
    <row r="1289" spans="2:17" ht="15.2" customHeight="1">
      <c r="B1289" s="96">
        <f>P1289</f>
        <v>209</v>
      </c>
      <c r="C1289" s="770" t="s">
        <v>1019</v>
      </c>
      <c r="D1289" s="770"/>
      <c r="E1289" s="770"/>
      <c r="F1289" s="771"/>
      <c r="G1289" s="470"/>
      <c r="H1289" s="470"/>
      <c r="I1289" s="470"/>
      <c r="J1289" s="470"/>
      <c r="K1289" s="470"/>
      <c r="L1289" s="470"/>
      <c r="M1289" s="470"/>
      <c r="N1289" s="470"/>
      <c r="O1289" s="459"/>
      <c r="P1289" s="767">
        <f>MAX($P$5:P1288)+1</f>
        <v>209</v>
      </c>
      <c r="Q1289" s="80" t="s">
        <v>3243</v>
      </c>
    </row>
    <row r="1290" spans="2:17" ht="15.2" customHeight="1">
      <c r="B1290" s="766" t="s">
        <v>1528</v>
      </c>
      <c r="C1290" s="766"/>
      <c r="D1290" s="84" t="s">
        <v>1033</v>
      </c>
      <c r="E1290" s="87">
        <v>1</v>
      </c>
      <c r="F1290" s="86" t="s">
        <v>453</v>
      </c>
      <c r="G1290" s="470">
        <f>중기사용료!$M$150</f>
        <v>15778</v>
      </c>
      <c r="H1290" s="470">
        <f>TRUNC(E1290*G1290,0)</f>
        <v>15778</v>
      </c>
      <c r="I1290" s="470">
        <f>중기사용료!$M$144</f>
        <v>27168</v>
      </c>
      <c r="J1290" s="470">
        <f>TRUNC(I1290*E1290,0)</f>
        <v>27168</v>
      </c>
      <c r="K1290" s="470">
        <f>중기사용료!$M$138</f>
        <v>19708</v>
      </c>
      <c r="L1290" s="470">
        <f>TRUNC(K1290*E1290,0)</f>
        <v>19708</v>
      </c>
      <c r="M1290" s="470">
        <f>G1290+I1290+K1290</f>
        <v>62654</v>
      </c>
      <c r="N1290" s="470">
        <f>H1290+J1290+L1290</f>
        <v>62654</v>
      </c>
      <c r="O1290" s="460">
        <f>중기사용료!$A$135</f>
        <v>8</v>
      </c>
      <c r="P1290" s="767"/>
    </row>
    <row r="1291" spans="2:17" ht="15.2" customHeight="1">
      <c r="B1291" s="766" t="s">
        <v>855</v>
      </c>
      <c r="C1291" s="766"/>
      <c r="D1291" s="84"/>
      <c r="E1291" s="87"/>
      <c r="F1291" s="86"/>
      <c r="G1291" s="470"/>
      <c r="H1291" s="470">
        <f>SUM(H1290:H1290)</f>
        <v>15778</v>
      </c>
      <c r="I1291" s="470"/>
      <c r="J1291" s="470">
        <f>SUM(J1290:J1290)</f>
        <v>27168</v>
      </c>
      <c r="K1291" s="470"/>
      <c r="L1291" s="470">
        <f>SUM(L1290:L1290)</f>
        <v>19708</v>
      </c>
      <c r="M1291" s="470"/>
      <c r="N1291" s="470">
        <f>SUM(N1290:N1290)</f>
        <v>62654</v>
      </c>
      <c r="O1291" s="459"/>
      <c r="P1291" s="767"/>
      <c r="Q1291" s="80" t="s">
        <v>3244</v>
      </c>
    </row>
    <row r="1292" spans="2:17" ht="15.2" customHeight="1">
      <c r="B1292" s="96">
        <f>P1292</f>
        <v>210</v>
      </c>
      <c r="C1292" s="770" t="s">
        <v>1020</v>
      </c>
      <c r="D1292" s="770"/>
      <c r="E1292" s="770"/>
      <c r="F1292" s="771"/>
      <c r="G1292" s="470"/>
      <c r="H1292" s="470"/>
      <c r="I1292" s="470"/>
      <c r="J1292" s="470"/>
      <c r="K1292" s="470"/>
      <c r="L1292" s="470"/>
      <c r="M1292" s="470"/>
      <c r="N1292" s="470"/>
      <c r="O1292" s="459"/>
      <c r="P1292" s="767">
        <f>MAX($P$5:P1291)+1</f>
        <v>210</v>
      </c>
      <c r="Q1292" s="80" t="s">
        <v>3243</v>
      </c>
    </row>
    <row r="1293" spans="2:17" ht="15.2" customHeight="1">
      <c r="B1293" s="766" t="s">
        <v>1528</v>
      </c>
      <c r="C1293" s="766"/>
      <c r="D1293" s="84" t="s">
        <v>1036</v>
      </c>
      <c r="E1293" s="87">
        <v>1</v>
      </c>
      <c r="F1293" s="86" t="s">
        <v>453</v>
      </c>
      <c r="G1293" s="470">
        <f>중기사용료!$M$169</f>
        <v>26523</v>
      </c>
      <c r="H1293" s="470">
        <f>TRUNC(E1293*G1293,0)</f>
        <v>26523</v>
      </c>
      <c r="I1293" s="470">
        <f>중기사용료!$M$163</f>
        <v>27168</v>
      </c>
      <c r="J1293" s="470">
        <f>TRUNC(I1293*E1293,0)</f>
        <v>27168</v>
      </c>
      <c r="K1293" s="470">
        <f>중기사용료!$M$157</f>
        <v>23559</v>
      </c>
      <c r="L1293" s="470">
        <f>TRUNC(K1293*E1293,0)</f>
        <v>23559</v>
      </c>
      <c r="M1293" s="470">
        <f>G1293+I1293+K1293</f>
        <v>77250</v>
      </c>
      <c r="N1293" s="470">
        <f>H1293+J1293+L1293</f>
        <v>77250</v>
      </c>
      <c r="O1293" s="460">
        <f>중기사용료!$A$154</f>
        <v>9</v>
      </c>
      <c r="P1293" s="767"/>
    </row>
    <row r="1294" spans="2:17" ht="15.2" customHeight="1">
      <c r="B1294" s="766" t="s">
        <v>855</v>
      </c>
      <c r="C1294" s="766"/>
      <c r="D1294" s="84"/>
      <c r="E1294" s="87"/>
      <c r="F1294" s="86"/>
      <c r="G1294" s="470"/>
      <c r="H1294" s="470">
        <f>SUM(H1293:H1293)</f>
        <v>26523</v>
      </c>
      <c r="I1294" s="470"/>
      <c r="J1294" s="470">
        <f>SUM(J1293:J1293)</f>
        <v>27168</v>
      </c>
      <c r="K1294" s="470"/>
      <c r="L1294" s="470">
        <f>SUM(L1293:L1293)</f>
        <v>23559</v>
      </c>
      <c r="M1294" s="470"/>
      <c r="N1294" s="470">
        <f>SUM(N1293:N1293)</f>
        <v>77250</v>
      </c>
      <c r="O1294" s="459"/>
      <c r="P1294" s="767"/>
      <c r="Q1294" s="80" t="s">
        <v>3244</v>
      </c>
    </row>
    <row r="1295" spans="2:17" ht="15.2" customHeight="1">
      <c r="B1295" s="96">
        <f>P1295</f>
        <v>211</v>
      </c>
      <c r="C1295" s="770" t="s">
        <v>3648</v>
      </c>
      <c r="D1295" s="770"/>
      <c r="E1295" s="770"/>
      <c r="F1295" s="771"/>
      <c r="G1295" s="470"/>
      <c r="H1295" s="470"/>
      <c r="I1295" s="470"/>
      <c r="J1295" s="470"/>
      <c r="K1295" s="470"/>
      <c r="L1295" s="470"/>
      <c r="M1295" s="470"/>
      <c r="N1295" s="470"/>
      <c r="O1295" s="459"/>
      <c r="P1295" s="767">
        <f>MAX($P$5:P1294)+1</f>
        <v>211</v>
      </c>
      <c r="Q1295" s="80" t="s">
        <v>3243</v>
      </c>
    </row>
    <row r="1296" spans="2:17" ht="15.2" customHeight="1">
      <c r="B1296" s="766" t="s">
        <v>3645</v>
      </c>
      <c r="C1296" s="766"/>
      <c r="D1296" s="84" t="s">
        <v>3649</v>
      </c>
      <c r="E1296" s="87">
        <v>1</v>
      </c>
      <c r="F1296" s="86" t="s">
        <v>453</v>
      </c>
      <c r="G1296" s="470">
        <f>중기사용료!$M$188</f>
        <v>7741</v>
      </c>
      <c r="H1296" s="470">
        <f>TRUNC(E1296*G1296,0)</f>
        <v>7741</v>
      </c>
      <c r="I1296" s="470">
        <f>중기사용료!$M$182</f>
        <v>27168</v>
      </c>
      <c r="J1296" s="470">
        <f>TRUNC(I1296*E1296,0)</f>
        <v>27168</v>
      </c>
      <c r="K1296" s="470">
        <f>중기사용료!$M$176</f>
        <v>12947</v>
      </c>
      <c r="L1296" s="470">
        <f>TRUNC(K1296*E1296,0)</f>
        <v>12947</v>
      </c>
      <c r="M1296" s="470">
        <f>G1296+I1296+K1296</f>
        <v>47856</v>
      </c>
      <c r="N1296" s="470">
        <f>H1296+J1296+L1296</f>
        <v>47856</v>
      </c>
      <c r="O1296" s="460">
        <f>중기사용료!$A$173</f>
        <v>10</v>
      </c>
      <c r="P1296" s="767"/>
    </row>
    <row r="1297" spans="2:17" ht="15.2" customHeight="1">
      <c r="B1297" s="766" t="s">
        <v>855</v>
      </c>
      <c r="C1297" s="766"/>
      <c r="D1297" s="84"/>
      <c r="E1297" s="87"/>
      <c r="F1297" s="86"/>
      <c r="G1297" s="470"/>
      <c r="H1297" s="470">
        <f>SUM(H1296:H1296)</f>
        <v>7741</v>
      </c>
      <c r="I1297" s="470"/>
      <c r="J1297" s="470">
        <f>SUM(J1296:J1296)</f>
        <v>27168</v>
      </c>
      <c r="K1297" s="470"/>
      <c r="L1297" s="470">
        <f>SUM(L1296:L1296)</f>
        <v>12947</v>
      </c>
      <c r="M1297" s="470"/>
      <c r="N1297" s="470">
        <f>SUM(N1296:N1296)</f>
        <v>47856</v>
      </c>
      <c r="O1297" s="459"/>
      <c r="P1297" s="767"/>
      <c r="Q1297" s="80" t="s">
        <v>1164</v>
      </c>
    </row>
    <row r="1298" spans="2:17" ht="15.2" customHeight="1">
      <c r="B1298" s="96">
        <f>P1298</f>
        <v>212</v>
      </c>
      <c r="C1298" s="770" t="s">
        <v>3650</v>
      </c>
      <c r="D1298" s="770"/>
      <c r="E1298" s="770"/>
      <c r="F1298" s="771"/>
      <c r="G1298" s="470"/>
      <c r="H1298" s="470"/>
      <c r="I1298" s="470"/>
      <c r="J1298" s="470"/>
      <c r="K1298" s="470"/>
      <c r="L1298" s="470"/>
      <c r="M1298" s="470"/>
      <c r="N1298" s="470"/>
      <c r="O1298" s="459"/>
      <c r="P1298" s="767">
        <f>MAX($P$5:P1297)+1</f>
        <v>212</v>
      </c>
      <c r="Q1298" s="80" t="s">
        <v>3243</v>
      </c>
    </row>
    <row r="1299" spans="2:17" ht="15.2" customHeight="1">
      <c r="B1299" s="766" t="s">
        <v>3645</v>
      </c>
      <c r="C1299" s="766"/>
      <c r="D1299" s="84" t="s">
        <v>3652</v>
      </c>
      <c r="E1299" s="87">
        <v>1</v>
      </c>
      <c r="F1299" s="86" t="s">
        <v>453</v>
      </c>
      <c r="G1299" s="470">
        <f>중기사용료!$M$207</f>
        <v>16036</v>
      </c>
      <c r="H1299" s="470">
        <f>TRUNC(E1299*G1299,0)</f>
        <v>16036</v>
      </c>
      <c r="I1299" s="470">
        <f>중기사용료!$M$201</f>
        <v>27168</v>
      </c>
      <c r="J1299" s="470">
        <f>TRUNC(I1299*E1299,0)</f>
        <v>27168</v>
      </c>
      <c r="K1299" s="470">
        <f>중기사용료!$M$195</f>
        <v>21622</v>
      </c>
      <c r="L1299" s="470">
        <f>TRUNC(K1299*E1299,0)</f>
        <v>21622</v>
      </c>
      <c r="M1299" s="470">
        <f>G1299+I1299+K1299</f>
        <v>64826</v>
      </c>
      <c r="N1299" s="470">
        <f>H1299+J1299+L1299</f>
        <v>64826</v>
      </c>
      <c r="O1299" s="460">
        <f>중기사용료!A192</f>
        <v>11</v>
      </c>
      <c r="P1299" s="767"/>
    </row>
    <row r="1300" spans="2:17" ht="15.2" customHeight="1">
      <c r="B1300" s="766" t="s">
        <v>855</v>
      </c>
      <c r="C1300" s="766"/>
      <c r="D1300" s="84"/>
      <c r="E1300" s="87"/>
      <c r="F1300" s="86"/>
      <c r="G1300" s="470"/>
      <c r="H1300" s="470">
        <f>SUM(H1299:H1299)</f>
        <v>16036</v>
      </c>
      <c r="I1300" s="470"/>
      <c r="J1300" s="470">
        <f>SUM(J1299:J1299)</f>
        <v>27168</v>
      </c>
      <c r="K1300" s="470"/>
      <c r="L1300" s="470">
        <f>SUM(L1299:L1299)</f>
        <v>21622</v>
      </c>
      <c r="M1300" s="470"/>
      <c r="N1300" s="470">
        <f>SUM(N1299:N1299)</f>
        <v>64826</v>
      </c>
      <c r="O1300" s="459"/>
      <c r="P1300" s="767"/>
      <c r="Q1300" s="80" t="s">
        <v>1164</v>
      </c>
    </row>
    <row r="1301" spans="2:17" ht="15.2" customHeight="1">
      <c r="B1301" s="96">
        <f>P1301</f>
        <v>213</v>
      </c>
      <c r="C1301" s="770" t="s">
        <v>3651</v>
      </c>
      <c r="D1301" s="770"/>
      <c r="E1301" s="770"/>
      <c r="F1301" s="771"/>
      <c r="G1301" s="470"/>
      <c r="H1301" s="470"/>
      <c r="I1301" s="470"/>
      <c r="J1301" s="470"/>
      <c r="K1301" s="470"/>
      <c r="L1301" s="470"/>
      <c r="M1301" s="470"/>
      <c r="N1301" s="470"/>
      <c r="O1301" s="459"/>
      <c r="P1301" s="767">
        <f>MAX($P$5:P1300)+1</f>
        <v>213</v>
      </c>
      <c r="Q1301" s="80" t="s">
        <v>3243</v>
      </c>
    </row>
    <row r="1302" spans="2:17" ht="15.2" customHeight="1">
      <c r="B1302" s="766" t="s">
        <v>3645</v>
      </c>
      <c r="C1302" s="766"/>
      <c r="D1302" s="84" t="s">
        <v>3653</v>
      </c>
      <c r="E1302" s="87">
        <v>1</v>
      </c>
      <c r="F1302" s="86" t="s">
        <v>453</v>
      </c>
      <c r="G1302" s="470">
        <f>중기사용료!$M$226</f>
        <v>22534</v>
      </c>
      <c r="H1302" s="470">
        <f>TRUNC(E1302*G1302,0)</f>
        <v>22534</v>
      </c>
      <c r="I1302" s="470">
        <f>중기사용료!$M$220</f>
        <v>27168</v>
      </c>
      <c r="J1302" s="470">
        <f>TRUNC(I1302*E1302,0)</f>
        <v>27168</v>
      </c>
      <c r="K1302" s="470">
        <f>중기사용료!$M$214</f>
        <v>25531</v>
      </c>
      <c r="L1302" s="470">
        <f>TRUNC(K1302*E1302,0)</f>
        <v>25531</v>
      </c>
      <c r="M1302" s="470">
        <f>G1302+I1302+K1302</f>
        <v>75233</v>
      </c>
      <c r="N1302" s="470">
        <f>H1302+J1302+L1302</f>
        <v>75233</v>
      </c>
      <c r="O1302" s="460">
        <f>중기사용료!A211</f>
        <v>12</v>
      </c>
      <c r="P1302" s="767"/>
    </row>
    <row r="1303" spans="2:17" ht="15.2" customHeight="1">
      <c r="B1303" s="766" t="s">
        <v>855</v>
      </c>
      <c r="C1303" s="766"/>
      <c r="D1303" s="84"/>
      <c r="E1303" s="87"/>
      <c r="F1303" s="86"/>
      <c r="G1303" s="470"/>
      <c r="H1303" s="470">
        <f>SUM(H1302:H1302)</f>
        <v>22534</v>
      </c>
      <c r="I1303" s="470"/>
      <c r="J1303" s="470">
        <f>SUM(J1302:J1302)</f>
        <v>27168</v>
      </c>
      <c r="K1303" s="470"/>
      <c r="L1303" s="470">
        <f>SUM(L1302:L1302)</f>
        <v>25531</v>
      </c>
      <c r="M1303" s="470"/>
      <c r="N1303" s="470">
        <f>SUM(N1302:N1302)</f>
        <v>75233</v>
      </c>
      <c r="O1303" s="459"/>
      <c r="P1303" s="767"/>
      <c r="Q1303" s="80" t="s">
        <v>1164</v>
      </c>
    </row>
    <row r="1304" spans="2:17" ht="15.2" customHeight="1">
      <c r="B1304" s="96">
        <f>P1304</f>
        <v>214</v>
      </c>
      <c r="C1304" s="770" t="s">
        <v>3647</v>
      </c>
      <c r="D1304" s="770"/>
      <c r="E1304" s="770"/>
      <c r="F1304" s="771"/>
      <c r="G1304" s="470"/>
      <c r="H1304" s="470"/>
      <c r="I1304" s="470"/>
      <c r="J1304" s="470"/>
      <c r="K1304" s="470"/>
      <c r="L1304" s="470"/>
      <c r="M1304" s="470"/>
      <c r="N1304" s="470"/>
      <c r="O1304" s="459"/>
      <c r="P1304" s="767">
        <f>MAX($P$5:P1303)+1</f>
        <v>214</v>
      </c>
      <c r="Q1304" s="80" t="s">
        <v>3243</v>
      </c>
    </row>
    <row r="1305" spans="2:17" ht="15.2" customHeight="1">
      <c r="B1305" s="766" t="s">
        <v>3645</v>
      </c>
      <c r="C1305" s="766"/>
      <c r="D1305" s="84" t="s">
        <v>3654</v>
      </c>
      <c r="E1305" s="87">
        <v>1</v>
      </c>
      <c r="F1305" s="86" t="s">
        <v>453</v>
      </c>
      <c r="G1305" s="470">
        <f>중기사용료!$M$245</f>
        <v>28340</v>
      </c>
      <c r="H1305" s="470">
        <f>TRUNC(E1305*G1305,0)</f>
        <v>28340</v>
      </c>
      <c r="I1305" s="470">
        <f>중기사용료!$M$239</f>
        <v>27168</v>
      </c>
      <c r="J1305" s="470">
        <f>TRUNC(I1305*E1305,0)</f>
        <v>27168</v>
      </c>
      <c r="K1305" s="470">
        <f>중기사용료!$M$233</f>
        <v>26935</v>
      </c>
      <c r="L1305" s="470">
        <f>TRUNC(K1305*E1305,0)</f>
        <v>26935</v>
      </c>
      <c r="M1305" s="470">
        <f>G1305+I1305+K1305</f>
        <v>82443</v>
      </c>
      <c r="N1305" s="470">
        <f>H1305+J1305+L1305</f>
        <v>82443</v>
      </c>
      <c r="O1305" s="460">
        <f>중기사용료!A230</f>
        <v>13</v>
      </c>
      <c r="P1305" s="767"/>
    </row>
    <row r="1306" spans="2:17" ht="15.2" customHeight="1">
      <c r="B1306" s="766" t="s">
        <v>855</v>
      </c>
      <c r="C1306" s="766"/>
      <c r="D1306" s="84"/>
      <c r="E1306" s="87"/>
      <c r="F1306" s="86"/>
      <c r="G1306" s="470"/>
      <c r="H1306" s="470">
        <f>SUM(H1305:H1305)</f>
        <v>28340</v>
      </c>
      <c r="I1306" s="470"/>
      <c r="J1306" s="470">
        <f>SUM(J1305:J1305)</f>
        <v>27168</v>
      </c>
      <c r="K1306" s="470"/>
      <c r="L1306" s="470">
        <f>SUM(L1305:L1305)</f>
        <v>26935</v>
      </c>
      <c r="M1306" s="470"/>
      <c r="N1306" s="470">
        <f>SUM(N1305:N1305)</f>
        <v>82443</v>
      </c>
      <c r="O1306" s="459"/>
      <c r="P1306" s="767"/>
      <c r="Q1306" s="80" t="s">
        <v>1164</v>
      </c>
    </row>
    <row r="1307" spans="2:17" ht="15.2" customHeight="1">
      <c r="B1307" s="96">
        <f>P1307</f>
        <v>215</v>
      </c>
      <c r="C1307" s="770" t="s">
        <v>1021</v>
      </c>
      <c r="D1307" s="770"/>
      <c r="E1307" s="770"/>
      <c r="F1307" s="771"/>
      <c r="G1307" s="470"/>
      <c r="H1307" s="470"/>
      <c r="I1307" s="470"/>
      <c r="J1307" s="470"/>
      <c r="K1307" s="470"/>
      <c r="L1307" s="470"/>
      <c r="M1307" s="470"/>
      <c r="N1307" s="470"/>
      <c r="O1307" s="459"/>
      <c r="P1307" s="767">
        <f>MAX($P$5:P1306)+1</f>
        <v>215</v>
      </c>
      <c r="Q1307" s="80" t="s">
        <v>3243</v>
      </c>
    </row>
    <row r="1308" spans="2:17" ht="15.2" customHeight="1">
      <c r="B1308" s="766" t="s">
        <v>1529</v>
      </c>
      <c r="C1308" s="766"/>
      <c r="D1308" s="84" t="s">
        <v>1018</v>
      </c>
      <c r="E1308" s="87">
        <v>1</v>
      </c>
      <c r="F1308" s="86" t="s">
        <v>453</v>
      </c>
      <c r="G1308" s="470">
        <f>중기사용료!$M$264</f>
        <v>12180</v>
      </c>
      <c r="H1308" s="470">
        <f>TRUNC(E1308*G1308,0)</f>
        <v>12180</v>
      </c>
      <c r="I1308" s="470">
        <f>중기사용료!$M$258</f>
        <v>27168</v>
      </c>
      <c r="J1308" s="470">
        <f>TRUNC(I1308*E1308,0)</f>
        <v>27168</v>
      </c>
      <c r="K1308" s="470">
        <f>중기사용료!$M$252</f>
        <v>15031</v>
      </c>
      <c r="L1308" s="470">
        <f>TRUNC(K1308*E1308,0)</f>
        <v>15031</v>
      </c>
      <c r="M1308" s="470">
        <f>G1308+I1308+K1308</f>
        <v>54379</v>
      </c>
      <c r="N1308" s="470">
        <f>H1308+J1308+L1308</f>
        <v>54379</v>
      </c>
      <c r="O1308" s="460">
        <f>중기사용료!A249</f>
        <v>14</v>
      </c>
      <c r="P1308" s="767"/>
    </row>
    <row r="1309" spans="2:17" ht="15.2" customHeight="1">
      <c r="B1309" s="766" t="s">
        <v>855</v>
      </c>
      <c r="C1309" s="766"/>
      <c r="D1309" s="84"/>
      <c r="E1309" s="87"/>
      <c r="F1309" s="86"/>
      <c r="G1309" s="470"/>
      <c r="H1309" s="470">
        <f>SUM(H1308:H1308)</f>
        <v>12180</v>
      </c>
      <c r="I1309" s="470"/>
      <c r="J1309" s="470">
        <f>SUM(J1308:J1308)</f>
        <v>27168</v>
      </c>
      <c r="K1309" s="470"/>
      <c r="L1309" s="470">
        <f>SUM(L1308:L1308)</f>
        <v>15031</v>
      </c>
      <c r="M1309" s="470"/>
      <c r="N1309" s="470">
        <f>SUM(N1308:N1308)</f>
        <v>54379</v>
      </c>
      <c r="O1309" s="459"/>
      <c r="P1309" s="767"/>
      <c r="Q1309" s="80" t="s">
        <v>3244</v>
      </c>
    </row>
    <row r="1310" spans="2:17" ht="15.2" customHeight="1">
      <c r="B1310" s="96">
        <f>P1310</f>
        <v>216</v>
      </c>
      <c r="C1310" s="770" t="s">
        <v>1022</v>
      </c>
      <c r="D1310" s="770"/>
      <c r="E1310" s="770"/>
      <c r="F1310" s="771"/>
      <c r="G1310" s="470"/>
      <c r="H1310" s="470"/>
      <c r="I1310" s="470"/>
      <c r="J1310" s="470"/>
      <c r="K1310" s="470"/>
      <c r="L1310" s="470"/>
      <c r="M1310" s="470"/>
      <c r="N1310" s="470"/>
      <c r="O1310" s="459"/>
      <c r="P1310" s="767">
        <f>MAX($P$5:P1309)+1</f>
        <v>216</v>
      </c>
      <c r="Q1310" s="80" t="s">
        <v>3243</v>
      </c>
    </row>
    <row r="1311" spans="2:17" ht="15.2" customHeight="1">
      <c r="B1311" s="766" t="s">
        <v>1529</v>
      </c>
      <c r="C1311" s="766"/>
      <c r="D1311" s="84" t="s">
        <v>1033</v>
      </c>
      <c r="E1311" s="87">
        <v>1</v>
      </c>
      <c r="F1311" s="86" t="s">
        <v>453</v>
      </c>
      <c r="G1311" s="470">
        <f>중기사용료!$M$283</f>
        <v>14103</v>
      </c>
      <c r="H1311" s="470">
        <f>TRUNC(E1311*G1311,0)</f>
        <v>14103</v>
      </c>
      <c r="I1311" s="470">
        <f>중기사용료!$M$277</f>
        <v>27168</v>
      </c>
      <c r="J1311" s="470">
        <f>TRUNC(I1311*E1311,0)</f>
        <v>27168</v>
      </c>
      <c r="K1311" s="470">
        <f>중기사용료!$M$271</f>
        <v>19682</v>
      </c>
      <c r="L1311" s="470">
        <f>TRUNC(K1311*E1311,0)</f>
        <v>19682</v>
      </c>
      <c r="M1311" s="470">
        <f>G1311+I1311+K1311</f>
        <v>60953</v>
      </c>
      <c r="N1311" s="470">
        <f>H1311+J1311+L1311</f>
        <v>60953</v>
      </c>
      <c r="O1311" s="460">
        <f>중기사용료!A268</f>
        <v>15</v>
      </c>
      <c r="P1311" s="767"/>
    </row>
    <row r="1312" spans="2:17" ht="15.2" customHeight="1">
      <c r="B1312" s="766" t="s">
        <v>855</v>
      </c>
      <c r="C1312" s="766"/>
      <c r="D1312" s="84"/>
      <c r="E1312" s="87"/>
      <c r="F1312" s="86"/>
      <c r="G1312" s="470"/>
      <c r="H1312" s="470">
        <f>SUM(H1311:H1311)</f>
        <v>14103</v>
      </c>
      <c r="I1312" s="470"/>
      <c r="J1312" s="470">
        <f>SUM(J1311:J1311)</f>
        <v>27168</v>
      </c>
      <c r="K1312" s="470"/>
      <c r="L1312" s="470">
        <f>SUM(L1311:L1311)</f>
        <v>19682</v>
      </c>
      <c r="M1312" s="470"/>
      <c r="N1312" s="470">
        <f>SUM(N1311:N1311)</f>
        <v>60953</v>
      </c>
      <c r="O1312" s="459"/>
      <c r="P1312" s="767"/>
      <c r="Q1312" s="80" t="s">
        <v>3244</v>
      </c>
    </row>
    <row r="1313" spans="2:17" ht="15.2" customHeight="1">
      <c r="B1313" s="96">
        <f>P1313</f>
        <v>217</v>
      </c>
      <c r="C1313" s="770" t="s">
        <v>305</v>
      </c>
      <c r="D1313" s="770"/>
      <c r="E1313" s="770"/>
      <c r="F1313" s="771"/>
      <c r="G1313" s="470"/>
      <c r="H1313" s="470"/>
      <c r="I1313" s="470"/>
      <c r="J1313" s="470"/>
      <c r="K1313" s="470"/>
      <c r="L1313" s="470"/>
      <c r="M1313" s="470"/>
      <c r="N1313" s="470"/>
      <c r="O1313" s="459"/>
      <c r="P1313" s="767">
        <f>MAX($P$5:P1312)+1</f>
        <v>217</v>
      </c>
      <c r="Q1313" s="80" t="s">
        <v>3243</v>
      </c>
    </row>
    <row r="1314" spans="2:17" ht="15.2" customHeight="1">
      <c r="B1314" s="766" t="s">
        <v>1386</v>
      </c>
      <c r="C1314" s="766"/>
      <c r="D1314" s="84" t="s">
        <v>1016</v>
      </c>
      <c r="E1314" s="87">
        <v>1</v>
      </c>
      <c r="F1314" s="86" t="s">
        <v>453</v>
      </c>
      <c r="G1314" s="470"/>
      <c r="H1314" s="470">
        <f>TRUNC(E1314*G1314,0)</f>
        <v>0</v>
      </c>
      <c r="I1314" s="470"/>
      <c r="J1314" s="470">
        <f>TRUNC(I1314*E1314,0)</f>
        <v>0</v>
      </c>
      <c r="K1314" s="470">
        <f>중기사용료!$M$290</f>
        <v>2155</v>
      </c>
      <c r="L1314" s="470">
        <f>TRUNC(K1314*E1314,0)</f>
        <v>2155</v>
      </c>
      <c r="M1314" s="470">
        <f>G1314+I1314+K1314</f>
        <v>2155</v>
      </c>
      <c r="N1314" s="470">
        <f>H1314+J1314+L1314</f>
        <v>2155</v>
      </c>
      <c r="O1314" s="460">
        <f>중기사용료!$A$287</f>
        <v>16</v>
      </c>
      <c r="P1314" s="767"/>
    </row>
    <row r="1315" spans="2:17" ht="15.2" customHeight="1">
      <c r="B1315" s="766" t="s">
        <v>855</v>
      </c>
      <c r="C1315" s="766"/>
      <c r="D1315" s="84"/>
      <c r="E1315" s="87"/>
      <c r="F1315" s="86"/>
      <c r="G1315" s="470"/>
      <c r="H1315" s="470">
        <f>SUM(H1314:H1314)</f>
        <v>0</v>
      </c>
      <c r="I1315" s="470"/>
      <c r="J1315" s="470">
        <f>SUM(J1314:J1314)</f>
        <v>0</v>
      </c>
      <c r="K1315" s="470"/>
      <c r="L1315" s="470">
        <f>SUM(L1314:L1314)</f>
        <v>2155</v>
      </c>
      <c r="M1315" s="470"/>
      <c r="N1315" s="470">
        <f>SUM(N1314:N1314)</f>
        <v>2155</v>
      </c>
      <c r="O1315" s="459"/>
      <c r="P1315" s="767"/>
      <c r="Q1315" s="80" t="s">
        <v>3244</v>
      </c>
    </row>
    <row r="1316" spans="2:17" ht="15.2" customHeight="1">
      <c r="B1316" s="96">
        <f>P1316</f>
        <v>218</v>
      </c>
      <c r="C1316" s="770" t="s">
        <v>306</v>
      </c>
      <c r="D1316" s="770"/>
      <c r="E1316" s="770"/>
      <c r="F1316" s="771"/>
      <c r="G1316" s="470"/>
      <c r="H1316" s="470"/>
      <c r="I1316" s="470"/>
      <c r="J1316" s="470"/>
      <c r="K1316" s="470"/>
      <c r="L1316" s="470"/>
      <c r="M1316" s="470"/>
      <c r="N1316" s="470"/>
      <c r="O1316" s="459"/>
      <c r="P1316" s="767">
        <f>MAX($P$5:P1315)+1</f>
        <v>218</v>
      </c>
      <c r="Q1316" s="80" t="s">
        <v>3243</v>
      </c>
    </row>
    <row r="1317" spans="2:17" ht="15.2" customHeight="1">
      <c r="B1317" s="766" t="s">
        <v>1386</v>
      </c>
      <c r="C1317" s="766"/>
      <c r="D1317" s="84" t="s">
        <v>1018</v>
      </c>
      <c r="E1317" s="87">
        <v>1</v>
      </c>
      <c r="F1317" s="86" t="s">
        <v>453</v>
      </c>
      <c r="G1317" s="470"/>
      <c r="H1317" s="470">
        <f>TRUNC(E1317*G1317,0)</f>
        <v>0</v>
      </c>
      <c r="I1317" s="470"/>
      <c r="J1317" s="470">
        <f>TRUNC(I1317*E1317,0)</f>
        <v>0</v>
      </c>
      <c r="K1317" s="470">
        <f>중기사용료!$M$309</f>
        <v>3952</v>
      </c>
      <c r="L1317" s="470">
        <f>TRUNC(K1317*E1317,0)</f>
        <v>3952</v>
      </c>
      <c r="M1317" s="470">
        <f>G1317+I1317+K1317</f>
        <v>3952</v>
      </c>
      <c r="N1317" s="470">
        <f>H1317+J1317+L1317</f>
        <v>3952</v>
      </c>
      <c r="O1317" s="460">
        <f>중기사용료!$A$306</f>
        <v>17</v>
      </c>
      <c r="P1317" s="767"/>
    </row>
    <row r="1318" spans="2:17" ht="15.2" customHeight="1">
      <c r="B1318" s="766" t="s">
        <v>855</v>
      </c>
      <c r="C1318" s="766"/>
      <c r="D1318" s="84"/>
      <c r="E1318" s="87"/>
      <c r="F1318" s="86"/>
      <c r="G1318" s="470"/>
      <c r="H1318" s="470">
        <f>SUM(H1317:H1317)</f>
        <v>0</v>
      </c>
      <c r="I1318" s="470"/>
      <c r="J1318" s="470">
        <f>SUM(J1317:J1317)</f>
        <v>0</v>
      </c>
      <c r="K1318" s="470"/>
      <c r="L1318" s="470">
        <f>SUM(L1317:L1317)</f>
        <v>3952</v>
      </c>
      <c r="M1318" s="470"/>
      <c r="N1318" s="470">
        <f>SUM(N1317:N1317)</f>
        <v>3952</v>
      </c>
      <c r="O1318" s="459"/>
      <c r="P1318" s="767"/>
      <c r="Q1318" s="80" t="s">
        <v>3244</v>
      </c>
    </row>
    <row r="1319" spans="2:17" ht="15.2" customHeight="1">
      <c r="B1319" s="96">
        <f>P1319</f>
        <v>219</v>
      </c>
      <c r="C1319" s="770" t="s">
        <v>3666</v>
      </c>
      <c r="D1319" s="770"/>
      <c r="E1319" s="770"/>
      <c r="F1319" s="771"/>
      <c r="G1319" s="470"/>
      <c r="H1319" s="470"/>
      <c r="I1319" s="470"/>
      <c r="J1319" s="470"/>
      <c r="K1319" s="470"/>
      <c r="L1319" s="470"/>
      <c r="M1319" s="470"/>
      <c r="N1319" s="470"/>
      <c r="O1319" s="459"/>
      <c r="P1319" s="767">
        <f>MAX($P$5:P1318)+1</f>
        <v>219</v>
      </c>
      <c r="Q1319" s="80" t="s">
        <v>3243</v>
      </c>
    </row>
    <row r="1320" spans="2:17" ht="15.2" customHeight="1">
      <c r="B1320" s="766" t="s">
        <v>1386</v>
      </c>
      <c r="C1320" s="766"/>
      <c r="D1320" s="84" t="s">
        <v>3652</v>
      </c>
      <c r="E1320" s="87">
        <v>1</v>
      </c>
      <c r="F1320" s="86" t="s">
        <v>453</v>
      </c>
      <c r="G1320" s="470"/>
      <c r="H1320" s="470">
        <f>TRUNC(E1320*G1320,0)</f>
        <v>0</v>
      </c>
      <c r="I1320" s="470"/>
      <c r="J1320" s="470">
        <f>TRUNC(I1320*E1320,0)</f>
        <v>0</v>
      </c>
      <c r="K1320" s="470">
        <f>중기사용료!$M$328</f>
        <v>7225</v>
      </c>
      <c r="L1320" s="470">
        <f>TRUNC(K1320*E1320,0)</f>
        <v>7225</v>
      </c>
      <c r="M1320" s="470">
        <f>G1320+I1320+K1320</f>
        <v>7225</v>
      </c>
      <c r="N1320" s="470">
        <f>H1320+J1320+L1320</f>
        <v>7225</v>
      </c>
      <c r="O1320" s="460">
        <f>중기사용료!$A$325</f>
        <v>18</v>
      </c>
      <c r="P1320" s="767"/>
    </row>
    <row r="1321" spans="2:17" ht="15.2" customHeight="1">
      <c r="B1321" s="766" t="s">
        <v>855</v>
      </c>
      <c r="C1321" s="766"/>
      <c r="D1321" s="84"/>
      <c r="E1321" s="87"/>
      <c r="F1321" s="86"/>
      <c r="G1321" s="470"/>
      <c r="H1321" s="470">
        <f>SUM(H1320:H1320)</f>
        <v>0</v>
      </c>
      <c r="I1321" s="470"/>
      <c r="J1321" s="470">
        <f>SUM(J1320:J1320)</f>
        <v>0</v>
      </c>
      <c r="K1321" s="470"/>
      <c r="L1321" s="470">
        <f>SUM(L1320:L1320)</f>
        <v>7225</v>
      </c>
      <c r="M1321" s="470"/>
      <c r="N1321" s="470">
        <f>SUM(N1320:N1320)</f>
        <v>7225</v>
      </c>
      <c r="O1321" s="459"/>
      <c r="P1321" s="767"/>
      <c r="Q1321" s="80" t="s">
        <v>3244</v>
      </c>
    </row>
    <row r="1322" spans="2:17" ht="15.2" customHeight="1">
      <c r="B1322" s="96">
        <f>P1322</f>
        <v>220</v>
      </c>
      <c r="C1322" s="770" t="s">
        <v>307</v>
      </c>
      <c r="D1322" s="770"/>
      <c r="E1322" s="770"/>
      <c r="F1322" s="771"/>
      <c r="G1322" s="470"/>
      <c r="H1322" s="470"/>
      <c r="I1322" s="470"/>
      <c r="J1322" s="470"/>
      <c r="K1322" s="470"/>
      <c r="L1322" s="470"/>
      <c r="M1322" s="470"/>
      <c r="N1322" s="470"/>
      <c r="O1322" s="459"/>
      <c r="P1322" s="767">
        <f>MAX($P$5:P1321)+1</f>
        <v>220</v>
      </c>
      <c r="Q1322" s="80" t="s">
        <v>3243</v>
      </c>
    </row>
    <row r="1323" spans="2:17" ht="15.2" customHeight="1">
      <c r="B1323" s="766" t="s">
        <v>1387</v>
      </c>
      <c r="C1323" s="766"/>
      <c r="D1323" s="84" t="s">
        <v>308</v>
      </c>
      <c r="E1323" s="87">
        <v>1</v>
      </c>
      <c r="F1323" s="86" t="s">
        <v>453</v>
      </c>
      <c r="G1323" s="470">
        <f>중기사용료!$M$359</f>
        <v>15244</v>
      </c>
      <c r="H1323" s="470">
        <f>TRUNC(E1323*G1323,0)</f>
        <v>15244</v>
      </c>
      <c r="I1323" s="470">
        <f>중기사용료!$M$353</f>
        <v>27168</v>
      </c>
      <c r="J1323" s="470">
        <f>TRUNC(I1323*E1323,0)</f>
        <v>27168</v>
      </c>
      <c r="K1323" s="470">
        <f>중기사용료!$M$347</f>
        <v>24810</v>
      </c>
      <c r="L1323" s="470">
        <f>TRUNC(K1323*E1323,0)</f>
        <v>24810</v>
      </c>
      <c r="M1323" s="470">
        <f>G1323+I1323+K1323</f>
        <v>67222</v>
      </c>
      <c r="N1323" s="470">
        <f>H1323+J1323+L1323</f>
        <v>67222</v>
      </c>
      <c r="O1323" s="460">
        <f>중기사용료!$A$344</f>
        <v>19</v>
      </c>
      <c r="P1323" s="767"/>
    </row>
    <row r="1324" spans="2:17" ht="15.2" customHeight="1">
      <c r="B1324" s="766" t="s">
        <v>855</v>
      </c>
      <c r="C1324" s="766"/>
      <c r="D1324" s="84"/>
      <c r="E1324" s="87"/>
      <c r="F1324" s="86"/>
      <c r="G1324" s="470"/>
      <c r="H1324" s="470">
        <f>SUM(H1323:H1323)</f>
        <v>15244</v>
      </c>
      <c r="I1324" s="470"/>
      <c r="J1324" s="470">
        <f>SUM(J1323:J1323)</f>
        <v>27168</v>
      </c>
      <c r="K1324" s="470"/>
      <c r="L1324" s="470">
        <f>SUM(L1323:L1323)</f>
        <v>24810</v>
      </c>
      <c r="M1324" s="470"/>
      <c r="N1324" s="470">
        <f>SUM(N1323:N1323)</f>
        <v>67222</v>
      </c>
      <c r="O1324" s="459"/>
      <c r="P1324" s="767"/>
      <c r="Q1324" s="80" t="s">
        <v>3244</v>
      </c>
    </row>
    <row r="1325" spans="2:17" ht="15.2" customHeight="1">
      <c r="B1325" s="96">
        <f>P1325</f>
        <v>221</v>
      </c>
      <c r="C1325" s="770" t="s">
        <v>309</v>
      </c>
      <c r="D1325" s="770"/>
      <c r="E1325" s="770"/>
      <c r="F1325" s="771"/>
      <c r="G1325" s="470"/>
      <c r="H1325" s="470"/>
      <c r="I1325" s="470"/>
      <c r="J1325" s="470"/>
      <c r="K1325" s="470"/>
      <c r="L1325" s="470"/>
      <c r="M1325" s="470"/>
      <c r="N1325" s="470"/>
      <c r="O1325" s="459"/>
      <c r="P1325" s="767">
        <f>MAX($P$5:P1324)+1</f>
        <v>221</v>
      </c>
      <c r="Q1325" s="80" t="s">
        <v>3243</v>
      </c>
    </row>
    <row r="1326" spans="2:17" ht="15.2" customHeight="1">
      <c r="B1326" s="766" t="s">
        <v>1387</v>
      </c>
      <c r="C1326" s="766"/>
      <c r="D1326" s="84" t="s">
        <v>310</v>
      </c>
      <c r="E1326" s="87">
        <v>1</v>
      </c>
      <c r="F1326" s="86" t="s">
        <v>453</v>
      </c>
      <c r="G1326" s="470">
        <f>중기사용료!$M$378</f>
        <v>19695</v>
      </c>
      <c r="H1326" s="470">
        <f>TRUNC(E1326*G1326,0)</f>
        <v>19695</v>
      </c>
      <c r="I1326" s="470">
        <f>중기사용료!$M$372</f>
        <v>27168</v>
      </c>
      <c r="J1326" s="470">
        <f>TRUNC(I1326*E1326,0)</f>
        <v>27168</v>
      </c>
      <c r="K1326" s="470">
        <f>중기사용료!$M$366</f>
        <v>30420</v>
      </c>
      <c r="L1326" s="470">
        <f>TRUNC(K1326*E1326,0)</f>
        <v>30420</v>
      </c>
      <c r="M1326" s="470">
        <f>G1326+I1326+K1326</f>
        <v>77283</v>
      </c>
      <c r="N1326" s="470">
        <f>H1326+J1326+L1326</f>
        <v>77283</v>
      </c>
      <c r="O1326" s="460">
        <f>중기사용료!$A$363</f>
        <v>20</v>
      </c>
      <c r="P1326" s="767"/>
    </row>
    <row r="1327" spans="2:17" ht="15.2" customHeight="1">
      <c r="B1327" s="766" t="s">
        <v>855</v>
      </c>
      <c r="C1327" s="766"/>
      <c r="D1327" s="84"/>
      <c r="E1327" s="87"/>
      <c r="F1327" s="86"/>
      <c r="G1327" s="470"/>
      <c r="H1327" s="470">
        <f>SUM(H1326:H1326)</f>
        <v>19695</v>
      </c>
      <c r="I1327" s="470"/>
      <c r="J1327" s="470">
        <f>SUM(J1326:J1326)</f>
        <v>27168</v>
      </c>
      <c r="K1327" s="470"/>
      <c r="L1327" s="470">
        <f>SUM(L1326:L1326)</f>
        <v>30420</v>
      </c>
      <c r="M1327" s="470"/>
      <c r="N1327" s="470">
        <f>SUM(N1326:N1326)</f>
        <v>77283</v>
      </c>
      <c r="O1327" s="459"/>
      <c r="P1327" s="767"/>
      <c r="Q1327" s="80" t="s">
        <v>3244</v>
      </c>
    </row>
    <row r="1328" spans="2:17" ht="15.2" customHeight="1">
      <c r="B1328" s="96">
        <f>P1328</f>
        <v>222</v>
      </c>
      <c r="C1328" s="770" t="s">
        <v>311</v>
      </c>
      <c r="D1328" s="770"/>
      <c r="E1328" s="770"/>
      <c r="F1328" s="771"/>
      <c r="G1328" s="470"/>
      <c r="H1328" s="470"/>
      <c r="I1328" s="470"/>
      <c r="J1328" s="470"/>
      <c r="K1328" s="470"/>
      <c r="L1328" s="470"/>
      <c r="M1328" s="470"/>
      <c r="N1328" s="470"/>
      <c r="O1328" s="459"/>
      <c r="P1328" s="767">
        <f>MAX($P$5:P1327)+1</f>
        <v>222</v>
      </c>
      <c r="Q1328" s="80" t="s">
        <v>3243</v>
      </c>
    </row>
    <row r="1329" spans="2:17" ht="15.2" customHeight="1">
      <c r="B1329" s="766" t="s">
        <v>1051</v>
      </c>
      <c r="C1329" s="766"/>
      <c r="D1329" s="84" t="s">
        <v>1052</v>
      </c>
      <c r="E1329" s="87">
        <v>1</v>
      </c>
      <c r="F1329" s="86" t="s">
        <v>453</v>
      </c>
      <c r="G1329" s="470">
        <f>중기사용료!$M$397</f>
        <v>5619</v>
      </c>
      <c r="H1329" s="470">
        <f>TRUNC(E1329*G1329,0)</f>
        <v>5619</v>
      </c>
      <c r="I1329" s="470">
        <f>중기사용료!$M$391</f>
        <v>27168</v>
      </c>
      <c r="J1329" s="470">
        <f>TRUNC(I1329*E1329,0)</f>
        <v>27168</v>
      </c>
      <c r="K1329" s="470">
        <f>중기사용료!$M$385</f>
        <v>5767</v>
      </c>
      <c r="L1329" s="470">
        <f>TRUNC(K1329*E1329,0)</f>
        <v>5767</v>
      </c>
      <c r="M1329" s="470">
        <f>G1329+I1329+K1329</f>
        <v>38554</v>
      </c>
      <c r="N1329" s="470">
        <f>H1329+J1329+L1329</f>
        <v>38554</v>
      </c>
      <c r="O1329" s="460">
        <f>중기사용료!$A$382</f>
        <v>21</v>
      </c>
      <c r="P1329" s="767"/>
    </row>
    <row r="1330" spans="2:17" ht="15.2" customHeight="1">
      <c r="B1330" s="766" t="s">
        <v>855</v>
      </c>
      <c r="C1330" s="766"/>
      <c r="D1330" s="84"/>
      <c r="E1330" s="87"/>
      <c r="F1330" s="86"/>
      <c r="G1330" s="470"/>
      <c r="H1330" s="470">
        <f>SUM(H1329:H1329)</f>
        <v>5619</v>
      </c>
      <c r="I1330" s="470"/>
      <c r="J1330" s="470">
        <f>SUM(J1329:J1329)</f>
        <v>27168</v>
      </c>
      <c r="K1330" s="470"/>
      <c r="L1330" s="470">
        <f>SUM(L1329:L1329)</f>
        <v>5767</v>
      </c>
      <c r="M1330" s="470"/>
      <c r="N1330" s="470">
        <f>SUM(N1329:N1329)</f>
        <v>38554</v>
      </c>
      <c r="O1330" s="459"/>
      <c r="P1330" s="767"/>
      <c r="Q1330" s="80" t="s">
        <v>3244</v>
      </c>
    </row>
    <row r="1331" spans="2:17" ht="15.2" customHeight="1">
      <c r="B1331" s="96">
        <f>P1331</f>
        <v>223</v>
      </c>
      <c r="C1331" s="770" t="s">
        <v>312</v>
      </c>
      <c r="D1331" s="770"/>
      <c r="E1331" s="770"/>
      <c r="F1331" s="771"/>
      <c r="G1331" s="470"/>
      <c r="H1331" s="470"/>
      <c r="I1331" s="470"/>
      <c r="J1331" s="470"/>
      <c r="K1331" s="470"/>
      <c r="L1331" s="470"/>
      <c r="M1331" s="470"/>
      <c r="N1331" s="470"/>
      <c r="O1331" s="459"/>
      <c r="P1331" s="767">
        <f>MAX($P$5:P1330)+1</f>
        <v>223</v>
      </c>
      <c r="Q1331" s="80" t="s">
        <v>3243</v>
      </c>
    </row>
    <row r="1332" spans="2:17" ht="15.2" customHeight="1">
      <c r="B1332" s="766" t="s">
        <v>1051</v>
      </c>
      <c r="C1332" s="766"/>
      <c r="D1332" s="84" t="s">
        <v>308</v>
      </c>
      <c r="E1332" s="87">
        <v>1</v>
      </c>
      <c r="F1332" s="86" t="s">
        <v>453</v>
      </c>
      <c r="G1332" s="470">
        <f>중기사용료!$M$416</f>
        <v>12362</v>
      </c>
      <c r="H1332" s="470">
        <f>TRUNC(E1332*G1332,0)</f>
        <v>12362</v>
      </c>
      <c r="I1332" s="470">
        <f>중기사용료!$M$410</f>
        <v>27168</v>
      </c>
      <c r="J1332" s="470">
        <f>TRUNC(I1332*E1332,0)</f>
        <v>27168</v>
      </c>
      <c r="K1332" s="470">
        <f>중기사용료!$M$404</f>
        <v>15219</v>
      </c>
      <c r="L1332" s="470">
        <f>TRUNC(K1332*E1332,0)</f>
        <v>15219</v>
      </c>
      <c r="M1332" s="470">
        <f>G1332+I1332+K1332</f>
        <v>54749</v>
      </c>
      <c r="N1332" s="470">
        <f>H1332+J1332+L1332</f>
        <v>54749</v>
      </c>
      <c r="O1332" s="460">
        <f>중기사용료!$A$401</f>
        <v>22</v>
      </c>
      <c r="P1332" s="767"/>
    </row>
    <row r="1333" spans="2:17" ht="15.2" customHeight="1">
      <c r="B1333" s="766" t="s">
        <v>855</v>
      </c>
      <c r="C1333" s="766"/>
      <c r="D1333" s="84"/>
      <c r="E1333" s="87"/>
      <c r="F1333" s="86"/>
      <c r="G1333" s="470"/>
      <c r="H1333" s="470">
        <f>SUM(H1332:H1332)</f>
        <v>12362</v>
      </c>
      <c r="I1333" s="470"/>
      <c r="J1333" s="470">
        <f>SUM(J1332:J1332)</f>
        <v>27168</v>
      </c>
      <c r="K1333" s="470"/>
      <c r="L1333" s="470">
        <f>SUM(L1332:L1332)</f>
        <v>15219</v>
      </c>
      <c r="M1333" s="470"/>
      <c r="N1333" s="470">
        <f>SUM(N1332:N1332)</f>
        <v>54749</v>
      </c>
      <c r="O1333" s="459"/>
      <c r="P1333" s="767"/>
      <c r="Q1333" s="80" t="s">
        <v>3244</v>
      </c>
    </row>
    <row r="1334" spans="2:17" ht="15.2" customHeight="1">
      <c r="B1334" s="96">
        <f>P1334</f>
        <v>224</v>
      </c>
      <c r="C1334" s="770" t="s">
        <v>313</v>
      </c>
      <c r="D1334" s="770"/>
      <c r="E1334" s="770"/>
      <c r="F1334" s="771"/>
      <c r="G1334" s="470"/>
      <c r="H1334" s="470"/>
      <c r="I1334" s="470"/>
      <c r="J1334" s="470"/>
      <c r="K1334" s="470"/>
      <c r="L1334" s="470"/>
      <c r="M1334" s="470"/>
      <c r="N1334" s="470"/>
      <c r="O1334" s="459"/>
      <c r="P1334" s="767">
        <f>MAX($P$5:P1333)+1</f>
        <v>224</v>
      </c>
      <c r="Q1334" s="80" t="s">
        <v>3243</v>
      </c>
    </row>
    <row r="1335" spans="2:17" ht="15.2" customHeight="1">
      <c r="B1335" s="766" t="s">
        <v>1051</v>
      </c>
      <c r="C1335" s="766"/>
      <c r="D1335" s="84" t="s">
        <v>310</v>
      </c>
      <c r="E1335" s="87">
        <v>1</v>
      </c>
      <c r="F1335" s="86" t="s">
        <v>453</v>
      </c>
      <c r="G1335" s="470">
        <f>중기사용료!$M$435</f>
        <v>15733</v>
      </c>
      <c r="H1335" s="470">
        <f>TRUNC(E1335*G1335,0)</f>
        <v>15733</v>
      </c>
      <c r="I1335" s="470">
        <f>중기사용료!$M$429</f>
        <v>27168</v>
      </c>
      <c r="J1335" s="470">
        <f>TRUNC(I1335*E1335,0)</f>
        <v>27168</v>
      </c>
      <c r="K1335" s="470">
        <f>중기사용료!$M$423</f>
        <v>19407</v>
      </c>
      <c r="L1335" s="470">
        <f>TRUNC(K1335*E1335,0)</f>
        <v>19407</v>
      </c>
      <c r="M1335" s="470">
        <f>G1335+I1335+K1335</f>
        <v>62308</v>
      </c>
      <c r="N1335" s="470">
        <f>H1335+J1335+L1335</f>
        <v>62308</v>
      </c>
      <c r="O1335" s="460">
        <f>중기사용료!$A$420</f>
        <v>23</v>
      </c>
      <c r="P1335" s="767"/>
    </row>
    <row r="1336" spans="2:17" ht="15.2" customHeight="1">
      <c r="B1336" s="766" t="s">
        <v>855</v>
      </c>
      <c r="C1336" s="766"/>
      <c r="D1336" s="84"/>
      <c r="E1336" s="87"/>
      <c r="F1336" s="86"/>
      <c r="G1336" s="470"/>
      <c r="H1336" s="470">
        <f>SUM(H1335:H1335)</f>
        <v>15733</v>
      </c>
      <c r="I1336" s="470"/>
      <c r="J1336" s="470">
        <f>SUM(J1335:J1335)</f>
        <v>27168</v>
      </c>
      <c r="K1336" s="470"/>
      <c r="L1336" s="470">
        <f>SUM(L1335:L1335)</f>
        <v>19407</v>
      </c>
      <c r="M1336" s="470"/>
      <c r="N1336" s="470">
        <f>SUM(N1335:N1335)</f>
        <v>62308</v>
      </c>
      <c r="O1336" s="459"/>
      <c r="P1336" s="767"/>
      <c r="Q1336" s="80" t="s">
        <v>3244</v>
      </c>
    </row>
    <row r="1337" spans="2:17" ht="15.2" customHeight="1">
      <c r="B1337" s="96">
        <f>P1337</f>
        <v>225</v>
      </c>
      <c r="C1337" s="770" t="s">
        <v>314</v>
      </c>
      <c r="D1337" s="770"/>
      <c r="E1337" s="770"/>
      <c r="F1337" s="771"/>
      <c r="G1337" s="470"/>
      <c r="H1337" s="470"/>
      <c r="I1337" s="470"/>
      <c r="J1337" s="470"/>
      <c r="K1337" s="470"/>
      <c r="L1337" s="470"/>
      <c r="M1337" s="470"/>
      <c r="N1337" s="470"/>
      <c r="O1337" s="459"/>
      <c r="P1337" s="767">
        <f>MAX($P$5:P1336)+1</f>
        <v>225</v>
      </c>
      <c r="Q1337" s="80" t="s">
        <v>3243</v>
      </c>
    </row>
    <row r="1338" spans="2:17" ht="15.2" customHeight="1">
      <c r="B1338" s="766" t="s">
        <v>1317</v>
      </c>
      <c r="C1338" s="766"/>
      <c r="D1338" s="84" t="s">
        <v>1318</v>
      </c>
      <c r="E1338" s="87">
        <v>1</v>
      </c>
      <c r="F1338" s="86" t="s">
        <v>453</v>
      </c>
      <c r="G1338" s="470">
        <f>중기사용료!$M$454</f>
        <v>25105</v>
      </c>
      <c r="H1338" s="470">
        <f>TRUNC(E1338*G1338,0)</f>
        <v>25105</v>
      </c>
      <c r="I1338" s="470">
        <f>중기사용료!$M$448</f>
        <v>27168</v>
      </c>
      <c r="J1338" s="470">
        <f>TRUNC(I1338*E1338,0)</f>
        <v>27168</v>
      </c>
      <c r="K1338" s="470">
        <f>중기사용료!$M$442</f>
        <v>33896</v>
      </c>
      <c r="L1338" s="470">
        <f>TRUNC(K1338*E1338,0)</f>
        <v>33896</v>
      </c>
      <c r="M1338" s="470">
        <f>G1338+I1338+K1338</f>
        <v>86169</v>
      </c>
      <c r="N1338" s="470">
        <f>H1338+J1338+L1338</f>
        <v>86169</v>
      </c>
      <c r="O1338" s="460">
        <f>중기사용료!$A$439</f>
        <v>24</v>
      </c>
      <c r="P1338" s="767"/>
    </row>
    <row r="1339" spans="2:17" ht="15.2" customHeight="1">
      <c r="B1339" s="766" t="s">
        <v>855</v>
      </c>
      <c r="C1339" s="766"/>
      <c r="D1339" s="84"/>
      <c r="E1339" s="87"/>
      <c r="F1339" s="86"/>
      <c r="G1339" s="470"/>
      <c r="H1339" s="470">
        <f>SUM(H1338:H1338)</f>
        <v>25105</v>
      </c>
      <c r="I1339" s="470"/>
      <c r="J1339" s="470">
        <f>SUM(J1338:J1338)</f>
        <v>27168</v>
      </c>
      <c r="K1339" s="470"/>
      <c r="L1339" s="470">
        <f>SUM(L1338:L1338)</f>
        <v>33896</v>
      </c>
      <c r="M1339" s="470"/>
      <c r="N1339" s="470">
        <f>SUM(N1338:N1338)</f>
        <v>86169</v>
      </c>
      <c r="O1339" s="459"/>
      <c r="P1339" s="767"/>
      <c r="Q1339" s="80" t="s">
        <v>3244</v>
      </c>
    </row>
    <row r="1340" spans="2:17" ht="15.2" customHeight="1">
      <c r="B1340" s="96">
        <f>P1340</f>
        <v>226</v>
      </c>
      <c r="C1340" s="770" t="s">
        <v>315</v>
      </c>
      <c r="D1340" s="770"/>
      <c r="E1340" s="770"/>
      <c r="F1340" s="771"/>
      <c r="G1340" s="470"/>
      <c r="H1340" s="470"/>
      <c r="I1340" s="470"/>
      <c r="J1340" s="470"/>
      <c r="K1340" s="470"/>
      <c r="L1340" s="470"/>
      <c r="M1340" s="470"/>
      <c r="N1340" s="470"/>
      <c r="O1340" s="459"/>
      <c r="P1340" s="767">
        <f>MAX($P$5:P1339)+1</f>
        <v>226</v>
      </c>
      <c r="Q1340" s="80" t="s">
        <v>3243</v>
      </c>
    </row>
    <row r="1341" spans="2:17" ht="15.2" customHeight="1">
      <c r="B1341" s="766" t="s">
        <v>1389</v>
      </c>
      <c r="C1341" s="766"/>
      <c r="D1341" s="84" t="s">
        <v>1390</v>
      </c>
      <c r="E1341" s="87">
        <v>1</v>
      </c>
      <c r="F1341" s="86" t="s">
        <v>453</v>
      </c>
      <c r="G1341" s="470">
        <f>중기사용료!$M$473</f>
        <v>4461</v>
      </c>
      <c r="H1341" s="470">
        <f>TRUNC(E1341*G1341,0)</f>
        <v>4461</v>
      </c>
      <c r="I1341" s="470">
        <f>중기사용료!$M$467</f>
        <v>24483</v>
      </c>
      <c r="J1341" s="470">
        <f>TRUNC(I1341*E1341,0)</f>
        <v>24483</v>
      </c>
      <c r="K1341" s="470">
        <f>중기사용료!$M$461</f>
        <v>5567</v>
      </c>
      <c r="L1341" s="470">
        <f>TRUNC(K1341*E1341,0)</f>
        <v>5567</v>
      </c>
      <c r="M1341" s="470">
        <f>G1341+I1341+K1341</f>
        <v>34511</v>
      </c>
      <c r="N1341" s="470">
        <f>H1341+J1341+L1341</f>
        <v>34511</v>
      </c>
      <c r="O1341" s="460">
        <f>중기사용료!$A$458</f>
        <v>25</v>
      </c>
      <c r="P1341" s="767"/>
    </row>
    <row r="1342" spans="2:17" ht="15.2" customHeight="1">
      <c r="B1342" s="766" t="s">
        <v>855</v>
      </c>
      <c r="C1342" s="766"/>
      <c r="D1342" s="84"/>
      <c r="E1342" s="87"/>
      <c r="F1342" s="86"/>
      <c r="G1342" s="470"/>
      <c r="H1342" s="470">
        <f>SUM(H1341:H1341)</f>
        <v>4461</v>
      </c>
      <c r="I1342" s="470"/>
      <c r="J1342" s="470">
        <f>SUM(J1341:J1341)</f>
        <v>24483</v>
      </c>
      <c r="K1342" s="470"/>
      <c r="L1342" s="470">
        <f>SUM(L1341:L1341)</f>
        <v>5567</v>
      </c>
      <c r="M1342" s="470"/>
      <c r="N1342" s="470">
        <f>SUM(N1341:N1341)</f>
        <v>34511</v>
      </c>
      <c r="O1342" s="459"/>
      <c r="P1342" s="767"/>
      <c r="Q1342" s="80" t="s">
        <v>3244</v>
      </c>
    </row>
    <row r="1343" spans="2:17" ht="15.2" customHeight="1">
      <c r="B1343" s="96">
        <f>P1343</f>
        <v>227</v>
      </c>
      <c r="C1343" s="770" t="s">
        <v>316</v>
      </c>
      <c r="D1343" s="770"/>
      <c r="E1343" s="770"/>
      <c r="F1343" s="771"/>
      <c r="G1343" s="470"/>
      <c r="H1343" s="470"/>
      <c r="I1343" s="470"/>
      <c r="J1343" s="470"/>
      <c r="K1343" s="470"/>
      <c r="L1343" s="470"/>
      <c r="M1343" s="470"/>
      <c r="N1343" s="470"/>
      <c r="O1343" s="459"/>
      <c r="P1343" s="767">
        <f>MAX($P$5:P1342)+1</f>
        <v>227</v>
      </c>
      <c r="Q1343" s="80" t="s">
        <v>3243</v>
      </c>
    </row>
    <row r="1344" spans="2:17" ht="15.2" customHeight="1">
      <c r="B1344" s="766" t="s">
        <v>1389</v>
      </c>
      <c r="C1344" s="766"/>
      <c r="D1344" s="84" t="s">
        <v>90</v>
      </c>
      <c r="E1344" s="87">
        <v>1</v>
      </c>
      <c r="F1344" s="86" t="s">
        <v>453</v>
      </c>
      <c r="G1344" s="470">
        <f>중기사용료!$M$492</f>
        <v>7692</v>
      </c>
      <c r="H1344" s="470">
        <f>TRUNC(E1344*G1344,0)</f>
        <v>7692</v>
      </c>
      <c r="I1344" s="470">
        <f>중기사용료!$M$486</f>
        <v>24483</v>
      </c>
      <c r="J1344" s="470">
        <f>TRUNC(I1344*E1344,0)</f>
        <v>24483</v>
      </c>
      <c r="K1344" s="470">
        <f>중기사용료!$M$480</f>
        <v>6499</v>
      </c>
      <c r="L1344" s="470">
        <f>TRUNC(K1344*E1344,0)</f>
        <v>6499</v>
      </c>
      <c r="M1344" s="470">
        <f>G1344+I1344+K1344</f>
        <v>38674</v>
      </c>
      <c r="N1344" s="470">
        <f>H1344+J1344+L1344</f>
        <v>38674</v>
      </c>
      <c r="O1344" s="460">
        <f>중기사용료!$A$477</f>
        <v>26</v>
      </c>
      <c r="P1344" s="767"/>
    </row>
    <row r="1345" spans="2:17" ht="15.2" customHeight="1">
      <c r="B1345" s="766" t="s">
        <v>855</v>
      </c>
      <c r="C1345" s="766"/>
      <c r="D1345" s="84"/>
      <c r="E1345" s="87"/>
      <c r="F1345" s="86"/>
      <c r="G1345" s="470"/>
      <c r="H1345" s="470">
        <f>SUM(H1344:H1344)</f>
        <v>7692</v>
      </c>
      <c r="I1345" s="470"/>
      <c r="J1345" s="470">
        <f>SUM(J1344:J1344)</f>
        <v>24483</v>
      </c>
      <c r="K1345" s="470"/>
      <c r="L1345" s="470">
        <f>SUM(L1344:L1344)</f>
        <v>6499</v>
      </c>
      <c r="M1345" s="470"/>
      <c r="N1345" s="470">
        <f>SUM(N1344:N1344)</f>
        <v>38674</v>
      </c>
      <c r="O1345" s="459"/>
      <c r="P1345" s="767"/>
      <c r="Q1345" s="80" t="s">
        <v>3244</v>
      </c>
    </row>
    <row r="1346" spans="2:17" ht="15.2" customHeight="1">
      <c r="B1346" s="96">
        <f>P1346</f>
        <v>228</v>
      </c>
      <c r="C1346" s="770" t="s">
        <v>317</v>
      </c>
      <c r="D1346" s="770"/>
      <c r="E1346" s="770"/>
      <c r="F1346" s="771"/>
      <c r="G1346" s="470"/>
      <c r="H1346" s="470"/>
      <c r="I1346" s="470"/>
      <c r="J1346" s="470"/>
      <c r="K1346" s="470"/>
      <c r="L1346" s="470"/>
      <c r="M1346" s="470"/>
      <c r="N1346" s="470"/>
      <c r="O1346" s="459"/>
      <c r="P1346" s="767">
        <f>MAX($P$5:P1345)+1</f>
        <v>228</v>
      </c>
      <c r="Q1346" s="80" t="s">
        <v>3243</v>
      </c>
    </row>
    <row r="1347" spans="2:17" ht="15.2" customHeight="1">
      <c r="B1347" s="766" t="s">
        <v>1389</v>
      </c>
      <c r="C1347" s="766"/>
      <c r="D1347" s="84" t="s">
        <v>1391</v>
      </c>
      <c r="E1347" s="87">
        <v>1</v>
      </c>
      <c r="F1347" s="86" t="s">
        <v>453</v>
      </c>
      <c r="G1347" s="470">
        <f>중기사용료!$M$511</f>
        <v>14308</v>
      </c>
      <c r="H1347" s="470">
        <f>TRUNC(E1347*G1347,0)</f>
        <v>14308</v>
      </c>
      <c r="I1347" s="470">
        <f>중기사용료!$M$505</f>
        <v>24483</v>
      </c>
      <c r="J1347" s="470">
        <f>TRUNC(I1347*E1347,0)</f>
        <v>24483</v>
      </c>
      <c r="K1347" s="470">
        <f>중기사용료!$M$499</f>
        <v>8990</v>
      </c>
      <c r="L1347" s="470">
        <f>TRUNC(K1347*E1347,0)</f>
        <v>8990</v>
      </c>
      <c r="M1347" s="470">
        <f>G1347+I1347+K1347</f>
        <v>47781</v>
      </c>
      <c r="N1347" s="470">
        <f>H1347+J1347+L1347</f>
        <v>47781</v>
      </c>
      <c r="O1347" s="460">
        <f>중기사용료!$A$496</f>
        <v>27</v>
      </c>
      <c r="P1347" s="767"/>
    </row>
    <row r="1348" spans="2:17" ht="15.2" customHeight="1">
      <c r="B1348" s="766" t="s">
        <v>855</v>
      </c>
      <c r="C1348" s="766"/>
      <c r="D1348" s="84"/>
      <c r="E1348" s="87"/>
      <c r="F1348" s="86"/>
      <c r="G1348" s="470"/>
      <c r="H1348" s="470">
        <f>SUM(H1347:H1347)</f>
        <v>14308</v>
      </c>
      <c r="I1348" s="470"/>
      <c r="J1348" s="470">
        <f>SUM(J1347:J1347)</f>
        <v>24483</v>
      </c>
      <c r="K1348" s="470"/>
      <c r="L1348" s="470">
        <f>SUM(L1347:L1347)</f>
        <v>8990</v>
      </c>
      <c r="M1348" s="470"/>
      <c r="N1348" s="470">
        <f>SUM(N1347:N1347)</f>
        <v>47781</v>
      </c>
      <c r="O1348" s="459"/>
      <c r="P1348" s="767"/>
      <c r="Q1348" s="80" t="s">
        <v>3244</v>
      </c>
    </row>
    <row r="1349" spans="2:17" ht="15.2" customHeight="1">
      <c r="B1349" s="96">
        <f>P1349</f>
        <v>229</v>
      </c>
      <c r="C1349" s="770" t="s">
        <v>318</v>
      </c>
      <c r="D1349" s="770"/>
      <c r="E1349" s="770"/>
      <c r="F1349" s="771"/>
      <c r="G1349" s="470"/>
      <c r="H1349" s="470"/>
      <c r="I1349" s="470"/>
      <c r="J1349" s="470"/>
      <c r="K1349" s="470"/>
      <c r="L1349" s="470"/>
      <c r="M1349" s="470"/>
      <c r="N1349" s="470"/>
      <c r="O1349" s="459"/>
      <c r="P1349" s="767">
        <f>MAX($P$5:P1348)+1</f>
        <v>229</v>
      </c>
      <c r="Q1349" s="80" t="s">
        <v>3243</v>
      </c>
    </row>
    <row r="1350" spans="2:17" ht="15.2" customHeight="1">
      <c r="B1350" s="766" t="s">
        <v>1389</v>
      </c>
      <c r="C1350" s="766"/>
      <c r="D1350" s="84" t="s">
        <v>1392</v>
      </c>
      <c r="E1350" s="87">
        <v>1</v>
      </c>
      <c r="F1350" s="86" t="s">
        <v>453</v>
      </c>
      <c r="G1350" s="470">
        <f>중기사용료!$M$530</f>
        <v>24463</v>
      </c>
      <c r="H1350" s="470">
        <f>TRUNC(E1350*G1350,0)</f>
        <v>24463</v>
      </c>
      <c r="I1350" s="470">
        <f>중기사용료!$M$524</f>
        <v>27168</v>
      </c>
      <c r="J1350" s="470">
        <f>TRUNC(I1350*E1350,0)</f>
        <v>27168</v>
      </c>
      <c r="K1350" s="470">
        <f>중기사용료!$M$518</f>
        <v>17612</v>
      </c>
      <c r="L1350" s="470">
        <f>TRUNC(K1350*E1350,0)</f>
        <v>17612</v>
      </c>
      <c r="M1350" s="470">
        <f>G1350+I1350+K1350</f>
        <v>69243</v>
      </c>
      <c r="N1350" s="470">
        <f>H1350+J1350+L1350</f>
        <v>69243</v>
      </c>
      <c r="O1350" s="460">
        <f>중기사용료!$A$515</f>
        <v>28</v>
      </c>
      <c r="P1350" s="767"/>
    </row>
    <row r="1351" spans="2:17" ht="15.2" customHeight="1">
      <c r="B1351" s="766" t="s">
        <v>855</v>
      </c>
      <c r="C1351" s="766"/>
      <c r="D1351" s="84"/>
      <c r="E1351" s="87"/>
      <c r="F1351" s="86"/>
      <c r="G1351" s="470"/>
      <c r="H1351" s="470">
        <f>SUM(H1350:H1350)</f>
        <v>24463</v>
      </c>
      <c r="I1351" s="470"/>
      <c r="J1351" s="470">
        <f>SUM(J1350:J1350)</f>
        <v>27168</v>
      </c>
      <c r="K1351" s="470"/>
      <c r="L1351" s="470">
        <f>SUM(L1350:L1350)</f>
        <v>17612</v>
      </c>
      <c r="M1351" s="470"/>
      <c r="N1351" s="470">
        <f>SUM(N1350:N1350)</f>
        <v>69243</v>
      </c>
      <c r="O1351" s="459"/>
      <c r="P1351" s="767"/>
      <c r="Q1351" s="80" t="s">
        <v>3244</v>
      </c>
    </row>
    <row r="1352" spans="2:17" ht="15.2" customHeight="1">
      <c r="B1352" s="96">
        <f>P1352</f>
        <v>230</v>
      </c>
      <c r="C1352" s="770" t="s">
        <v>2000</v>
      </c>
      <c r="D1352" s="770"/>
      <c r="E1352" s="770"/>
      <c r="F1352" s="771"/>
      <c r="G1352" s="470"/>
      <c r="H1352" s="470"/>
      <c r="I1352" s="470"/>
      <c r="J1352" s="470"/>
      <c r="K1352" s="470"/>
      <c r="L1352" s="470"/>
      <c r="M1352" s="470"/>
      <c r="N1352" s="470"/>
      <c r="O1352" s="459"/>
      <c r="P1352" s="767">
        <f>MAX($P$5:P1351)+1</f>
        <v>230</v>
      </c>
      <c r="Q1352" s="80" t="s">
        <v>3243</v>
      </c>
    </row>
    <row r="1353" spans="2:17" ht="15.2" customHeight="1">
      <c r="B1353" s="766" t="s">
        <v>3317</v>
      </c>
      <c r="C1353" s="766"/>
      <c r="D1353" s="84" t="s">
        <v>3318</v>
      </c>
      <c r="E1353" s="87">
        <v>1</v>
      </c>
      <c r="F1353" s="86" t="s">
        <v>453</v>
      </c>
      <c r="G1353" s="470">
        <f>중기사용료!$M$549</f>
        <v>30771</v>
      </c>
      <c r="H1353" s="470">
        <f>TRUNC(E1353*G1353,0)</f>
        <v>30771</v>
      </c>
      <c r="I1353" s="470">
        <f>중기사용료!$M$543</f>
        <v>27168</v>
      </c>
      <c r="J1353" s="470">
        <f>TRUNC(I1353*E1353,0)</f>
        <v>27168</v>
      </c>
      <c r="K1353" s="470">
        <f>중기사용료!$M$537</f>
        <v>24402</v>
      </c>
      <c r="L1353" s="470">
        <f>TRUNC(K1353*E1353,0)</f>
        <v>24402</v>
      </c>
      <c r="M1353" s="470">
        <f>G1353+I1353+K1353</f>
        <v>82341</v>
      </c>
      <c r="N1353" s="470">
        <f>H1353+J1353+L1353</f>
        <v>82341</v>
      </c>
      <c r="O1353" s="460">
        <f>중기사용료!$A$534</f>
        <v>29</v>
      </c>
      <c r="P1353" s="767"/>
    </row>
    <row r="1354" spans="2:17" ht="15.2" customHeight="1">
      <c r="B1354" s="766" t="s">
        <v>855</v>
      </c>
      <c r="C1354" s="766"/>
      <c r="D1354" s="84"/>
      <c r="E1354" s="87"/>
      <c r="F1354" s="86"/>
      <c r="G1354" s="470"/>
      <c r="H1354" s="470">
        <f>SUM(H1353:H1353)</f>
        <v>30771</v>
      </c>
      <c r="I1354" s="470"/>
      <c r="J1354" s="470">
        <f>SUM(J1353:J1353)</f>
        <v>27168</v>
      </c>
      <c r="K1354" s="470"/>
      <c r="L1354" s="470">
        <f>SUM(L1353:L1353)</f>
        <v>24402</v>
      </c>
      <c r="M1354" s="470"/>
      <c r="N1354" s="470">
        <f>SUM(N1353:N1353)</f>
        <v>82341</v>
      </c>
      <c r="O1354" s="459"/>
      <c r="P1354" s="767"/>
      <c r="Q1354" s="80" t="s">
        <v>3244</v>
      </c>
    </row>
    <row r="1355" spans="2:17" ht="15.2" customHeight="1">
      <c r="B1355" s="96">
        <f>P1355</f>
        <v>231</v>
      </c>
      <c r="C1355" s="770" t="s">
        <v>2001</v>
      </c>
      <c r="D1355" s="770"/>
      <c r="E1355" s="770"/>
      <c r="F1355" s="771"/>
      <c r="G1355" s="470"/>
      <c r="H1355" s="470"/>
      <c r="I1355" s="470"/>
      <c r="J1355" s="470"/>
      <c r="K1355" s="470"/>
      <c r="L1355" s="470"/>
      <c r="M1355" s="470"/>
      <c r="N1355" s="470"/>
      <c r="O1355" s="459"/>
      <c r="P1355" s="767">
        <f>MAX($P$5:P1354)+1</f>
        <v>231</v>
      </c>
      <c r="Q1355" s="80" t="s">
        <v>3243</v>
      </c>
    </row>
    <row r="1356" spans="2:17" ht="15.2" customHeight="1">
      <c r="B1356" s="766" t="s">
        <v>3317</v>
      </c>
      <c r="C1356" s="766"/>
      <c r="D1356" s="84" t="s">
        <v>3319</v>
      </c>
      <c r="E1356" s="87">
        <v>1</v>
      </c>
      <c r="F1356" s="86" t="s">
        <v>453</v>
      </c>
      <c r="G1356" s="470">
        <f>중기사용료!$M$568</f>
        <v>35386</v>
      </c>
      <c r="H1356" s="470">
        <f>TRUNC(E1356*G1356,0)</f>
        <v>35386</v>
      </c>
      <c r="I1356" s="470">
        <f>중기사용료!$M$562</f>
        <v>27168</v>
      </c>
      <c r="J1356" s="470">
        <f>TRUNC(I1356*E1356,0)</f>
        <v>27168</v>
      </c>
      <c r="K1356" s="470">
        <f>중기사용료!$M$556</f>
        <v>28703</v>
      </c>
      <c r="L1356" s="470">
        <f>TRUNC(K1356*E1356,0)</f>
        <v>28703</v>
      </c>
      <c r="M1356" s="470">
        <f>G1356+I1356+K1356</f>
        <v>91257</v>
      </c>
      <c r="N1356" s="470">
        <f>H1356+J1356+L1356</f>
        <v>91257</v>
      </c>
      <c r="O1356" s="460">
        <f>중기사용료!$A$553</f>
        <v>30</v>
      </c>
      <c r="P1356" s="767"/>
    </row>
    <row r="1357" spans="2:17" ht="15.2" customHeight="1">
      <c r="B1357" s="766" t="s">
        <v>855</v>
      </c>
      <c r="C1357" s="766"/>
      <c r="D1357" s="84"/>
      <c r="E1357" s="87"/>
      <c r="F1357" s="86"/>
      <c r="G1357" s="470"/>
      <c r="H1357" s="470">
        <f>SUM(H1356:H1356)</f>
        <v>35386</v>
      </c>
      <c r="I1357" s="470"/>
      <c r="J1357" s="470">
        <f>SUM(J1356:J1356)</f>
        <v>27168</v>
      </c>
      <c r="K1357" s="470"/>
      <c r="L1357" s="470">
        <f>SUM(L1356:L1356)</f>
        <v>28703</v>
      </c>
      <c r="M1357" s="470"/>
      <c r="N1357" s="470">
        <f>SUM(N1356:N1356)</f>
        <v>91257</v>
      </c>
      <c r="O1357" s="459"/>
      <c r="P1357" s="767"/>
      <c r="Q1357" s="80" t="s">
        <v>3244</v>
      </c>
    </row>
    <row r="1358" spans="2:17" ht="15.2" customHeight="1">
      <c r="B1358" s="96">
        <f>P1358</f>
        <v>232</v>
      </c>
      <c r="C1358" s="770" t="s">
        <v>2410</v>
      </c>
      <c r="D1358" s="770"/>
      <c r="E1358" s="770"/>
      <c r="F1358" s="771"/>
      <c r="G1358" s="470"/>
      <c r="H1358" s="470"/>
      <c r="I1358" s="470"/>
      <c r="J1358" s="470"/>
      <c r="K1358" s="470"/>
      <c r="L1358" s="470"/>
      <c r="M1358" s="470"/>
      <c r="N1358" s="470"/>
      <c r="O1358" s="459"/>
      <c r="P1358" s="767">
        <f>MAX($P$5:P1357)+1</f>
        <v>232</v>
      </c>
      <c r="Q1358" s="80" t="s">
        <v>3243</v>
      </c>
    </row>
    <row r="1359" spans="2:17" ht="15.2" customHeight="1">
      <c r="B1359" s="766" t="s">
        <v>1394</v>
      </c>
      <c r="C1359" s="766"/>
      <c r="D1359" s="84" t="s">
        <v>2432</v>
      </c>
      <c r="E1359" s="87">
        <v>1</v>
      </c>
      <c r="F1359" s="86" t="s">
        <v>453</v>
      </c>
      <c r="G1359" s="470">
        <f>중기사용료!$M$587</f>
        <v>9998</v>
      </c>
      <c r="H1359" s="470">
        <f>TRUNC(E1359*G1359,0)</f>
        <v>9998</v>
      </c>
      <c r="I1359" s="470">
        <f>중기사용료!$M$581</f>
        <v>27168</v>
      </c>
      <c r="J1359" s="470">
        <f>TRUNC(I1359*E1359,0)</f>
        <v>27168</v>
      </c>
      <c r="K1359" s="470">
        <f>중기사용료!$M$575</f>
        <v>8783</v>
      </c>
      <c r="L1359" s="470">
        <f>TRUNC(K1359*E1359,0)</f>
        <v>8783</v>
      </c>
      <c r="M1359" s="470">
        <f>G1359+I1359+K1359</f>
        <v>45949</v>
      </c>
      <c r="N1359" s="470">
        <f>H1359+J1359+L1359</f>
        <v>45949</v>
      </c>
      <c r="O1359" s="460">
        <f>중기사용료!$A$572</f>
        <v>31</v>
      </c>
      <c r="P1359" s="767"/>
    </row>
    <row r="1360" spans="2:17" ht="15.2" customHeight="1">
      <c r="B1360" s="766" t="s">
        <v>855</v>
      </c>
      <c r="C1360" s="766"/>
      <c r="D1360" s="84"/>
      <c r="E1360" s="87"/>
      <c r="F1360" s="86"/>
      <c r="G1360" s="470"/>
      <c r="H1360" s="470">
        <f>SUM(H1359:H1359)</f>
        <v>9998</v>
      </c>
      <c r="I1360" s="470"/>
      <c r="J1360" s="470">
        <f>SUM(J1359:J1359)</f>
        <v>27168</v>
      </c>
      <c r="K1360" s="470"/>
      <c r="L1360" s="470">
        <f>SUM(L1359:L1359)</f>
        <v>8783</v>
      </c>
      <c r="M1360" s="470"/>
      <c r="N1360" s="470">
        <f>SUM(N1359:N1359)</f>
        <v>45949</v>
      </c>
      <c r="O1360" s="459"/>
      <c r="P1360" s="767"/>
      <c r="Q1360" s="80" t="s">
        <v>3244</v>
      </c>
    </row>
    <row r="1361" spans="2:17" ht="15.2" customHeight="1">
      <c r="B1361" s="96">
        <f>P1361</f>
        <v>233</v>
      </c>
      <c r="C1361" s="770" t="s">
        <v>2411</v>
      </c>
      <c r="D1361" s="770"/>
      <c r="E1361" s="770"/>
      <c r="F1361" s="771"/>
      <c r="G1361" s="470"/>
      <c r="H1361" s="470"/>
      <c r="I1361" s="470"/>
      <c r="J1361" s="470"/>
      <c r="K1361" s="470"/>
      <c r="L1361" s="470"/>
      <c r="M1361" s="470"/>
      <c r="N1361" s="470"/>
      <c r="O1361" s="459"/>
      <c r="P1361" s="767">
        <f>MAX($P$5:P1360)+1</f>
        <v>233</v>
      </c>
      <c r="Q1361" s="80" t="s">
        <v>3243</v>
      </c>
    </row>
    <row r="1362" spans="2:17" ht="15.2" customHeight="1">
      <c r="B1362" s="766" t="s">
        <v>1394</v>
      </c>
      <c r="C1362" s="766"/>
      <c r="D1362" s="84" t="s">
        <v>2451</v>
      </c>
      <c r="E1362" s="87">
        <v>1</v>
      </c>
      <c r="F1362" s="86" t="s">
        <v>453</v>
      </c>
      <c r="G1362" s="470">
        <f>중기사용료!$M$606</f>
        <v>12234</v>
      </c>
      <c r="H1362" s="470">
        <f>TRUNC(E1362*G1362,0)</f>
        <v>12234</v>
      </c>
      <c r="I1362" s="470">
        <f>중기사용료!$M$600</f>
        <v>27168</v>
      </c>
      <c r="J1362" s="470">
        <f>TRUNC(I1362*E1362,0)</f>
        <v>27168</v>
      </c>
      <c r="K1362" s="470">
        <f>중기사용료!$M$594</f>
        <v>10966</v>
      </c>
      <c r="L1362" s="470">
        <f>TRUNC(K1362*E1362,0)</f>
        <v>10966</v>
      </c>
      <c r="M1362" s="470">
        <f>G1362+I1362+K1362</f>
        <v>50368</v>
      </c>
      <c r="N1362" s="470">
        <f>H1362+J1362+L1362</f>
        <v>50368</v>
      </c>
      <c r="O1362" s="460">
        <f>중기사용료!$A$591</f>
        <v>32</v>
      </c>
      <c r="P1362" s="767"/>
    </row>
    <row r="1363" spans="2:17" ht="15.2" customHeight="1">
      <c r="B1363" s="766" t="s">
        <v>855</v>
      </c>
      <c r="C1363" s="766"/>
      <c r="D1363" s="84"/>
      <c r="E1363" s="87"/>
      <c r="F1363" s="86"/>
      <c r="G1363" s="470"/>
      <c r="H1363" s="470">
        <f>SUM(H1362:H1362)</f>
        <v>12234</v>
      </c>
      <c r="I1363" s="470"/>
      <c r="J1363" s="470">
        <f>SUM(J1362:J1362)</f>
        <v>27168</v>
      </c>
      <c r="K1363" s="470"/>
      <c r="L1363" s="470">
        <f>SUM(L1362:L1362)</f>
        <v>10966</v>
      </c>
      <c r="M1363" s="470"/>
      <c r="N1363" s="470">
        <f>SUM(N1362:N1362)</f>
        <v>50368</v>
      </c>
      <c r="O1363" s="459"/>
      <c r="P1363" s="767"/>
      <c r="Q1363" s="80" t="s">
        <v>3244</v>
      </c>
    </row>
    <row r="1364" spans="2:17" ht="15.2" customHeight="1">
      <c r="B1364" s="96">
        <f>P1364</f>
        <v>234</v>
      </c>
      <c r="C1364" s="770" t="s">
        <v>2412</v>
      </c>
      <c r="D1364" s="770"/>
      <c r="E1364" s="770"/>
      <c r="F1364" s="771"/>
      <c r="G1364" s="470"/>
      <c r="H1364" s="470"/>
      <c r="I1364" s="470"/>
      <c r="J1364" s="470"/>
      <c r="K1364" s="470"/>
      <c r="L1364" s="470"/>
      <c r="M1364" s="470"/>
      <c r="N1364" s="470"/>
      <c r="O1364" s="459"/>
      <c r="P1364" s="767">
        <f>MAX($P$5:P1363)+1</f>
        <v>234</v>
      </c>
      <c r="Q1364" s="80" t="s">
        <v>3243</v>
      </c>
    </row>
    <row r="1365" spans="2:17" ht="15.2" customHeight="1">
      <c r="B1365" s="766" t="s">
        <v>2430</v>
      </c>
      <c r="C1365" s="766"/>
      <c r="D1365" s="84" t="s">
        <v>2222</v>
      </c>
      <c r="E1365" s="87">
        <v>1</v>
      </c>
      <c r="F1365" s="86" t="s">
        <v>453</v>
      </c>
      <c r="G1365" s="470">
        <f>중기사용료!$M$682</f>
        <v>3010</v>
      </c>
      <c r="H1365" s="470">
        <f>TRUNC(E1365*G1365,0)</f>
        <v>3010</v>
      </c>
      <c r="I1365" s="470">
        <f>중기사용료!$M$676</f>
        <v>27168</v>
      </c>
      <c r="J1365" s="470">
        <f>TRUNC(I1365*E1365,0)</f>
        <v>27168</v>
      </c>
      <c r="K1365" s="470">
        <f>중기사용료!$M$670</f>
        <v>2051</v>
      </c>
      <c r="L1365" s="470">
        <f>TRUNC(K1365*E1365,0)</f>
        <v>2051</v>
      </c>
      <c r="M1365" s="470">
        <f>G1365+I1365+K1365</f>
        <v>32229</v>
      </c>
      <c r="N1365" s="470">
        <f>H1365+J1365+L1365</f>
        <v>32229</v>
      </c>
      <c r="O1365" s="460">
        <f>중기사용료!A667</f>
        <v>36</v>
      </c>
      <c r="P1365" s="767"/>
    </row>
    <row r="1366" spans="2:17" ht="15.2" customHeight="1">
      <c r="B1366" s="766" t="s">
        <v>855</v>
      </c>
      <c r="C1366" s="766"/>
      <c r="D1366" s="84"/>
      <c r="E1366" s="87"/>
      <c r="F1366" s="86"/>
      <c r="G1366" s="470"/>
      <c r="H1366" s="470">
        <f>SUM(H1365:H1365)</f>
        <v>3010</v>
      </c>
      <c r="I1366" s="470"/>
      <c r="J1366" s="470">
        <f>SUM(J1365:J1365)</f>
        <v>27168</v>
      </c>
      <c r="K1366" s="470"/>
      <c r="L1366" s="470">
        <f>SUM(L1365:L1365)</f>
        <v>2051</v>
      </c>
      <c r="M1366" s="470"/>
      <c r="N1366" s="470">
        <f>SUM(N1365:N1365)</f>
        <v>32229</v>
      </c>
      <c r="O1366" s="459"/>
      <c r="P1366" s="767"/>
      <c r="Q1366" s="80" t="s">
        <v>3244</v>
      </c>
    </row>
    <row r="1367" spans="2:17" ht="15.2" customHeight="1">
      <c r="B1367" s="96">
        <f>P1367</f>
        <v>235</v>
      </c>
      <c r="C1367" s="770" t="s">
        <v>2413</v>
      </c>
      <c r="D1367" s="770"/>
      <c r="E1367" s="770"/>
      <c r="F1367" s="771"/>
      <c r="G1367" s="470"/>
      <c r="H1367" s="470"/>
      <c r="I1367" s="470"/>
      <c r="J1367" s="470"/>
      <c r="K1367" s="470"/>
      <c r="L1367" s="470"/>
      <c r="M1367" s="470"/>
      <c r="N1367" s="470"/>
      <c r="O1367" s="459"/>
      <c r="P1367" s="767">
        <f>MAX($P$5:P1366)+1</f>
        <v>235</v>
      </c>
      <c r="Q1367" s="80" t="s">
        <v>3243</v>
      </c>
    </row>
    <row r="1368" spans="2:17" ht="15.2" customHeight="1">
      <c r="B1368" s="766" t="s">
        <v>2430</v>
      </c>
      <c r="C1368" s="766"/>
      <c r="D1368" s="84" t="s">
        <v>2431</v>
      </c>
      <c r="E1368" s="87">
        <v>1</v>
      </c>
      <c r="F1368" s="86" t="s">
        <v>453</v>
      </c>
      <c r="G1368" s="470">
        <f>중기사용료!$M$625</f>
        <v>6577</v>
      </c>
      <c r="H1368" s="470">
        <f>TRUNC(E1368*G1368,0)</f>
        <v>6577</v>
      </c>
      <c r="I1368" s="470">
        <f>중기사용료!$M$619</f>
        <v>27168</v>
      </c>
      <c r="J1368" s="470">
        <f>TRUNC(I1368*E1368,0)</f>
        <v>27168</v>
      </c>
      <c r="K1368" s="470">
        <f>중기사용료!$M$613</f>
        <v>7405</v>
      </c>
      <c r="L1368" s="470">
        <f>TRUNC(K1368*E1368,0)</f>
        <v>7405</v>
      </c>
      <c r="M1368" s="470">
        <f>G1368+I1368+K1368</f>
        <v>41150</v>
      </c>
      <c r="N1368" s="470">
        <f>H1368+J1368+L1368</f>
        <v>41150</v>
      </c>
      <c r="O1368" s="460">
        <f>중기사용료!$A$610</f>
        <v>33</v>
      </c>
      <c r="P1368" s="767"/>
    </row>
    <row r="1369" spans="2:17" ht="15.2" customHeight="1">
      <c r="B1369" s="766" t="s">
        <v>855</v>
      </c>
      <c r="C1369" s="766"/>
      <c r="D1369" s="84"/>
      <c r="E1369" s="87"/>
      <c r="F1369" s="86"/>
      <c r="G1369" s="470"/>
      <c r="H1369" s="470">
        <f>SUM(H1368:H1368)</f>
        <v>6577</v>
      </c>
      <c r="I1369" s="470"/>
      <c r="J1369" s="470">
        <f>SUM(J1368:J1368)</f>
        <v>27168</v>
      </c>
      <c r="K1369" s="470"/>
      <c r="L1369" s="470">
        <f>SUM(L1368:L1368)</f>
        <v>7405</v>
      </c>
      <c r="M1369" s="470"/>
      <c r="N1369" s="470">
        <f>SUM(N1368:N1368)</f>
        <v>41150</v>
      </c>
      <c r="O1369" s="459"/>
      <c r="P1369" s="767"/>
      <c r="Q1369" s="80" t="s">
        <v>3244</v>
      </c>
    </row>
    <row r="1370" spans="2:17" ht="15.2" customHeight="1">
      <c r="B1370" s="96">
        <f>P1370</f>
        <v>236</v>
      </c>
      <c r="C1370" s="770" t="s">
        <v>2414</v>
      </c>
      <c r="D1370" s="770"/>
      <c r="E1370" s="770"/>
      <c r="F1370" s="771"/>
      <c r="G1370" s="470"/>
      <c r="H1370" s="470"/>
      <c r="I1370" s="470"/>
      <c r="J1370" s="470"/>
      <c r="K1370" s="470"/>
      <c r="L1370" s="470"/>
      <c r="M1370" s="470"/>
      <c r="N1370" s="470"/>
      <c r="O1370" s="459"/>
      <c r="P1370" s="767">
        <f>MAX($P$5:P1369)+1</f>
        <v>236</v>
      </c>
      <c r="Q1370" s="80" t="s">
        <v>3243</v>
      </c>
    </row>
    <row r="1371" spans="2:17" ht="15.2" customHeight="1">
      <c r="B1371" s="766" t="s">
        <v>2430</v>
      </c>
      <c r="C1371" s="766"/>
      <c r="D1371" s="84" t="s">
        <v>2432</v>
      </c>
      <c r="E1371" s="87">
        <v>1</v>
      </c>
      <c r="F1371" s="86" t="s">
        <v>453</v>
      </c>
      <c r="G1371" s="470">
        <f>중기사용료!$M$644</f>
        <v>8945</v>
      </c>
      <c r="H1371" s="470">
        <f>TRUNC(E1371*G1371,0)</f>
        <v>8945</v>
      </c>
      <c r="I1371" s="470">
        <f>중기사용료!$M$638</f>
        <v>27168</v>
      </c>
      <c r="J1371" s="470">
        <f>TRUNC(I1371*E1371,0)</f>
        <v>27168</v>
      </c>
      <c r="K1371" s="470">
        <f>중기사용료!$M$632</f>
        <v>8934</v>
      </c>
      <c r="L1371" s="470">
        <f>TRUNC(K1371*E1371,0)</f>
        <v>8934</v>
      </c>
      <c r="M1371" s="470">
        <f>G1371+I1371+K1371</f>
        <v>45047</v>
      </c>
      <c r="N1371" s="470">
        <f>H1371+J1371+L1371</f>
        <v>45047</v>
      </c>
      <c r="O1371" s="460">
        <f>중기사용료!A629</f>
        <v>34</v>
      </c>
      <c r="P1371" s="767"/>
    </row>
    <row r="1372" spans="2:17" ht="15.2" customHeight="1">
      <c r="B1372" s="766" t="s">
        <v>855</v>
      </c>
      <c r="C1372" s="766"/>
      <c r="D1372" s="84"/>
      <c r="E1372" s="87"/>
      <c r="F1372" s="86"/>
      <c r="G1372" s="470"/>
      <c r="H1372" s="470">
        <f>SUM(H1371:H1371)</f>
        <v>8945</v>
      </c>
      <c r="I1372" s="470"/>
      <c r="J1372" s="470">
        <f>SUM(J1371:J1371)</f>
        <v>27168</v>
      </c>
      <c r="K1372" s="470"/>
      <c r="L1372" s="470">
        <f>SUM(L1371:L1371)</f>
        <v>8934</v>
      </c>
      <c r="M1372" s="470"/>
      <c r="N1372" s="470">
        <f>SUM(N1371:N1371)</f>
        <v>45047</v>
      </c>
      <c r="O1372" s="459"/>
      <c r="P1372" s="767"/>
      <c r="Q1372" s="80" t="s">
        <v>3244</v>
      </c>
    </row>
    <row r="1373" spans="2:17" ht="15.2" customHeight="1">
      <c r="B1373" s="96">
        <f>P1373</f>
        <v>237</v>
      </c>
      <c r="C1373" s="770" t="s">
        <v>2415</v>
      </c>
      <c r="D1373" s="770"/>
      <c r="E1373" s="770"/>
      <c r="F1373" s="771"/>
      <c r="G1373" s="470"/>
      <c r="H1373" s="470"/>
      <c r="I1373" s="470"/>
      <c r="J1373" s="470"/>
      <c r="K1373" s="470"/>
      <c r="L1373" s="470"/>
      <c r="M1373" s="470"/>
      <c r="N1373" s="470"/>
      <c r="O1373" s="459"/>
      <c r="P1373" s="767">
        <f>MAX($P$5:P1372)+1</f>
        <v>237</v>
      </c>
      <c r="Q1373" s="80" t="s">
        <v>3243</v>
      </c>
    </row>
    <row r="1374" spans="2:17" ht="15.2" customHeight="1">
      <c r="B1374" s="766" t="s">
        <v>2430</v>
      </c>
      <c r="C1374" s="766"/>
      <c r="D1374" s="84" t="s">
        <v>3315</v>
      </c>
      <c r="E1374" s="87">
        <v>1</v>
      </c>
      <c r="F1374" s="86" t="s">
        <v>453</v>
      </c>
      <c r="G1374" s="470">
        <f>중기사용료!$M$663</f>
        <v>11050</v>
      </c>
      <c r="H1374" s="470">
        <f>TRUNC(E1374*G1374,0)</f>
        <v>11050</v>
      </c>
      <c r="I1374" s="470">
        <f>중기사용료!$M$657</f>
        <v>27168</v>
      </c>
      <c r="J1374" s="470">
        <f>TRUNC(I1374*E1374,0)</f>
        <v>27168</v>
      </c>
      <c r="K1374" s="470">
        <f>중기사용료!$M$651</f>
        <v>10303</v>
      </c>
      <c r="L1374" s="470">
        <f>TRUNC(K1374*E1374,0)</f>
        <v>10303</v>
      </c>
      <c r="M1374" s="470">
        <f>G1374+I1374+K1374</f>
        <v>48521</v>
      </c>
      <c r="N1374" s="470">
        <f>H1374+J1374+L1374</f>
        <v>48521</v>
      </c>
      <c r="O1374" s="460">
        <f>중기사용료!A648</f>
        <v>35</v>
      </c>
      <c r="P1374" s="767"/>
    </row>
    <row r="1375" spans="2:17" ht="15.2" customHeight="1">
      <c r="B1375" s="766" t="s">
        <v>855</v>
      </c>
      <c r="C1375" s="766"/>
      <c r="D1375" s="84"/>
      <c r="E1375" s="87"/>
      <c r="F1375" s="86"/>
      <c r="G1375" s="470"/>
      <c r="H1375" s="470">
        <f>SUM(H1374:H1374)</f>
        <v>11050</v>
      </c>
      <c r="I1375" s="470"/>
      <c r="J1375" s="470">
        <f>SUM(J1374:J1374)</f>
        <v>27168</v>
      </c>
      <c r="K1375" s="470"/>
      <c r="L1375" s="470">
        <f>SUM(L1374:L1374)</f>
        <v>10303</v>
      </c>
      <c r="M1375" s="470"/>
      <c r="N1375" s="470">
        <f>SUM(N1374:N1374)</f>
        <v>48521</v>
      </c>
      <c r="O1375" s="459"/>
      <c r="P1375" s="767"/>
      <c r="Q1375" s="80" t="s">
        <v>3244</v>
      </c>
    </row>
    <row r="1376" spans="2:17" ht="15.2" customHeight="1">
      <c r="B1376" s="96">
        <f>P1376</f>
        <v>238</v>
      </c>
      <c r="C1376" s="770" t="s">
        <v>2416</v>
      </c>
      <c r="D1376" s="770"/>
      <c r="E1376" s="770"/>
      <c r="F1376" s="771"/>
      <c r="G1376" s="470"/>
      <c r="H1376" s="470"/>
      <c r="I1376" s="470"/>
      <c r="J1376" s="470"/>
      <c r="K1376" s="470"/>
      <c r="L1376" s="470"/>
      <c r="M1376" s="470"/>
      <c r="N1376" s="470"/>
      <c r="O1376" s="459"/>
      <c r="P1376" s="767">
        <f>MAX($P$5:P1375)+1</f>
        <v>238</v>
      </c>
      <c r="Q1376" s="80" t="s">
        <v>3243</v>
      </c>
    </row>
    <row r="1377" spans="2:17" ht="15.2" customHeight="1">
      <c r="B1377" s="766" t="s">
        <v>1803</v>
      </c>
      <c r="C1377" s="766"/>
      <c r="D1377" s="84" t="s">
        <v>1390</v>
      </c>
      <c r="E1377" s="87">
        <v>1</v>
      </c>
      <c r="F1377" s="86" t="s">
        <v>453</v>
      </c>
      <c r="G1377" s="470">
        <f>중기사용료!$M$720</f>
        <v>2897</v>
      </c>
      <c r="H1377" s="470">
        <f>TRUNC(E1377*G1377,0)</f>
        <v>2897</v>
      </c>
      <c r="I1377" s="470">
        <f>중기사용료!$M$714</f>
        <v>27168</v>
      </c>
      <c r="J1377" s="470">
        <f>TRUNC(I1377*E1377,0)</f>
        <v>27168</v>
      </c>
      <c r="K1377" s="470">
        <f>중기사용료!$M$708</f>
        <v>4062</v>
      </c>
      <c r="L1377" s="470">
        <f>TRUNC(K1377*E1377,0)</f>
        <v>4062</v>
      </c>
      <c r="M1377" s="470">
        <f>G1377+I1377+K1377</f>
        <v>34127</v>
      </c>
      <c r="N1377" s="470">
        <f>H1377+J1377+L1377</f>
        <v>34127</v>
      </c>
      <c r="O1377" s="460">
        <f>중기사용료!$A$705</f>
        <v>38</v>
      </c>
      <c r="P1377" s="767"/>
    </row>
    <row r="1378" spans="2:17" ht="15.2" customHeight="1">
      <c r="B1378" s="766" t="s">
        <v>855</v>
      </c>
      <c r="C1378" s="766"/>
      <c r="D1378" s="84"/>
      <c r="E1378" s="87"/>
      <c r="F1378" s="86"/>
      <c r="G1378" s="470"/>
      <c r="H1378" s="470">
        <f>SUM(H1377:H1377)</f>
        <v>2897</v>
      </c>
      <c r="I1378" s="470"/>
      <c r="J1378" s="470">
        <f>SUM(J1377:J1377)</f>
        <v>27168</v>
      </c>
      <c r="K1378" s="470"/>
      <c r="L1378" s="470">
        <f>SUM(L1377:L1377)</f>
        <v>4062</v>
      </c>
      <c r="M1378" s="470"/>
      <c r="N1378" s="470">
        <f>SUM(N1377:N1377)</f>
        <v>34127</v>
      </c>
      <c r="O1378" s="459"/>
      <c r="P1378" s="767"/>
      <c r="Q1378" s="80" t="s">
        <v>3244</v>
      </c>
    </row>
    <row r="1379" spans="2:17" ht="15.2" customHeight="1">
      <c r="B1379" s="96">
        <f>P1379</f>
        <v>239</v>
      </c>
      <c r="C1379" s="770" t="s">
        <v>2417</v>
      </c>
      <c r="D1379" s="770"/>
      <c r="E1379" s="770"/>
      <c r="F1379" s="771"/>
      <c r="G1379" s="470"/>
      <c r="H1379" s="470"/>
      <c r="I1379" s="470"/>
      <c r="J1379" s="470"/>
      <c r="K1379" s="470"/>
      <c r="L1379" s="470"/>
      <c r="M1379" s="470"/>
      <c r="N1379" s="470"/>
      <c r="O1379" s="459"/>
      <c r="P1379" s="767">
        <f>MAX($P$5:P1378)+1</f>
        <v>239</v>
      </c>
      <c r="Q1379" s="80" t="s">
        <v>3243</v>
      </c>
    </row>
    <row r="1380" spans="2:17" ht="15.2" customHeight="1">
      <c r="B1380" s="766" t="s">
        <v>1803</v>
      </c>
      <c r="C1380" s="766"/>
      <c r="D1380" s="84" t="s">
        <v>2433</v>
      </c>
      <c r="E1380" s="87">
        <v>1</v>
      </c>
      <c r="F1380" s="86" t="s">
        <v>453</v>
      </c>
      <c r="G1380" s="470">
        <f>중기사용료!$M$739</f>
        <v>4031</v>
      </c>
      <c r="H1380" s="470">
        <f>TRUNC(E1380*G1380,0)</f>
        <v>4031</v>
      </c>
      <c r="I1380" s="470">
        <f>중기사용료!$M$733</f>
        <v>27168</v>
      </c>
      <c r="J1380" s="470">
        <f>TRUNC(I1380*E1380,0)</f>
        <v>27168</v>
      </c>
      <c r="K1380" s="470">
        <f>중기사용료!$M$727</f>
        <v>4753</v>
      </c>
      <c r="L1380" s="470">
        <f>TRUNC(K1380*E1380,0)</f>
        <v>4753</v>
      </c>
      <c r="M1380" s="470">
        <f>G1380+I1380+K1380</f>
        <v>35952</v>
      </c>
      <c r="N1380" s="470">
        <f>H1380+J1380+L1380</f>
        <v>35952</v>
      </c>
      <c r="O1380" s="460">
        <f>중기사용료!A724</f>
        <v>39</v>
      </c>
      <c r="P1380" s="767"/>
    </row>
    <row r="1381" spans="2:17" ht="15.2" customHeight="1">
      <c r="B1381" s="766" t="s">
        <v>855</v>
      </c>
      <c r="C1381" s="766"/>
      <c r="D1381" s="84"/>
      <c r="E1381" s="87"/>
      <c r="F1381" s="86"/>
      <c r="G1381" s="470"/>
      <c r="H1381" s="470">
        <f>SUM(H1380:H1380)</f>
        <v>4031</v>
      </c>
      <c r="I1381" s="470"/>
      <c r="J1381" s="470">
        <f>SUM(J1380:J1380)</f>
        <v>27168</v>
      </c>
      <c r="K1381" s="470"/>
      <c r="L1381" s="470">
        <f>SUM(L1380:L1380)</f>
        <v>4753</v>
      </c>
      <c r="M1381" s="470"/>
      <c r="N1381" s="470">
        <f>SUM(N1380:N1380)</f>
        <v>35952</v>
      </c>
      <c r="O1381" s="459"/>
      <c r="P1381" s="767"/>
      <c r="Q1381" s="80" t="s">
        <v>3244</v>
      </c>
    </row>
    <row r="1382" spans="2:17" ht="15.2" customHeight="1">
      <c r="B1382" s="96">
        <f>P1382</f>
        <v>240</v>
      </c>
      <c r="C1382" s="770" t="s">
        <v>2418</v>
      </c>
      <c r="D1382" s="770"/>
      <c r="E1382" s="770"/>
      <c r="F1382" s="771"/>
      <c r="G1382" s="470"/>
      <c r="H1382" s="470"/>
      <c r="I1382" s="470"/>
      <c r="J1382" s="470"/>
      <c r="K1382" s="470"/>
      <c r="L1382" s="470"/>
      <c r="M1382" s="470"/>
      <c r="N1382" s="470"/>
      <c r="O1382" s="459"/>
      <c r="P1382" s="767">
        <f>MAX($P$5:P1381)+1</f>
        <v>240</v>
      </c>
      <c r="Q1382" s="80" t="s">
        <v>3243</v>
      </c>
    </row>
    <row r="1383" spans="2:17" ht="15.2" customHeight="1">
      <c r="B1383" s="766" t="s">
        <v>1803</v>
      </c>
      <c r="C1383" s="766"/>
      <c r="D1383" s="84" t="s">
        <v>2434</v>
      </c>
      <c r="E1383" s="87">
        <v>1</v>
      </c>
      <c r="F1383" s="86" t="s">
        <v>453</v>
      </c>
      <c r="G1383" s="470">
        <f>중기사용료!$M$758</f>
        <v>20870</v>
      </c>
      <c r="H1383" s="470">
        <f>TRUNC(E1383*G1383,0)</f>
        <v>20870</v>
      </c>
      <c r="I1383" s="470">
        <f>중기사용료!$M$752</f>
        <v>27168</v>
      </c>
      <c r="J1383" s="470">
        <f>TRUNC(I1383*E1383,0)</f>
        <v>27168</v>
      </c>
      <c r="K1383" s="470">
        <f>중기사용료!$M$746</f>
        <v>22837</v>
      </c>
      <c r="L1383" s="470">
        <f>TRUNC(K1383*E1383,0)</f>
        <v>22837</v>
      </c>
      <c r="M1383" s="470">
        <f>G1383+I1383+K1383</f>
        <v>70875</v>
      </c>
      <c r="N1383" s="470">
        <f>H1383+J1383+L1383</f>
        <v>70875</v>
      </c>
      <c r="O1383" s="460">
        <f>중기사용료!A743</f>
        <v>40</v>
      </c>
      <c r="P1383" s="767"/>
    </row>
    <row r="1384" spans="2:17" ht="15.2" customHeight="1">
      <c r="B1384" s="766" t="s">
        <v>855</v>
      </c>
      <c r="C1384" s="766"/>
      <c r="D1384" s="84"/>
      <c r="E1384" s="87"/>
      <c r="F1384" s="86"/>
      <c r="G1384" s="470"/>
      <c r="H1384" s="470">
        <f>SUM(H1383:H1383)</f>
        <v>20870</v>
      </c>
      <c r="I1384" s="470"/>
      <c r="J1384" s="470">
        <f>SUM(J1383:J1383)</f>
        <v>27168</v>
      </c>
      <c r="K1384" s="470"/>
      <c r="L1384" s="470">
        <f>SUM(L1383:L1383)</f>
        <v>22837</v>
      </c>
      <c r="M1384" s="470"/>
      <c r="N1384" s="470">
        <f>SUM(N1383:N1383)</f>
        <v>70875</v>
      </c>
      <c r="O1384" s="459"/>
      <c r="P1384" s="767"/>
      <c r="Q1384" s="80" t="s">
        <v>3244</v>
      </c>
    </row>
    <row r="1385" spans="2:17" ht="15.2" customHeight="1">
      <c r="B1385" s="96">
        <f>P1385</f>
        <v>241</v>
      </c>
      <c r="C1385" s="770" t="s">
        <v>2419</v>
      </c>
      <c r="D1385" s="770"/>
      <c r="E1385" s="770"/>
      <c r="F1385" s="771"/>
      <c r="G1385" s="470"/>
      <c r="H1385" s="470"/>
      <c r="I1385" s="470"/>
      <c r="J1385" s="470"/>
      <c r="K1385" s="470"/>
      <c r="L1385" s="470"/>
      <c r="M1385" s="470"/>
      <c r="N1385" s="470"/>
      <c r="O1385" s="459"/>
      <c r="P1385" s="767">
        <f>MAX($P$5:P1384)+1</f>
        <v>241</v>
      </c>
      <c r="Q1385" s="80" t="s">
        <v>3243</v>
      </c>
    </row>
    <row r="1386" spans="2:17" ht="15.2" customHeight="1">
      <c r="B1386" s="766" t="s">
        <v>1587</v>
      </c>
      <c r="C1386" s="766"/>
      <c r="D1386" s="84" t="s">
        <v>156</v>
      </c>
      <c r="E1386" s="87">
        <v>1</v>
      </c>
      <c r="F1386" s="86" t="s">
        <v>453</v>
      </c>
      <c r="G1386" s="470">
        <f>중기사용료!$M$701</f>
        <v>2771</v>
      </c>
      <c r="H1386" s="470">
        <f>TRUNC(E1386*G1386,0)</f>
        <v>2771</v>
      </c>
      <c r="I1386" s="470">
        <f>중기사용료!$M$695</f>
        <v>27168</v>
      </c>
      <c r="J1386" s="470">
        <f>TRUNC(I1386*E1386,0)</f>
        <v>27168</v>
      </c>
      <c r="K1386" s="470">
        <f>중기사용료!$M$689</f>
        <v>1563</v>
      </c>
      <c r="L1386" s="470">
        <f>TRUNC(K1386*E1386,0)</f>
        <v>1563</v>
      </c>
      <c r="M1386" s="470">
        <f>G1386+I1386+K1386</f>
        <v>31502</v>
      </c>
      <c r="N1386" s="470">
        <f>H1386+J1386+L1386</f>
        <v>31502</v>
      </c>
      <c r="O1386" s="460">
        <f>중기사용료!$A$686</f>
        <v>37</v>
      </c>
      <c r="P1386" s="767"/>
    </row>
    <row r="1387" spans="2:17" ht="15.2" customHeight="1">
      <c r="B1387" s="766" t="s">
        <v>855</v>
      </c>
      <c r="C1387" s="766"/>
      <c r="D1387" s="84"/>
      <c r="E1387" s="87"/>
      <c r="F1387" s="86"/>
      <c r="G1387" s="470"/>
      <c r="H1387" s="470">
        <f>SUM(H1386:H1386)</f>
        <v>2771</v>
      </c>
      <c r="I1387" s="470"/>
      <c r="J1387" s="470">
        <f>SUM(J1386:J1386)</f>
        <v>27168</v>
      </c>
      <c r="K1387" s="470"/>
      <c r="L1387" s="470">
        <f>SUM(L1386:L1386)</f>
        <v>1563</v>
      </c>
      <c r="M1387" s="470"/>
      <c r="N1387" s="470">
        <f>SUM(N1386:N1386)</f>
        <v>31502</v>
      </c>
      <c r="O1387" s="459"/>
      <c r="P1387" s="767"/>
      <c r="Q1387" s="80" t="s">
        <v>3244</v>
      </c>
    </row>
    <row r="1388" spans="2:17" ht="15.2" customHeight="1">
      <c r="B1388" s="96">
        <f>P1388</f>
        <v>242</v>
      </c>
      <c r="C1388" s="770" t="s">
        <v>2420</v>
      </c>
      <c r="D1388" s="770"/>
      <c r="E1388" s="770"/>
      <c r="F1388" s="771"/>
      <c r="G1388" s="470"/>
      <c r="H1388" s="470"/>
      <c r="I1388" s="470"/>
      <c r="J1388" s="470"/>
      <c r="K1388" s="470"/>
      <c r="L1388" s="470"/>
      <c r="M1388" s="470"/>
      <c r="N1388" s="470"/>
      <c r="O1388" s="459"/>
      <c r="P1388" s="767">
        <f>MAX($P$5:P1387)+1</f>
        <v>242</v>
      </c>
      <c r="Q1388" s="80" t="s">
        <v>3243</v>
      </c>
    </row>
    <row r="1389" spans="2:17" ht="15.2" customHeight="1">
      <c r="B1389" s="766" t="s">
        <v>1803</v>
      </c>
      <c r="C1389" s="766"/>
      <c r="D1389" s="84" t="s">
        <v>2435</v>
      </c>
      <c r="E1389" s="87">
        <v>1</v>
      </c>
      <c r="F1389" s="86" t="s">
        <v>453</v>
      </c>
      <c r="G1389" s="470">
        <f>중기사용료!$M$777</f>
        <v>10970</v>
      </c>
      <c r="H1389" s="470">
        <f>TRUNC(E1389*G1389,0)</f>
        <v>10970</v>
      </c>
      <c r="I1389" s="470">
        <f>중기사용료!$M$771</f>
        <v>27168</v>
      </c>
      <c r="J1389" s="470">
        <f>TRUNC(I1389*E1389,0)</f>
        <v>27168</v>
      </c>
      <c r="K1389" s="470">
        <f>중기사용료!$M$765</f>
        <v>15334</v>
      </c>
      <c r="L1389" s="470">
        <f>TRUNC(K1389*E1389,0)</f>
        <v>15334</v>
      </c>
      <c r="M1389" s="470">
        <f>G1389+I1389+K1389</f>
        <v>53472</v>
      </c>
      <c r="N1389" s="470">
        <f>H1389+J1389+L1389</f>
        <v>53472</v>
      </c>
      <c r="O1389" s="460">
        <f>중기사용료!A762</f>
        <v>41</v>
      </c>
      <c r="P1389" s="767"/>
    </row>
    <row r="1390" spans="2:17" ht="15.2" customHeight="1">
      <c r="B1390" s="766" t="s">
        <v>855</v>
      </c>
      <c r="C1390" s="766"/>
      <c r="D1390" s="84"/>
      <c r="E1390" s="87"/>
      <c r="F1390" s="86"/>
      <c r="G1390" s="470"/>
      <c r="H1390" s="470">
        <f>SUM(H1389:H1389)</f>
        <v>10970</v>
      </c>
      <c r="I1390" s="470"/>
      <c r="J1390" s="470">
        <f>SUM(J1389:J1389)</f>
        <v>27168</v>
      </c>
      <c r="K1390" s="470"/>
      <c r="L1390" s="470">
        <f>SUM(L1389:L1389)</f>
        <v>15334</v>
      </c>
      <c r="M1390" s="470"/>
      <c r="N1390" s="470">
        <f>SUM(N1389:N1389)</f>
        <v>53472</v>
      </c>
      <c r="O1390" s="459"/>
      <c r="P1390" s="767"/>
      <c r="Q1390" s="80" t="s">
        <v>3244</v>
      </c>
    </row>
    <row r="1391" spans="2:17" ht="15.2" customHeight="1">
      <c r="B1391" s="96">
        <f>P1391</f>
        <v>243</v>
      </c>
      <c r="C1391" s="770" t="s">
        <v>2421</v>
      </c>
      <c r="D1391" s="770"/>
      <c r="E1391" s="770"/>
      <c r="F1391" s="771"/>
      <c r="G1391" s="470"/>
      <c r="H1391" s="470"/>
      <c r="I1391" s="470"/>
      <c r="J1391" s="470"/>
      <c r="K1391" s="470"/>
      <c r="L1391" s="470"/>
      <c r="M1391" s="470"/>
      <c r="N1391" s="470"/>
      <c r="O1391" s="459"/>
      <c r="P1391" s="767">
        <f>MAX($P$5:P1390)+1</f>
        <v>243</v>
      </c>
      <c r="Q1391" s="80" t="s">
        <v>3243</v>
      </c>
    </row>
    <row r="1392" spans="2:17" ht="15.2" customHeight="1">
      <c r="B1392" s="766" t="s">
        <v>1356</v>
      </c>
      <c r="C1392" s="766"/>
      <c r="D1392" s="84" t="s">
        <v>1150</v>
      </c>
      <c r="E1392" s="87">
        <v>1</v>
      </c>
      <c r="F1392" s="86" t="s">
        <v>453</v>
      </c>
      <c r="G1392" s="470">
        <f>중기사용료!$M$796</f>
        <v>1019</v>
      </c>
      <c r="H1392" s="470">
        <f>TRUNC(E1392*G1392,0)</f>
        <v>1019</v>
      </c>
      <c r="I1392" s="470">
        <f>중기사용료!$M$790</f>
        <v>18939</v>
      </c>
      <c r="J1392" s="470">
        <f>TRUNC(I1392*E1392,0)</f>
        <v>18939</v>
      </c>
      <c r="K1392" s="470">
        <f>중기사용료!$M$784</f>
        <v>412</v>
      </c>
      <c r="L1392" s="470">
        <f>TRUNC(K1392*E1392,0)</f>
        <v>412</v>
      </c>
      <c r="M1392" s="470">
        <f>G1392+I1392+K1392</f>
        <v>20370</v>
      </c>
      <c r="N1392" s="470">
        <f>H1392+J1392+L1392</f>
        <v>20370</v>
      </c>
      <c r="O1392" s="460">
        <f>중기사용료!$M$784</f>
        <v>412</v>
      </c>
      <c r="P1392" s="767"/>
    </row>
    <row r="1393" spans="2:17" ht="15.2" customHeight="1">
      <c r="B1393" s="766" t="s">
        <v>855</v>
      </c>
      <c r="C1393" s="766"/>
      <c r="D1393" s="84"/>
      <c r="E1393" s="87"/>
      <c r="F1393" s="86"/>
      <c r="G1393" s="470"/>
      <c r="H1393" s="470">
        <f>SUM(H1392:H1392)</f>
        <v>1019</v>
      </c>
      <c r="I1393" s="470"/>
      <c r="J1393" s="470">
        <f>SUM(J1392:J1392)</f>
        <v>18939</v>
      </c>
      <c r="K1393" s="470"/>
      <c r="L1393" s="470">
        <f>SUM(L1392:L1392)</f>
        <v>412</v>
      </c>
      <c r="M1393" s="470"/>
      <c r="N1393" s="470">
        <f>SUM(N1392:N1392)</f>
        <v>20370</v>
      </c>
      <c r="O1393" s="459"/>
      <c r="P1393" s="767"/>
      <c r="Q1393" s="80" t="s">
        <v>3244</v>
      </c>
    </row>
    <row r="1394" spans="2:17" ht="15.2" customHeight="1">
      <c r="B1394" s="96">
        <f>P1394</f>
        <v>244</v>
      </c>
      <c r="C1394" s="770" t="s">
        <v>2422</v>
      </c>
      <c r="D1394" s="770"/>
      <c r="E1394" s="770"/>
      <c r="F1394" s="771"/>
      <c r="G1394" s="470"/>
      <c r="H1394" s="470"/>
      <c r="I1394" s="470"/>
      <c r="J1394" s="470"/>
      <c r="K1394" s="470"/>
      <c r="L1394" s="470"/>
      <c r="M1394" s="470"/>
      <c r="N1394" s="470"/>
      <c r="O1394" s="459"/>
      <c r="P1394" s="767">
        <f>MAX($P$5:P1393)+1</f>
        <v>244</v>
      </c>
      <c r="Q1394" s="80" t="s">
        <v>3243</v>
      </c>
    </row>
    <row r="1395" spans="2:17" ht="15.2" customHeight="1">
      <c r="B1395" s="766" t="s">
        <v>2436</v>
      </c>
      <c r="C1395" s="766"/>
      <c r="D1395" s="84" t="s">
        <v>2434</v>
      </c>
      <c r="E1395" s="87">
        <v>1</v>
      </c>
      <c r="F1395" s="86" t="s">
        <v>453</v>
      </c>
      <c r="G1395" s="470">
        <f>중기사용료!$M$834</f>
        <v>7759</v>
      </c>
      <c r="H1395" s="470">
        <f>TRUNC(E1395*G1395,0)</f>
        <v>7759</v>
      </c>
      <c r="I1395" s="470">
        <f>중기사용료!$M$828</f>
        <v>27168</v>
      </c>
      <c r="J1395" s="470">
        <f>TRUNC(I1395*E1395,0)</f>
        <v>27168</v>
      </c>
      <c r="K1395" s="470">
        <f>중기사용료!$M$822</f>
        <v>13666</v>
      </c>
      <c r="L1395" s="470">
        <f>TRUNC(K1395*E1395,0)</f>
        <v>13666</v>
      </c>
      <c r="M1395" s="470">
        <f>G1395+I1395+K1395</f>
        <v>48593</v>
      </c>
      <c r="N1395" s="470">
        <f>H1395+J1395+L1395</f>
        <v>48593</v>
      </c>
      <c r="O1395" s="460">
        <f>중기사용료!A819</f>
        <v>44</v>
      </c>
      <c r="P1395" s="767"/>
    </row>
    <row r="1396" spans="2:17" ht="15.2" customHeight="1">
      <c r="B1396" s="766" t="s">
        <v>855</v>
      </c>
      <c r="C1396" s="766"/>
      <c r="D1396" s="84"/>
      <c r="E1396" s="87"/>
      <c r="F1396" s="86"/>
      <c r="G1396" s="470"/>
      <c r="H1396" s="470">
        <f>SUM(H1395:H1395)</f>
        <v>7759</v>
      </c>
      <c r="I1396" s="470"/>
      <c r="J1396" s="470">
        <f>SUM(J1395:J1395)</f>
        <v>27168</v>
      </c>
      <c r="K1396" s="470"/>
      <c r="L1396" s="470">
        <f>SUM(L1395:L1395)</f>
        <v>13666</v>
      </c>
      <c r="M1396" s="470"/>
      <c r="N1396" s="470">
        <f>SUM(N1395:N1395)</f>
        <v>48593</v>
      </c>
      <c r="O1396" s="459"/>
      <c r="P1396" s="767"/>
      <c r="Q1396" s="80" t="s">
        <v>3244</v>
      </c>
    </row>
    <row r="1397" spans="2:17" ht="15.2" customHeight="1">
      <c r="B1397" s="96">
        <f>P1397</f>
        <v>245</v>
      </c>
      <c r="C1397" s="770" t="s">
        <v>2423</v>
      </c>
      <c r="D1397" s="770"/>
      <c r="E1397" s="770"/>
      <c r="F1397" s="771"/>
      <c r="G1397" s="470"/>
      <c r="H1397" s="470"/>
      <c r="I1397" s="470"/>
      <c r="J1397" s="470"/>
      <c r="K1397" s="470"/>
      <c r="L1397" s="470"/>
      <c r="M1397" s="470"/>
      <c r="N1397" s="470"/>
      <c r="O1397" s="459"/>
      <c r="P1397" s="767">
        <f>MAX($P$5:P1396)+1</f>
        <v>245</v>
      </c>
      <c r="Q1397" s="80" t="s">
        <v>3243</v>
      </c>
    </row>
    <row r="1398" spans="2:17" ht="15.2" customHeight="1">
      <c r="B1398" s="766" t="s">
        <v>2436</v>
      </c>
      <c r="C1398" s="766"/>
      <c r="D1398" s="84" t="s">
        <v>1196</v>
      </c>
      <c r="E1398" s="87">
        <v>1</v>
      </c>
      <c r="F1398" s="86" t="s">
        <v>453</v>
      </c>
      <c r="G1398" s="470">
        <f>중기사용료!$M$853</f>
        <v>11505</v>
      </c>
      <c r="H1398" s="470">
        <f>TRUNC(E1398*G1398,0)</f>
        <v>11505</v>
      </c>
      <c r="I1398" s="470">
        <f>중기사용료!$M$847</f>
        <v>27168</v>
      </c>
      <c r="J1398" s="470">
        <f>TRUNC(I1398*E1398,0)</f>
        <v>27168</v>
      </c>
      <c r="K1398" s="470">
        <f>중기사용료!$M$841</f>
        <v>25849</v>
      </c>
      <c r="L1398" s="470">
        <f>TRUNC(K1398*E1398,0)</f>
        <v>25849</v>
      </c>
      <c r="M1398" s="470">
        <f>G1398+I1398+K1398</f>
        <v>64522</v>
      </c>
      <c r="N1398" s="470">
        <f>H1398+J1398+L1398</f>
        <v>64522</v>
      </c>
      <c r="O1398" s="460">
        <f>중기사용료!A838</f>
        <v>45</v>
      </c>
      <c r="P1398" s="767"/>
    </row>
    <row r="1399" spans="2:17" ht="15.2" customHeight="1">
      <c r="B1399" s="766" t="s">
        <v>855</v>
      </c>
      <c r="C1399" s="766"/>
      <c r="D1399" s="84"/>
      <c r="E1399" s="87"/>
      <c r="F1399" s="86"/>
      <c r="G1399" s="470"/>
      <c r="H1399" s="470">
        <f>SUM(H1398:H1398)</f>
        <v>11505</v>
      </c>
      <c r="I1399" s="470"/>
      <c r="J1399" s="470">
        <f>SUM(J1398:J1398)</f>
        <v>27168</v>
      </c>
      <c r="K1399" s="470"/>
      <c r="L1399" s="470">
        <f>SUM(L1398:L1398)</f>
        <v>25849</v>
      </c>
      <c r="M1399" s="470"/>
      <c r="N1399" s="470">
        <f>SUM(N1398:N1398)</f>
        <v>64522</v>
      </c>
      <c r="O1399" s="459"/>
      <c r="P1399" s="767"/>
      <c r="Q1399" s="80" t="s">
        <v>3244</v>
      </c>
    </row>
    <row r="1400" spans="2:17" ht="15.2" customHeight="1">
      <c r="B1400" s="96">
        <f>P1400</f>
        <v>246</v>
      </c>
      <c r="C1400" s="770" t="s">
        <v>2424</v>
      </c>
      <c r="D1400" s="770"/>
      <c r="E1400" s="770"/>
      <c r="F1400" s="771"/>
      <c r="G1400" s="470"/>
      <c r="H1400" s="470"/>
      <c r="I1400" s="470"/>
      <c r="J1400" s="470"/>
      <c r="K1400" s="470"/>
      <c r="L1400" s="470"/>
      <c r="M1400" s="470"/>
      <c r="N1400" s="470"/>
      <c r="O1400" s="459"/>
      <c r="P1400" s="767">
        <f>MAX($P$5:P1399)+1</f>
        <v>246</v>
      </c>
      <c r="Q1400" s="80" t="s">
        <v>3243</v>
      </c>
    </row>
    <row r="1401" spans="2:17" ht="15.2" customHeight="1">
      <c r="B1401" s="766" t="s">
        <v>2436</v>
      </c>
      <c r="C1401" s="766"/>
      <c r="D1401" s="84" t="s">
        <v>1302</v>
      </c>
      <c r="E1401" s="87">
        <v>1</v>
      </c>
      <c r="F1401" s="86" t="s">
        <v>453</v>
      </c>
      <c r="G1401" s="470">
        <f>중기사용료!$M$872</f>
        <v>14047</v>
      </c>
      <c r="H1401" s="470">
        <f>TRUNC(E1401*G1401,0)</f>
        <v>14047</v>
      </c>
      <c r="I1401" s="470">
        <f>중기사용료!$M$866</f>
        <v>27168</v>
      </c>
      <c r="J1401" s="470">
        <f>TRUNC(I1401*E1401,0)</f>
        <v>27168</v>
      </c>
      <c r="K1401" s="470">
        <f>중기사용료!$M$860</f>
        <v>38773</v>
      </c>
      <c r="L1401" s="470">
        <f>TRUNC(K1401*E1401,0)</f>
        <v>38773</v>
      </c>
      <c r="M1401" s="470">
        <f>G1401+I1401+K1401</f>
        <v>79988</v>
      </c>
      <c r="N1401" s="470">
        <f>H1401+J1401+L1401</f>
        <v>79988</v>
      </c>
      <c r="O1401" s="460">
        <f>중기사용료!A857</f>
        <v>46</v>
      </c>
      <c r="P1401" s="767"/>
    </row>
    <row r="1402" spans="2:17" ht="15.2" customHeight="1">
      <c r="B1402" s="766" t="s">
        <v>855</v>
      </c>
      <c r="C1402" s="766"/>
      <c r="D1402" s="84"/>
      <c r="E1402" s="87"/>
      <c r="F1402" s="86"/>
      <c r="G1402" s="470"/>
      <c r="H1402" s="470">
        <f>SUM(H1401:H1401)</f>
        <v>14047</v>
      </c>
      <c r="I1402" s="470"/>
      <c r="J1402" s="470">
        <f>SUM(J1401:J1401)</f>
        <v>27168</v>
      </c>
      <c r="K1402" s="470"/>
      <c r="L1402" s="470">
        <f>SUM(L1401:L1401)</f>
        <v>38773</v>
      </c>
      <c r="M1402" s="470"/>
      <c r="N1402" s="470">
        <f>SUM(N1401:N1401)</f>
        <v>79988</v>
      </c>
      <c r="O1402" s="459"/>
      <c r="P1402" s="767"/>
      <c r="Q1402" s="80" t="s">
        <v>3244</v>
      </c>
    </row>
    <row r="1403" spans="2:17" ht="15.2" customHeight="1">
      <c r="B1403" s="96">
        <f>P1403</f>
        <v>247</v>
      </c>
      <c r="C1403" s="770" t="s">
        <v>2425</v>
      </c>
      <c r="D1403" s="770"/>
      <c r="E1403" s="770"/>
      <c r="F1403" s="771"/>
      <c r="G1403" s="470"/>
      <c r="H1403" s="470"/>
      <c r="I1403" s="470"/>
      <c r="J1403" s="470"/>
      <c r="K1403" s="470"/>
      <c r="L1403" s="470"/>
      <c r="M1403" s="470"/>
      <c r="N1403" s="470"/>
      <c r="O1403" s="459"/>
      <c r="P1403" s="767">
        <f>MAX($P$5:P1402)+1</f>
        <v>247</v>
      </c>
      <c r="Q1403" s="80" t="s">
        <v>3243</v>
      </c>
    </row>
    <row r="1404" spans="2:17" ht="15.2" customHeight="1">
      <c r="B1404" s="766" t="s">
        <v>2436</v>
      </c>
      <c r="C1404" s="766"/>
      <c r="D1404" s="84" t="s">
        <v>2426</v>
      </c>
      <c r="E1404" s="87">
        <v>1</v>
      </c>
      <c r="F1404" s="86" t="s">
        <v>453</v>
      </c>
      <c r="G1404" s="470">
        <f>중기사용료!$M$891</f>
        <v>16054</v>
      </c>
      <c r="H1404" s="470">
        <f>TRUNC(E1404*G1404,0)</f>
        <v>16054</v>
      </c>
      <c r="I1404" s="470">
        <f>중기사용료!$M$885</f>
        <v>27168</v>
      </c>
      <c r="J1404" s="470">
        <f>TRUNC(I1404*E1404,0)</f>
        <v>27168</v>
      </c>
      <c r="K1404" s="470">
        <f>중기사용료!$M$879</f>
        <v>64516</v>
      </c>
      <c r="L1404" s="470">
        <f>TRUNC(K1404*E1404,0)</f>
        <v>64516</v>
      </c>
      <c r="M1404" s="470">
        <f>G1404+I1404+K1404</f>
        <v>107738</v>
      </c>
      <c r="N1404" s="470">
        <f>H1404+J1404+L1404</f>
        <v>107738</v>
      </c>
      <c r="O1404" s="460">
        <f>중기사용료!A876</f>
        <v>47</v>
      </c>
      <c r="P1404" s="767"/>
    </row>
    <row r="1405" spans="2:17" ht="15.2" customHeight="1">
      <c r="B1405" s="766" t="s">
        <v>855</v>
      </c>
      <c r="C1405" s="766"/>
      <c r="D1405" s="84"/>
      <c r="E1405" s="87"/>
      <c r="F1405" s="86"/>
      <c r="G1405" s="470"/>
      <c r="H1405" s="470">
        <f>SUM(H1404:H1404)</f>
        <v>16054</v>
      </c>
      <c r="I1405" s="470"/>
      <c r="J1405" s="470">
        <f>SUM(J1404:J1404)</f>
        <v>27168</v>
      </c>
      <c r="K1405" s="470"/>
      <c r="L1405" s="470">
        <f>SUM(L1404:L1404)</f>
        <v>64516</v>
      </c>
      <c r="M1405" s="470"/>
      <c r="N1405" s="470">
        <f>SUM(N1404:N1404)</f>
        <v>107738</v>
      </c>
      <c r="O1405" s="459"/>
      <c r="P1405" s="767"/>
      <c r="Q1405" s="80" t="s">
        <v>3244</v>
      </c>
    </row>
    <row r="1406" spans="2:17" ht="15.2" customHeight="1">
      <c r="B1406" s="96">
        <f>P1406</f>
        <v>248</v>
      </c>
      <c r="C1406" s="770" t="s">
        <v>417</v>
      </c>
      <c r="D1406" s="770"/>
      <c r="E1406" s="770"/>
      <c r="F1406" s="771"/>
      <c r="G1406" s="470"/>
      <c r="H1406" s="470"/>
      <c r="I1406" s="470"/>
      <c r="J1406" s="470"/>
      <c r="K1406" s="470"/>
      <c r="L1406" s="470"/>
      <c r="M1406" s="470"/>
      <c r="N1406" s="470"/>
      <c r="O1406" s="459"/>
      <c r="P1406" s="767">
        <f>MAX($P$5:P1405)+1</f>
        <v>248</v>
      </c>
      <c r="Q1406" s="80" t="s">
        <v>3243</v>
      </c>
    </row>
    <row r="1407" spans="2:17" ht="15.2" customHeight="1">
      <c r="B1407" s="766" t="s">
        <v>2436</v>
      </c>
      <c r="C1407" s="766"/>
      <c r="D1407" s="84" t="s">
        <v>418</v>
      </c>
      <c r="E1407" s="87">
        <v>1</v>
      </c>
      <c r="F1407" s="86" t="s">
        <v>453</v>
      </c>
      <c r="G1407" s="470">
        <f>중기사용료!$M$910</f>
        <v>23011</v>
      </c>
      <c r="H1407" s="470">
        <f>TRUNC(E1407*G1407,0)</f>
        <v>23011</v>
      </c>
      <c r="I1407" s="470">
        <f>중기사용료!$M$904</f>
        <v>27168</v>
      </c>
      <c r="J1407" s="470">
        <f>TRUNC(I1407*E1407,0)</f>
        <v>27168</v>
      </c>
      <c r="K1407" s="470">
        <f>중기사용료!$M$898</f>
        <v>68865</v>
      </c>
      <c r="L1407" s="470">
        <f>TRUNC(K1407*E1407,0)</f>
        <v>68865</v>
      </c>
      <c r="M1407" s="470">
        <f>G1407+I1407+K1407</f>
        <v>119044</v>
      </c>
      <c r="N1407" s="470">
        <f>H1407+J1407+L1407</f>
        <v>119044</v>
      </c>
      <c r="O1407" s="460">
        <f>중기사용료!A895</f>
        <v>48</v>
      </c>
      <c r="P1407" s="767"/>
    </row>
    <row r="1408" spans="2:17" ht="15.2" customHeight="1">
      <c r="B1408" s="766" t="s">
        <v>855</v>
      </c>
      <c r="C1408" s="766"/>
      <c r="D1408" s="84"/>
      <c r="E1408" s="87"/>
      <c r="F1408" s="86"/>
      <c r="G1408" s="470"/>
      <c r="H1408" s="470">
        <f>SUM(H1407:H1407)</f>
        <v>23011</v>
      </c>
      <c r="I1408" s="470"/>
      <c r="J1408" s="470">
        <f>SUM(J1407:J1407)</f>
        <v>27168</v>
      </c>
      <c r="K1408" s="470"/>
      <c r="L1408" s="470">
        <f>SUM(L1407:L1407)</f>
        <v>68865</v>
      </c>
      <c r="M1408" s="470"/>
      <c r="N1408" s="470">
        <f>SUM(N1407:N1407)</f>
        <v>119044</v>
      </c>
      <c r="O1408" s="459"/>
      <c r="P1408" s="767"/>
      <c r="Q1408" s="80" t="s">
        <v>3244</v>
      </c>
    </row>
    <row r="1409" spans="2:17" ht="15.2" customHeight="1">
      <c r="B1409" s="96">
        <f>P1409</f>
        <v>249</v>
      </c>
      <c r="C1409" s="770" t="s">
        <v>419</v>
      </c>
      <c r="D1409" s="770"/>
      <c r="E1409" s="770"/>
      <c r="F1409" s="771"/>
      <c r="G1409" s="470"/>
      <c r="H1409" s="470"/>
      <c r="I1409" s="470"/>
      <c r="J1409" s="470"/>
      <c r="K1409" s="470"/>
      <c r="L1409" s="470"/>
      <c r="M1409" s="470"/>
      <c r="N1409" s="470"/>
      <c r="O1409" s="459"/>
      <c r="P1409" s="767">
        <f>MAX($P$5:P1408)+1</f>
        <v>249</v>
      </c>
      <c r="Q1409" s="80" t="s">
        <v>3243</v>
      </c>
    </row>
    <row r="1410" spans="2:17" ht="15.2" customHeight="1">
      <c r="B1410" s="766" t="s">
        <v>2436</v>
      </c>
      <c r="C1410" s="766"/>
      <c r="D1410" s="84" t="s">
        <v>420</v>
      </c>
      <c r="E1410" s="87">
        <v>1</v>
      </c>
      <c r="F1410" s="86" t="s">
        <v>453</v>
      </c>
      <c r="G1410" s="470">
        <f>중기사용료!$M$929</f>
        <v>25553</v>
      </c>
      <c r="H1410" s="470">
        <f>TRUNC(E1410*G1410,0)</f>
        <v>25553</v>
      </c>
      <c r="I1410" s="470">
        <f>중기사용료!$M$923</f>
        <v>27168</v>
      </c>
      <c r="J1410" s="470">
        <f>TRUNC(I1410*E1410,0)</f>
        <v>27168</v>
      </c>
      <c r="K1410" s="470">
        <f>중기사용료!$M$917</f>
        <v>92916</v>
      </c>
      <c r="L1410" s="470">
        <f>TRUNC(K1410*E1410,0)</f>
        <v>92916</v>
      </c>
      <c r="M1410" s="470">
        <f>G1410+I1410+K1410</f>
        <v>145637</v>
      </c>
      <c r="N1410" s="470">
        <f>H1410+J1410+L1410</f>
        <v>145637</v>
      </c>
      <c r="O1410" s="460">
        <f>중기사용료!A914</f>
        <v>49</v>
      </c>
      <c r="P1410" s="767"/>
    </row>
    <row r="1411" spans="2:17" ht="15.2" customHeight="1">
      <c r="B1411" s="766" t="s">
        <v>855</v>
      </c>
      <c r="C1411" s="766"/>
      <c r="D1411" s="84"/>
      <c r="E1411" s="87"/>
      <c r="F1411" s="86"/>
      <c r="G1411" s="470"/>
      <c r="H1411" s="470">
        <f>SUM(H1410:H1410)</f>
        <v>25553</v>
      </c>
      <c r="I1411" s="470"/>
      <c r="J1411" s="470">
        <f>SUM(J1410:J1410)</f>
        <v>27168</v>
      </c>
      <c r="K1411" s="470"/>
      <c r="L1411" s="470">
        <f>SUM(L1410:L1410)</f>
        <v>92916</v>
      </c>
      <c r="M1411" s="470"/>
      <c r="N1411" s="470">
        <f>SUM(N1410:N1410)</f>
        <v>145637</v>
      </c>
      <c r="O1411" s="459"/>
      <c r="P1411" s="767"/>
      <c r="Q1411" s="80" t="s">
        <v>3244</v>
      </c>
    </row>
    <row r="1412" spans="2:17" ht="15.2" customHeight="1">
      <c r="B1412" s="96">
        <f>P1412</f>
        <v>250</v>
      </c>
      <c r="C1412" s="770" t="s">
        <v>3253</v>
      </c>
      <c r="D1412" s="770"/>
      <c r="E1412" s="770"/>
      <c r="F1412" s="771"/>
      <c r="G1412" s="470"/>
      <c r="H1412" s="470"/>
      <c r="I1412" s="470"/>
      <c r="J1412" s="470"/>
      <c r="K1412" s="470"/>
      <c r="L1412" s="470"/>
      <c r="M1412" s="470"/>
      <c r="N1412" s="470"/>
      <c r="O1412" s="459"/>
      <c r="P1412" s="767">
        <f>MAX($P$5:P1411)+1</f>
        <v>250</v>
      </c>
      <c r="Q1412" s="80" t="s">
        <v>3243</v>
      </c>
    </row>
    <row r="1413" spans="2:17" ht="15.2" customHeight="1">
      <c r="B1413" s="766" t="s">
        <v>1395</v>
      </c>
      <c r="C1413" s="766"/>
      <c r="D1413" s="84" t="s">
        <v>2434</v>
      </c>
      <c r="E1413" s="87">
        <v>1</v>
      </c>
      <c r="F1413" s="86" t="s">
        <v>453</v>
      </c>
      <c r="G1413" s="470">
        <f>중기사용료!$M$948</f>
        <v>5888</v>
      </c>
      <c r="H1413" s="470">
        <f>TRUNC(E1413*G1413,0)</f>
        <v>5888</v>
      </c>
      <c r="I1413" s="470">
        <f>중기사용료!$M$942</f>
        <v>27168</v>
      </c>
      <c r="J1413" s="470">
        <f>TRUNC(I1413*E1413,0)</f>
        <v>27168</v>
      </c>
      <c r="K1413" s="470">
        <f>중기사용료!$M$936</f>
        <v>25355</v>
      </c>
      <c r="L1413" s="470">
        <f>TRUNC(K1413*E1413,0)</f>
        <v>25355</v>
      </c>
      <c r="M1413" s="470">
        <f>G1413+I1413+K1413</f>
        <v>58411</v>
      </c>
      <c r="N1413" s="470">
        <f>H1413+J1413+L1413</f>
        <v>58411</v>
      </c>
      <c r="O1413" s="460">
        <f>중기사용료!A933</f>
        <v>50</v>
      </c>
      <c r="P1413" s="767"/>
    </row>
    <row r="1414" spans="2:17" ht="15.2" customHeight="1">
      <c r="B1414" s="766" t="s">
        <v>855</v>
      </c>
      <c r="C1414" s="766"/>
      <c r="D1414" s="84"/>
      <c r="E1414" s="87"/>
      <c r="F1414" s="86"/>
      <c r="G1414" s="470"/>
      <c r="H1414" s="470">
        <f>SUM(H1413:H1413)</f>
        <v>5888</v>
      </c>
      <c r="I1414" s="470"/>
      <c r="J1414" s="470">
        <f>SUM(J1413:J1413)</f>
        <v>27168</v>
      </c>
      <c r="K1414" s="470"/>
      <c r="L1414" s="470">
        <f>SUM(L1413:L1413)</f>
        <v>25355</v>
      </c>
      <c r="M1414" s="470"/>
      <c r="N1414" s="470">
        <f>SUM(N1413:N1413)</f>
        <v>58411</v>
      </c>
      <c r="O1414" s="459"/>
      <c r="P1414" s="767"/>
      <c r="Q1414" s="80" t="s">
        <v>3244</v>
      </c>
    </row>
    <row r="1415" spans="2:17" ht="15.2" customHeight="1">
      <c r="B1415" s="96">
        <f>P1415</f>
        <v>251</v>
      </c>
      <c r="C1415" s="770" t="s">
        <v>3254</v>
      </c>
      <c r="D1415" s="770"/>
      <c r="E1415" s="770"/>
      <c r="F1415" s="771"/>
      <c r="G1415" s="470"/>
      <c r="H1415" s="470"/>
      <c r="I1415" s="470"/>
      <c r="J1415" s="470"/>
      <c r="K1415" s="470"/>
      <c r="L1415" s="470"/>
      <c r="M1415" s="470"/>
      <c r="N1415" s="470"/>
      <c r="O1415" s="459"/>
      <c r="P1415" s="767">
        <f>MAX($P$5:P1414)+1</f>
        <v>251</v>
      </c>
      <c r="Q1415" s="80" t="s">
        <v>3243</v>
      </c>
    </row>
    <row r="1416" spans="2:17" ht="15.2" customHeight="1">
      <c r="B1416" s="766" t="s">
        <v>1395</v>
      </c>
      <c r="C1416" s="766"/>
      <c r="D1416" s="84" t="s">
        <v>1196</v>
      </c>
      <c r="E1416" s="87">
        <v>1</v>
      </c>
      <c r="F1416" s="86" t="s">
        <v>453</v>
      </c>
      <c r="G1416" s="470">
        <f>중기사용료!$M$986</f>
        <v>8368</v>
      </c>
      <c r="H1416" s="470">
        <f>TRUNC(E1416*G1416,0)</f>
        <v>8368</v>
      </c>
      <c r="I1416" s="470">
        <f>중기사용료!$M$980</f>
        <v>27168</v>
      </c>
      <c r="J1416" s="470">
        <f>TRUNC(I1416*E1416,0)</f>
        <v>27168</v>
      </c>
      <c r="K1416" s="470">
        <f>중기사용료!$M$974</f>
        <v>47994</v>
      </c>
      <c r="L1416" s="470">
        <f>TRUNC(K1416*E1416,0)</f>
        <v>47994</v>
      </c>
      <c r="M1416" s="470">
        <f>G1416+I1416+K1416</f>
        <v>83530</v>
      </c>
      <c r="N1416" s="470">
        <f>H1416+J1416+L1416</f>
        <v>83530</v>
      </c>
      <c r="O1416" s="460">
        <f>중기사용료!A971</f>
        <v>52</v>
      </c>
      <c r="P1416" s="767"/>
    </row>
    <row r="1417" spans="2:17" ht="15.2" customHeight="1">
      <c r="B1417" s="766" t="s">
        <v>855</v>
      </c>
      <c r="C1417" s="766"/>
      <c r="D1417" s="84"/>
      <c r="E1417" s="87"/>
      <c r="F1417" s="86"/>
      <c r="G1417" s="470"/>
      <c r="H1417" s="470">
        <f>SUM(H1416:H1416)</f>
        <v>8368</v>
      </c>
      <c r="I1417" s="470"/>
      <c r="J1417" s="470">
        <f>SUM(J1416:J1416)</f>
        <v>27168</v>
      </c>
      <c r="K1417" s="470"/>
      <c r="L1417" s="470">
        <f>SUM(L1416:L1416)</f>
        <v>47994</v>
      </c>
      <c r="M1417" s="470"/>
      <c r="N1417" s="470">
        <f>SUM(N1416:N1416)</f>
        <v>83530</v>
      </c>
      <c r="O1417" s="459"/>
      <c r="P1417" s="767"/>
      <c r="Q1417" s="80" t="s">
        <v>3244</v>
      </c>
    </row>
    <row r="1418" spans="2:17" ht="15.2" customHeight="1">
      <c r="B1418" s="96">
        <f>P1418</f>
        <v>252</v>
      </c>
      <c r="C1418" s="770" t="s">
        <v>3255</v>
      </c>
      <c r="D1418" s="770"/>
      <c r="E1418" s="770"/>
      <c r="F1418" s="771"/>
      <c r="G1418" s="470"/>
      <c r="H1418" s="470"/>
      <c r="I1418" s="470"/>
      <c r="J1418" s="470"/>
      <c r="K1418" s="470"/>
      <c r="L1418" s="470"/>
      <c r="M1418" s="470"/>
      <c r="N1418" s="470"/>
      <c r="O1418" s="459"/>
      <c r="P1418" s="767">
        <f>MAX($P$5:P1417)+1</f>
        <v>252</v>
      </c>
      <c r="Q1418" s="80" t="s">
        <v>3243</v>
      </c>
    </row>
    <row r="1419" spans="2:17" ht="15.2" customHeight="1">
      <c r="B1419" s="766" t="s">
        <v>1395</v>
      </c>
      <c r="C1419" s="766"/>
      <c r="D1419" s="84" t="s">
        <v>1302</v>
      </c>
      <c r="E1419" s="87">
        <v>1</v>
      </c>
      <c r="F1419" s="86" t="s">
        <v>453</v>
      </c>
      <c r="G1419" s="470">
        <f>중기사용료!$M$1005</f>
        <v>11932</v>
      </c>
      <c r="H1419" s="470">
        <f>TRUNC(E1419*G1419,0)</f>
        <v>11932</v>
      </c>
      <c r="I1419" s="470">
        <f>중기사용료!$M$999</f>
        <v>27168</v>
      </c>
      <c r="J1419" s="470">
        <f>TRUNC(I1419*E1419,0)</f>
        <v>27168</v>
      </c>
      <c r="K1419" s="470">
        <f>중기사용료!$M$993</f>
        <v>49716</v>
      </c>
      <c r="L1419" s="470">
        <f>TRUNC(K1419*E1419,0)</f>
        <v>49716</v>
      </c>
      <c r="M1419" s="470">
        <f>G1419+I1419+K1419</f>
        <v>88816</v>
      </c>
      <c r="N1419" s="470">
        <f>H1419+J1419+L1419</f>
        <v>88816</v>
      </c>
      <c r="O1419" s="460">
        <f>중기사용료!A990</f>
        <v>53</v>
      </c>
      <c r="P1419" s="767"/>
    </row>
    <row r="1420" spans="2:17" ht="15.2" customHeight="1">
      <c r="B1420" s="766" t="s">
        <v>855</v>
      </c>
      <c r="C1420" s="766"/>
      <c r="D1420" s="84"/>
      <c r="E1420" s="87"/>
      <c r="F1420" s="86"/>
      <c r="G1420" s="470"/>
      <c r="H1420" s="470">
        <f>SUM(H1419:H1419)</f>
        <v>11932</v>
      </c>
      <c r="I1420" s="470"/>
      <c r="J1420" s="470">
        <f>SUM(J1419:J1419)</f>
        <v>27168</v>
      </c>
      <c r="K1420" s="470"/>
      <c r="L1420" s="470">
        <f>SUM(L1419:L1419)</f>
        <v>49716</v>
      </c>
      <c r="M1420" s="470"/>
      <c r="N1420" s="470">
        <f>SUM(N1419:N1419)</f>
        <v>88816</v>
      </c>
      <c r="O1420" s="459"/>
      <c r="P1420" s="767"/>
      <c r="Q1420" s="80" t="s">
        <v>3244</v>
      </c>
    </row>
    <row r="1421" spans="2:17" ht="15.2" customHeight="1">
      <c r="B1421" s="96">
        <f>P1421</f>
        <v>253</v>
      </c>
      <c r="C1421" s="770" t="s">
        <v>3256</v>
      </c>
      <c r="D1421" s="770"/>
      <c r="E1421" s="770"/>
      <c r="F1421" s="771"/>
      <c r="G1421" s="470"/>
      <c r="H1421" s="470"/>
      <c r="I1421" s="470"/>
      <c r="J1421" s="470"/>
      <c r="K1421" s="470"/>
      <c r="L1421" s="470"/>
      <c r="M1421" s="470"/>
      <c r="N1421" s="470"/>
      <c r="O1421" s="459"/>
      <c r="P1421" s="767">
        <f>MAX($P$5:P1420)+1</f>
        <v>253</v>
      </c>
      <c r="Q1421" s="80" t="s">
        <v>3243</v>
      </c>
    </row>
    <row r="1422" spans="2:17" ht="15.2" customHeight="1">
      <c r="B1422" s="766" t="s">
        <v>1395</v>
      </c>
      <c r="C1422" s="766"/>
      <c r="D1422" s="84" t="s">
        <v>2426</v>
      </c>
      <c r="E1422" s="87">
        <v>1</v>
      </c>
      <c r="F1422" s="86" t="s">
        <v>453</v>
      </c>
      <c r="G1422" s="470">
        <f>중기사용료!$M$1024</f>
        <v>17503</v>
      </c>
      <c r="H1422" s="470">
        <f>TRUNC(E1422*G1422,0)</f>
        <v>17503</v>
      </c>
      <c r="I1422" s="470">
        <f>중기사용료!$M$1018</f>
        <v>27168</v>
      </c>
      <c r="J1422" s="470">
        <f>TRUNC(I1422*E1422,0)</f>
        <v>27168</v>
      </c>
      <c r="K1422" s="470">
        <f>중기사용료!$M$1012</f>
        <v>79894</v>
      </c>
      <c r="L1422" s="470">
        <f>TRUNC(K1422*E1422,0)</f>
        <v>79894</v>
      </c>
      <c r="M1422" s="470">
        <f>G1422+I1422+K1422</f>
        <v>124565</v>
      </c>
      <c r="N1422" s="470">
        <f>H1422+J1422+L1422</f>
        <v>124565</v>
      </c>
      <c r="O1422" s="460">
        <f>중기사용료!A1009</f>
        <v>54</v>
      </c>
      <c r="P1422" s="767"/>
    </row>
    <row r="1423" spans="2:17" ht="15.2" customHeight="1">
      <c r="B1423" s="766" t="s">
        <v>855</v>
      </c>
      <c r="C1423" s="766"/>
      <c r="D1423" s="84"/>
      <c r="E1423" s="87"/>
      <c r="F1423" s="86"/>
      <c r="G1423" s="470"/>
      <c r="H1423" s="470">
        <f>SUM(H1422:H1422)</f>
        <v>17503</v>
      </c>
      <c r="I1423" s="470"/>
      <c r="J1423" s="470">
        <f>SUM(J1422:J1422)</f>
        <v>27168</v>
      </c>
      <c r="K1423" s="470"/>
      <c r="L1423" s="470">
        <f>SUM(L1422:L1422)</f>
        <v>79894</v>
      </c>
      <c r="M1423" s="470"/>
      <c r="N1423" s="470">
        <f>SUM(N1422:N1422)</f>
        <v>124565</v>
      </c>
      <c r="O1423" s="459"/>
      <c r="P1423" s="767"/>
      <c r="Q1423" s="80" t="s">
        <v>3244</v>
      </c>
    </row>
    <row r="1424" spans="2:17" ht="15.2" customHeight="1">
      <c r="B1424" s="96">
        <f>P1424</f>
        <v>254</v>
      </c>
      <c r="C1424" s="770" t="s">
        <v>3257</v>
      </c>
      <c r="D1424" s="770"/>
      <c r="E1424" s="770"/>
      <c r="F1424" s="771"/>
      <c r="G1424" s="470"/>
      <c r="H1424" s="470"/>
      <c r="I1424" s="470"/>
      <c r="J1424" s="470"/>
      <c r="K1424" s="470"/>
      <c r="L1424" s="470"/>
      <c r="M1424" s="470"/>
      <c r="N1424" s="470"/>
      <c r="O1424" s="459"/>
      <c r="P1424" s="767">
        <f>MAX($P$5:P1423)+1</f>
        <v>254</v>
      </c>
      <c r="Q1424" s="80" t="s">
        <v>3243</v>
      </c>
    </row>
    <row r="1425" spans="2:17" ht="15.2" customHeight="1">
      <c r="B1425" s="766" t="s">
        <v>1395</v>
      </c>
      <c r="C1425" s="766"/>
      <c r="D1425" s="84" t="s">
        <v>1362</v>
      </c>
      <c r="E1425" s="87">
        <v>1</v>
      </c>
      <c r="F1425" s="86" t="s">
        <v>453</v>
      </c>
      <c r="G1425" s="470">
        <f>중기사용료!$M$1043</f>
        <v>18554</v>
      </c>
      <c r="H1425" s="470">
        <f>TRUNC(E1425*G1425,0)</f>
        <v>18554</v>
      </c>
      <c r="I1425" s="470">
        <f>중기사용료!$M$1037</f>
        <v>27168</v>
      </c>
      <c r="J1425" s="470">
        <f>TRUNC(I1425*E1425,0)</f>
        <v>27168</v>
      </c>
      <c r="K1425" s="470">
        <f>중기사용료!$M$1031</f>
        <v>82226</v>
      </c>
      <c r="L1425" s="470">
        <f>TRUNC(K1425*E1425,0)</f>
        <v>82226</v>
      </c>
      <c r="M1425" s="470">
        <f>G1425+I1425+K1425</f>
        <v>127948</v>
      </c>
      <c r="N1425" s="470">
        <f>H1425+J1425+L1425</f>
        <v>127948</v>
      </c>
      <c r="O1425" s="460">
        <f>중기사용료!A1028</f>
        <v>55</v>
      </c>
      <c r="P1425" s="767"/>
    </row>
    <row r="1426" spans="2:17" ht="15.2" customHeight="1">
      <c r="B1426" s="766" t="s">
        <v>855</v>
      </c>
      <c r="C1426" s="766"/>
      <c r="D1426" s="84"/>
      <c r="E1426" s="87"/>
      <c r="F1426" s="86"/>
      <c r="G1426" s="470"/>
      <c r="H1426" s="470">
        <f>SUM(H1425:H1425)</f>
        <v>18554</v>
      </c>
      <c r="I1426" s="470"/>
      <c r="J1426" s="470">
        <f>SUM(J1425:J1425)</f>
        <v>27168</v>
      </c>
      <c r="K1426" s="470"/>
      <c r="L1426" s="470">
        <f>SUM(L1425:L1425)</f>
        <v>82226</v>
      </c>
      <c r="M1426" s="470"/>
      <c r="N1426" s="470">
        <f>SUM(N1425:N1425)</f>
        <v>127948</v>
      </c>
      <c r="O1426" s="459"/>
      <c r="P1426" s="767"/>
      <c r="Q1426" s="80" t="s">
        <v>3244</v>
      </c>
    </row>
    <row r="1427" spans="2:17" ht="15.2" customHeight="1">
      <c r="B1427" s="96">
        <f>P1427</f>
        <v>255</v>
      </c>
      <c r="C1427" s="770" t="s">
        <v>3258</v>
      </c>
      <c r="D1427" s="770"/>
      <c r="E1427" s="770"/>
      <c r="F1427" s="771"/>
      <c r="G1427" s="470"/>
      <c r="H1427" s="470"/>
      <c r="I1427" s="470"/>
      <c r="J1427" s="470"/>
      <c r="K1427" s="470"/>
      <c r="L1427" s="470"/>
      <c r="M1427" s="470"/>
      <c r="N1427" s="470"/>
      <c r="O1427" s="459"/>
      <c r="P1427" s="767">
        <f>MAX($P$5:P1426)+1</f>
        <v>255</v>
      </c>
      <c r="Q1427" s="80" t="s">
        <v>3243</v>
      </c>
    </row>
    <row r="1428" spans="2:17" ht="15.2" customHeight="1">
      <c r="B1428" s="766" t="s">
        <v>1393</v>
      </c>
      <c r="C1428" s="766"/>
      <c r="D1428" s="84" t="s">
        <v>420</v>
      </c>
      <c r="E1428" s="87">
        <v>1</v>
      </c>
      <c r="F1428" s="86" t="s">
        <v>453</v>
      </c>
      <c r="G1428" s="470">
        <f>중기사용료!$M$1062</f>
        <v>21529</v>
      </c>
      <c r="H1428" s="470">
        <f>TRUNC(E1428*G1428,0)</f>
        <v>21529</v>
      </c>
      <c r="I1428" s="470">
        <f>중기사용료!$M$1056</f>
        <v>27168</v>
      </c>
      <c r="J1428" s="470">
        <f>TRUNC(I1428*E1428,0)</f>
        <v>27168</v>
      </c>
      <c r="K1428" s="470">
        <f>중기사용료!$M$1050</f>
        <v>118068</v>
      </c>
      <c r="L1428" s="470">
        <f>TRUNC(K1428*E1428,0)</f>
        <v>118068</v>
      </c>
      <c r="M1428" s="470">
        <f>G1428+I1428+K1428</f>
        <v>166765</v>
      </c>
      <c r="N1428" s="470">
        <f>H1428+J1428+L1428</f>
        <v>166765</v>
      </c>
      <c r="O1428" s="460">
        <f>중기사용료!$A$1047</f>
        <v>56</v>
      </c>
      <c r="P1428" s="767"/>
    </row>
    <row r="1429" spans="2:17" ht="15.2" customHeight="1">
      <c r="B1429" s="766" t="s">
        <v>855</v>
      </c>
      <c r="C1429" s="766"/>
      <c r="D1429" s="84"/>
      <c r="E1429" s="87"/>
      <c r="F1429" s="86"/>
      <c r="G1429" s="470"/>
      <c r="H1429" s="470">
        <f>SUM(H1428:H1428)</f>
        <v>21529</v>
      </c>
      <c r="I1429" s="470"/>
      <c r="J1429" s="470">
        <f>SUM(J1428:J1428)</f>
        <v>27168</v>
      </c>
      <c r="K1429" s="470"/>
      <c r="L1429" s="470">
        <f>SUM(L1428:L1428)</f>
        <v>118068</v>
      </c>
      <c r="M1429" s="470"/>
      <c r="N1429" s="470">
        <f>SUM(N1428:N1428)</f>
        <v>166765</v>
      </c>
      <c r="O1429" s="459"/>
      <c r="P1429" s="767"/>
      <c r="Q1429" s="80" t="s">
        <v>3244</v>
      </c>
    </row>
    <row r="1430" spans="2:17" ht="15.2" customHeight="1">
      <c r="B1430" s="96">
        <f>P1430</f>
        <v>256</v>
      </c>
      <c r="C1430" s="770" t="s">
        <v>3259</v>
      </c>
      <c r="D1430" s="770"/>
      <c r="E1430" s="770"/>
      <c r="F1430" s="771"/>
      <c r="G1430" s="470"/>
      <c r="H1430" s="470"/>
      <c r="I1430" s="470"/>
      <c r="J1430" s="470"/>
      <c r="K1430" s="470"/>
      <c r="L1430" s="470"/>
      <c r="M1430" s="470"/>
      <c r="N1430" s="470"/>
      <c r="O1430" s="459"/>
      <c r="P1430" s="767">
        <f>MAX($P$5:P1429)+1</f>
        <v>256</v>
      </c>
      <c r="Q1430" s="80" t="s">
        <v>3243</v>
      </c>
    </row>
    <row r="1431" spans="2:17" ht="15.2" customHeight="1">
      <c r="B1431" s="766" t="s">
        <v>1615</v>
      </c>
      <c r="C1431" s="766"/>
      <c r="D1431" s="84" t="s">
        <v>1616</v>
      </c>
      <c r="E1431" s="87">
        <v>1</v>
      </c>
      <c r="F1431" s="86" t="s">
        <v>453</v>
      </c>
      <c r="G1431" s="470">
        <f>중기사용료!$M$1081</f>
        <v>6823</v>
      </c>
      <c r="H1431" s="470">
        <f>TRUNC(E1431*G1431,0)</f>
        <v>6823</v>
      </c>
      <c r="I1431" s="470">
        <f>중기사용료!$M$1075</f>
        <v>24483</v>
      </c>
      <c r="J1431" s="470">
        <f>TRUNC(I1431*E1431,0)</f>
        <v>24483</v>
      </c>
      <c r="K1431" s="470">
        <f>중기사용료!$M$1069</f>
        <v>8500</v>
      </c>
      <c r="L1431" s="470">
        <f>TRUNC(K1431*E1431,0)</f>
        <v>8500</v>
      </c>
      <c r="M1431" s="470">
        <f>G1431+I1431+K1431</f>
        <v>39806</v>
      </c>
      <c r="N1431" s="470">
        <f>H1431+J1431+L1431</f>
        <v>39806</v>
      </c>
      <c r="O1431" s="460">
        <f>중기사용료!$A$1066</f>
        <v>57</v>
      </c>
      <c r="P1431" s="767"/>
    </row>
    <row r="1432" spans="2:17" ht="15.2" customHeight="1">
      <c r="B1432" s="766" t="s">
        <v>855</v>
      </c>
      <c r="C1432" s="766"/>
      <c r="D1432" s="84"/>
      <c r="E1432" s="87"/>
      <c r="F1432" s="86"/>
      <c r="G1432" s="470"/>
      <c r="H1432" s="470">
        <f>SUM(H1431:H1431)</f>
        <v>6823</v>
      </c>
      <c r="I1432" s="470"/>
      <c r="J1432" s="470">
        <f>SUM(J1431:J1431)</f>
        <v>24483</v>
      </c>
      <c r="K1432" s="470"/>
      <c r="L1432" s="470">
        <f>SUM(L1431:L1431)</f>
        <v>8500</v>
      </c>
      <c r="M1432" s="470"/>
      <c r="N1432" s="470">
        <f>SUM(N1431:N1431)</f>
        <v>39806</v>
      </c>
      <c r="O1432" s="459"/>
      <c r="P1432" s="767"/>
      <c r="Q1432" s="80" t="s">
        <v>3244</v>
      </c>
    </row>
    <row r="1433" spans="2:17" ht="15.2" customHeight="1">
      <c r="B1433" s="96">
        <f>P1433</f>
        <v>257</v>
      </c>
      <c r="C1433" s="770" t="s">
        <v>1776</v>
      </c>
      <c r="D1433" s="770"/>
      <c r="E1433" s="770"/>
      <c r="F1433" s="771"/>
      <c r="G1433" s="470"/>
      <c r="H1433" s="470"/>
      <c r="I1433" s="470"/>
      <c r="J1433" s="470"/>
      <c r="K1433" s="470"/>
      <c r="L1433" s="470"/>
      <c r="M1433" s="470"/>
      <c r="N1433" s="470"/>
      <c r="O1433" s="459"/>
      <c r="P1433" s="767">
        <f>MAX($P$5:P1432)+1</f>
        <v>257</v>
      </c>
      <c r="Q1433" s="80" t="s">
        <v>3243</v>
      </c>
    </row>
    <row r="1434" spans="2:17" ht="15.2" customHeight="1">
      <c r="B1434" s="766" t="s">
        <v>1363</v>
      </c>
      <c r="C1434" s="766"/>
      <c r="D1434" s="84" t="s">
        <v>1364</v>
      </c>
      <c r="E1434" s="87">
        <v>1</v>
      </c>
      <c r="F1434" s="86" t="s">
        <v>453</v>
      </c>
      <c r="G1434" s="470">
        <f>중기사용료!$M$1100</f>
        <v>1739</v>
      </c>
      <c r="H1434" s="470">
        <f>TRUNC(E1434*G1434,0)</f>
        <v>1739</v>
      </c>
      <c r="I1434" s="470">
        <f>중기사용료!$M$1094</f>
        <v>18939</v>
      </c>
      <c r="J1434" s="470">
        <f>TRUNC(I1434*E1434,0)</f>
        <v>18939</v>
      </c>
      <c r="K1434" s="470">
        <f>중기사용료!$M$1088</f>
        <v>559</v>
      </c>
      <c r="L1434" s="470">
        <f>TRUNC(K1434*E1434,0)</f>
        <v>559</v>
      </c>
      <c r="M1434" s="470">
        <f>G1434+I1434+K1434</f>
        <v>21237</v>
      </c>
      <c r="N1434" s="470">
        <f>H1434+J1434+L1434</f>
        <v>21237</v>
      </c>
      <c r="O1434" s="460">
        <f>중기사용료!$A$1085</f>
        <v>58</v>
      </c>
      <c r="P1434" s="767"/>
    </row>
    <row r="1435" spans="2:17" ht="15.2" customHeight="1">
      <c r="B1435" s="766" t="s">
        <v>855</v>
      </c>
      <c r="C1435" s="766"/>
      <c r="D1435" s="84"/>
      <c r="E1435" s="87"/>
      <c r="F1435" s="86"/>
      <c r="G1435" s="470"/>
      <c r="H1435" s="470">
        <f>SUM(H1434:H1434)</f>
        <v>1739</v>
      </c>
      <c r="I1435" s="470"/>
      <c r="J1435" s="470">
        <f>SUM(J1434:J1434)</f>
        <v>18939</v>
      </c>
      <c r="K1435" s="470"/>
      <c r="L1435" s="470">
        <f>SUM(L1434:L1434)</f>
        <v>559</v>
      </c>
      <c r="M1435" s="470"/>
      <c r="N1435" s="470">
        <f>SUM(N1434:N1434)</f>
        <v>21237</v>
      </c>
      <c r="O1435" s="459"/>
      <c r="P1435" s="767"/>
      <c r="Q1435" s="80" t="s">
        <v>3244</v>
      </c>
    </row>
    <row r="1436" spans="2:17" ht="15.2" customHeight="1">
      <c r="B1436" s="96">
        <f>P1436</f>
        <v>258</v>
      </c>
      <c r="C1436" s="770" t="s">
        <v>1777</v>
      </c>
      <c r="D1436" s="770"/>
      <c r="E1436" s="770"/>
      <c r="F1436" s="771"/>
      <c r="G1436" s="470"/>
      <c r="H1436" s="470"/>
      <c r="I1436" s="470"/>
      <c r="J1436" s="470"/>
      <c r="K1436" s="470"/>
      <c r="L1436" s="470"/>
      <c r="M1436" s="470"/>
      <c r="N1436" s="470"/>
      <c r="O1436" s="459"/>
      <c r="P1436" s="767">
        <f>MAX($P$5:P1435)+1</f>
        <v>258</v>
      </c>
      <c r="Q1436" s="80" t="s">
        <v>3243</v>
      </c>
    </row>
    <row r="1437" spans="2:17" ht="15.2" customHeight="1">
      <c r="B1437" s="766" t="s">
        <v>797</v>
      </c>
      <c r="C1437" s="766"/>
      <c r="D1437" s="84" t="s">
        <v>93</v>
      </c>
      <c r="E1437" s="87">
        <v>1</v>
      </c>
      <c r="F1437" s="86" t="s">
        <v>453</v>
      </c>
      <c r="G1437" s="470">
        <f>중기사용료!$M$1119</f>
        <v>13231</v>
      </c>
      <c r="H1437" s="470">
        <f>TRUNC(E1437*G1437,0)</f>
        <v>13231</v>
      </c>
      <c r="I1437" s="470">
        <f>중기사용료!$M$1113</f>
        <v>24483</v>
      </c>
      <c r="J1437" s="470">
        <f>TRUNC(I1437*E1437,0)</f>
        <v>24483</v>
      </c>
      <c r="K1437" s="470">
        <f>중기사용료!$M$1107</f>
        <v>3374</v>
      </c>
      <c r="L1437" s="470">
        <f>TRUNC(K1437*E1437,0)</f>
        <v>3374</v>
      </c>
      <c r="M1437" s="470">
        <f>G1437+I1437+K1437</f>
        <v>41088</v>
      </c>
      <c r="N1437" s="470">
        <f>H1437+J1437+L1437</f>
        <v>41088</v>
      </c>
      <c r="O1437" s="460">
        <f>중기사용료!$A$1104</f>
        <v>59</v>
      </c>
      <c r="P1437" s="767"/>
    </row>
    <row r="1438" spans="2:17" ht="15.2" customHeight="1">
      <c r="B1438" s="766" t="s">
        <v>855</v>
      </c>
      <c r="C1438" s="766"/>
      <c r="D1438" s="84"/>
      <c r="E1438" s="87"/>
      <c r="F1438" s="86"/>
      <c r="G1438" s="470"/>
      <c r="H1438" s="470">
        <f>SUM(H1437:H1437)</f>
        <v>13231</v>
      </c>
      <c r="I1438" s="470"/>
      <c r="J1438" s="470">
        <f>SUM(J1437:J1437)</f>
        <v>24483</v>
      </c>
      <c r="K1438" s="470"/>
      <c r="L1438" s="470">
        <f>SUM(L1437:L1437)</f>
        <v>3374</v>
      </c>
      <c r="M1438" s="470"/>
      <c r="N1438" s="470">
        <f>SUM(N1437:N1437)</f>
        <v>41088</v>
      </c>
      <c r="O1438" s="459"/>
      <c r="P1438" s="767"/>
      <c r="Q1438" s="80" t="s">
        <v>3244</v>
      </c>
    </row>
    <row r="1439" spans="2:17" ht="15.2" customHeight="1">
      <c r="B1439" s="96">
        <f>P1439</f>
        <v>259</v>
      </c>
      <c r="C1439" s="770" t="s">
        <v>1778</v>
      </c>
      <c r="D1439" s="770"/>
      <c r="E1439" s="770"/>
      <c r="F1439" s="771"/>
      <c r="G1439" s="470"/>
      <c r="H1439" s="470"/>
      <c r="I1439" s="470"/>
      <c r="J1439" s="470"/>
      <c r="K1439" s="470"/>
      <c r="L1439" s="470"/>
      <c r="M1439" s="470"/>
      <c r="N1439" s="470"/>
      <c r="O1439" s="459"/>
      <c r="P1439" s="767">
        <f>MAX($P$5:P1438)+1</f>
        <v>259</v>
      </c>
      <c r="Q1439" s="80" t="s">
        <v>3243</v>
      </c>
    </row>
    <row r="1440" spans="2:17" ht="15.2" customHeight="1">
      <c r="B1440" s="766" t="s">
        <v>1195</v>
      </c>
      <c r="C1440" s="766"/>
      <c r="D1440" s="84" t="s">
        <v>1196</v>
      </c>
      <c r="E1440" s="87">
        <v>1</v>
      </c>
      <c r="F1440" s="86" t="s">
        <v>453</v>
      </c>
      <c r="G1440" s="470">
        <f>중기사용료!$M$1138</f>
        <v>25570</v>
      </c>
      <c r="H1440" s="470">
        <f>TRUNC(E1440*G1440,0)</f>
        <v>25570</v>
      </c>
      <c r="I1440" s="470">
        <f>중기사용료!$M$1132</f>
        <v>24483</v>
      </c>
      <c r="J1440" s="470">
        <f>TRUNC(I1440*E1440,0)</f>
        <v>24483</v>
      </c>
      <c r="K1440" s="470">
        <f>중기사용료!$M$1126</f>
        <v>14520</v>
      </c>
      <c r="L1440" s="470">
        <f>TRUNC(K1440*E1440,0)</f>
        <v>14520</v>
      </c>
      <c r="M1440" s="470">
        <f>G1440+I1440+K1440</f>
        <v>64573</v>
      </c>
      <c r="N1440" s="470">
        <f>H1440+J1440+L1440</f>
        <v>64573</v>
      </c>
      <c r="O1440" s="460">
        <f>중기사용료!$A$1123</f>
        <v>60</v>
      </c>
      <c r="P1440" s="767"/>
    </row>
    <row r="1441" spans="2:17" ht="15.2" customHeight="1">
      <c r="B1441" s="766" t="s">
        <v>855</v>
      </c>
      <c r="C1441" s="766"/>
      <c r="D1441" s="84"/>
      <c r="E1441" s="87"/>
      <c r="F1441" s="86"/>
      <c r="G1441" s="470"/>
      <c r="H1441" s="470">
        <f>SUM(H1440:H1440)</f>
        <v>25570</v>
      </c>
      <c r="I1441" s="470"/>
      <c r="J1441" s="470">
        <f>SUM(J1440:J1440)</f>
        <v>24483</v>
      </c>
      <c r="K1441" s="470"/>
      <c r="L1441" s="470">
        <f>SUM(L1440:L1440)</f>
        <v>14520</v>
      </c>
      <c r="M1441" s="470"/>
      <c r="N1441" s="470">
        <f>SUM(N1440:N1440)</f>
        <v>64573</v>
      </c>
      <c r="O1441" s="459"/>
      <c r="P1441" s="767"/>
      <c r="Q1441" s="80" t="s">
        <v>3244</v>
      </c>
    </row>
    <row r="1442" spans="2:17" ht="15.2" customHeight="1">
      <c r="B1442" s="96">
        <f>P1442</f>
        <v>260</v>
      </c>
      <c r="C1442" s="770" t="s">
        <v>1779</v>
      </c>
      <c r="D1442" s="770"/>
      <c r="E1442" s="770"/>
      <c r="F1442" s="771"/>
      <c r="G1442" s="470"/>
      <c r="H1442" s="470"/>
      <c r="I1442" s="470"/>
      <c r="J1442" s="470"/>
      <c r="K1442" s="470"/>
      <c r="L1442" s="470"/>
      <c r="M1442" s="470"/>
      <c r="N1442" s="470"/>
      <c r="O1442" s="459"/>
      <c r="P1442" s="767">
        <f>MAX($P$5:P1441)+1</f>
        <v>260</v>
      </c>
      <c r="Q1442" s="80" t="s">
        <v>3243</v>
      </c>
    </row>
    <row r="1443" spans="2:17" ht="15.2" customHeight="1">
      <c r="B1443" s="766" t="s">
        <v>1195</v>
      </c>
      <c r="C1443" s="766"/>
      <c r="D1443" s="84" t="s">
        <v>1302</v>
      </c>
      <c r="E1443" s="87">
        <v>1</v>
      </c>
      <c r="F1443" s="86" t="s">
        <v>453</v>
      </c>
      <c r="G1443" s="470">
        <f>중기사용료!$M$1157</f>
        <v>26655</v>
      </c>
      <c r="H1443" s="470">
        <f>TRUNC(E1443*G1443,0)</f>
        <v>26655</v>
      </c>
      <c r="I1443" s="470">
        <f>중기사용료!$M$1151</f>
        <v>24483</v>
      </c>
      <c r="J1443" s="470">
        <f>TRUNC(I1443*E1443,0)</f>
        <v>24483</v>
      </c>
      <c r="K1443" s="470">
        <f>중기사용료!$M$1145</f>
        <v>19565</v>
      </c>
      <c r="L1443" s="470">
        <f>TRUNC(K1443*E1443,0)</f>
        <v>19565</v>
      </c>
      <c r="M1443" s="470">
        <f>G1443+I1443+K1443</f>
        <v>70703</v>
      </c>
      <c r="N1443" s="470">
        <f>H1443+J1443+L1443</f>
        <v>70703</v>
      </c>
      <c r="O1443" s="460">
        <f>중기사용료!$A$1142</f>
        <v>61</v>
      </c>
      <c r="P1443" s="767"/>
    </row>
    <row r="1444" spans="2:17" ht="15.2" customHeight="1">
      <c r="B1444" s="766" t="s">
        <v>855</v>
      </c>
      <c r="C1444" s="766"/>
      <c r="D1444" s="84"/>
      <c r="E1444" s="87"/>
      <c r="F1444" s="86"/>
      <c r="G1444" s="470"/>
      <c r="H1444" s="470">
        <f>SUM(H1443:H1443)</f>
        <v>26655</v>
      </c>
      <c r="I1444" s="470"/>
      <c r="J1444" s="470">
        <f>SUM(J1443:J1443)</f>
        <v>24483</v>
      </c>
      <c r="K1444" s="470"/>
      <c r="L1444" s="470">
        <f>SUM(L1443:L1443)</f>
        <v>19565</v>
      </c>
      <c r="M1444" s="470"/>
      <c r="N1444" s="470">
        <f>SUM(N1443:N1443)</f>
        <v>70703</v>
      </c>
      <c r="O1444" s="459"/>
      <c r="P1444" s="767"/>
      <c r="Q1444" s="80" t="s">
        <v>3244</v>
      </c>
    </row>
    <row r="1445" spans="2:17" ht="15.2" customHeight="1">
      <c r="B1445" s="96">
        <f>P1445</f>
        <v>261</v>
      </c>
      <c r="C1445" s="770" t="s">
        <v>1780</v>
      </c>
      <c r="D1445" s="770"/>
      <c r="E1445" s="770"/>
      <c r="F1445" s="771"/>
      <c r="G1445" s="470"/>
      <c r="H1445" s="470"/>
      <c r="I1445" s="470"/>
      <c r="J1445" s="470"/>
      <c r="K1445" s="470"/>
      <c r="L1445" s="470"/>
      <c r="M1445" s="470"/>
      <c r="N1445" s="470"/>
      <c r="O1445" s="459"/>
      <c r="P1445" s="767">
        <f>MAX($P$5:P1444)+1</f>
        <v>261</v>
      </c>
      <c r="Q1445" s="80" t="s">
        <v>3243</v>
      </c>
    </row>
    <row r="1446" spans="2:17" ht="15.2" customHeight="1">
      <c r="B1446" s="766" t="s">
        <v>1195</v>
      </c>
      <c r="C1446" s="766"/>
      <c r="D1446" s="84" t="s">
        <v>798</v>
      </c>
      <c r="E1446" s="87">
        <v>1</v>
      </c>
      <c r="F1446" s="86" t="s">
        <v>453</v>
      </c>
      <c r="G1446" s="470">
        <f>중기사용료!$M$1176</f>
        <v>31769</v>
      </c>
      <c r="H1446" s="470">
        <f>TRUNC(E1446*G1446,0)</f>
        <v>31769</v>
      </c>
      <c r="I1446" s="470">
        <f>중기사용료!$M$1170</f>
        <v>24483</v>
      </c>
      <c r="J1446" s="470">
        <f>TRUNC(I1446*E1446,0)</f>
        <v>24483</v>
      </c>
      <c r="K1446" s="470">
        <f>중기사용료!$M$1164</f>
        <v>25812</v>
      </c>
      <c r="L1446" s="470">
        <f>TRUNC(K1446*E1446,0)</f>
        <v>25812</v>
      </c>
      <c r="M1446" s="470">
        <f>G1446+I1446+K1446</f>
        <v>82064</v>
      </c>
      <c r="N1446" s="470">
        <f>H1446+J1446+L1446</f>
        <v>82064</v>
      </c>
      <c r="O1446" s="460">
        <f>중기사용료!$A$1161</f>
        <v>62</v>
      </c>
      <c r="P1446" s="767"/>
    </row>
    <row r="1447" spans="2:17" ht="15.2" customHeight="1">
      <c r="B1447" s="766" t="s">
        <v>855</v>
      </c>
      <c r="C1447" s="766"/>
      <c r="D1447" s="84"/>
      <c r="E1447" s="87"/>
      <c r="F1447" s="86"/>
      <c r="G1447" s="470"/>
      <c r="H1447" s="470">
        <f>SUM(H1446:H1446)</f>
        <v>31769</v>
      </c>
      <c r="I1447" s="470"/>
      <c r="J1447" s="470">
        <f>SUM(J1446:J1446)</f>
        <v>24483</v>
      </c>
      <c r="K1447" s="470"/>
      <c r="L1447" s="470">
        <f>SUM(L1446:L1446)</f>
        <v>25812</v>
      </c>
      <c r="M1447" s="470"/>
      <c r="N1447" s="470">
        <f>SUM(N1446:N1446)</f>
        <v>82064</v>
      </c>
      <c r="O1447" s="459"/>
      <c r="P1447" s="767"/>
      <c r="Q1447" s="80" t="s">
        <v>3244</v>
      </c>
    </row>
    <row r="1448" spans="2:17" ht="15.2" customHeight="1">
      <c r="B1448" s="96">
        <f>P1448</f>
        <v>262</v>
      </c>
      <c r="C1448" s="770" t="s">
        <v>1781</v>
      </c>
      <c r="D1448" s="770"/>
      <c r="E1448" s="770"/>
      <c r="F1448" s="771"/>
      <c r="G1448" s="470"/>
      <c r="H1448" s="470"/>
      <c r="I1448" s="470"/>
      <c r="J1448" s="470"/>
      <c r="K1448" s="470"/>
      <c r="L1448" s="470"/>
      <c r="M1448" s="470"/>
      <c r="N1448" s="470"/>
      <c r="O1448" s="459"/>
      <c r="P1448" s="767">
        <f>MAX($P$5:P1447)+1</f>
        <v>262</v>
      </c>
      <c r="Q1448" s="80" t="s">
        <v>3243</v>
      </c>
    </row>
    <row r="1449" spans="2:17" ht="15.2" customHeight="1">
      <c r="B1449" s="766" t="s">
        <v>1195</v>
      </c>
      <c r="C1449" s="766"/>
      <c r="D1449" s="84" t="s">
        <v>1362</v>
      </c>
      <c r="E1449" s="87">
        <v>1</v>
      </c>
      <c r="F1449" s="86" t="s">
        <v>453</v>
      </c>
      <c r="G1449" s="470">
        <f>중기사용료!$M$1195</f>
        <v>40757</v>
      </c>
      <c r="H1449" s="470">
        <f>TRUNC(E1449*G1449,0)</f>
        <v>40757</v>
      </c>
      <c r="I1449" s="470">
        <f>중기사용료!$M$1189</f>
        <v>24483</v>
      </c>
      <c r="J1449" s="470">
        <f>TRUNC(I1449*E1449,0)</f>
        <v>24483</v>
      </c>
      <c r="K1449" s="470">
        <f>중기사용료!$M$1183</f>
        <v>36137</v>
      </c>
      <c r="L1449" s="470">
        <f>TRUNC(K1449*E1449,0)</f>
        <v>36137</v>
      </c>
      <c r="M1449" s="470">
        <f>G1449+I1449+K1449</f>
        <v>101377</v>
      </c>
      <c r="N1449" s="470">
        <f>H1449+J1449+L1449</f>
        <v>101377</v>
      </c>
      <c r="O1449" s="460">
        <f>중기사용료!$A$1180</f>
        <v>63</v>
      </c>
      <c r="P1449" s="767"/>
    </row>
    <row r="1450" spans="2:17" ht="15.2" customHeight="1">
      <c r="B1450" s="766" t="s">
        <v>855</v>
      </c>
      <c r="C1450" s="766"/>
      <c r="D1450" s="84"/>
      <c r="E1450" s="87"/>
      <c r="F1450" s="86"/>
      <c r="G1450" s="470"/>
      <c r="H1450" s="470">
        <f>SUM(H1449:H1449)</f>
        <v>40757</v>
      </c>
      <c r="I1450" s="470"/>
      <c r="J1450" s="470">
        <f>SUM(J1449:J1449)</f>
        <v>24483</v>
      </c>
      <c r="K1450" s="470"/>
      <c r="L1450" s="470">
        <f>SUM(L1449:L1449)</f>
        <v>36137</v>
      </c>
      <c r="M1450" s="470"/>
      <c r="N1450" s="470">
        <f>SUM(N1449:N1449)</f>
        <v>101377</v>
      </c>
      <c r="O1450" s="459"/>
      <c r="P1450" s="767"/>
      <c r="Q1450" s="80" t="s">
        <v>3244</v>
      </c>
    </row>
    <row r="1451" spans="2:17" ht="15.2" customHeight="1">
      <c r="B1451" s="96">
        <f>P1451</f>
        <v>263</v>
      </c>
      <c r="C1451" s="770" t="s">
        <v>1782</v>
      </c>
      <c r="D1451" s="770"/>
      <c r="E1451" s="770"/>
      <c r="F1451" s="771"/>
      <c r="G1451" s="470"/>
      <c r="H1451" s="470"/>
      <c r="I1451" s="470"/>
      <c r="J1451" s="470"/>
      <c r="K1451" s="470"/>
      <c r="L1451" s="470"/>
      <c r="M1451" s="470"/>
      <c r="N1451" s="470"/>
      <c r="O1451" s="459"/>
      <c r="P1451" s="767">
        <f>MAX($P$5:P1450)+1</f>
        <v>263</v>
      </c>
      <c r="Q1451" s="80" t="s">
        <v>3243</v>
      </c>
    </row>
    <row r="1452" spans="2:17" ht="15.2" customHeight="1">
      <c r="B1452" s="766" t="s">
        <v>799</v>
      </c>
      <c r="C1452" s="766"/>
      <c r="D1452" s="84" t="s">
        <v>800</v>
      </c>
      <c r="E1452" s="87">
        <v>1</v>
      </c>
      <c r="F1452" s="86" t="s">
        <v>453</v>
      </c>
      <c r="G1452" s="470">
        <f>중기사용료!$M$1214</f>
        <v>15508</v>
      </c>
      <c r="H1452" s="470">
        <f>TRUNC(E1452*G1452,0)</f>
        <v>15508</v>
      </c>
      <c r="I1452" s="470">
        <f>중기사용료!$M$1208</f>
        <v>27168</v>
      </c>
      <c r="J1452" s="470">
        <f>TRUNC(I1452*E1452,0)</f>
        <v>27168</v>
      </c>
      <c r="K1452" s="470">
        <f>중기사용료!$M$1202</f>
        <v>40728</v>
      </c>
      <c r="L1452" s="470">
        <f>TRUNC(K1452*E1452,0)</f>
        <v>40728</v>
      </c>
      <c r="M1452" s="470">
        <f>G1452+I1452+K1452</f>
        <v>83404</v>
      </c>
      <c r="N1452" s="470">
        <f>H1452+J1452+L1452</f>
        <v>83404</v>
      </c>
      <c r="O1452" s="460">
        <f>중기사용료!$A$1199</f>
        <v>64</v>
      </c>
      <c r="P1452" s="767"/>
    </row>
    <row r="1453" spans="2:17" ht="15.2" customHeight="1">
      <c r="B1453" s="766" t="s">
        <v>855</v>
      </c>
      <c r="C1453" s="766"/>
      <c r="D1453" s="84"/>
      <c r="E1453" s="87"/>
      <c r="F1453" s="86"/>
      <c r="G1453" s="470"/>
      <c r="H1453" s="470">
        <f>SUM(H1452:H1452)</f>
        <v>15508</v>
      </c>
      <c r="I1453" s="470"/>
      <c r="J1453" s="470">
        <f>SUM(J1452:J1452)</f>
        <v>27168</v>
      </c>
      <c r="K1453" s="470"/>
      <c r="L1453" s="470">
        <f>SUM(L1452:L1452)</f>
        <v>40728</v>
      </c>
      <c r="M1453" s="470"/>
      <c r="N1453" s="470">
        <f>SUM(N1452:N1452)</f>
        <v>83404</v>
      </c>
      <c r="O1453" s="459"/>
      <c r="P1453" s="767"/>
      <c r="Q1453" s="80" t="s">
        <v>3244</v>
      </c>
    </row>
    <row r="1454" spans="2:17" ht="15.2" customHeight="1">
      <c r="B1454" s="96">
        <f>P1454</f>
        <v>264</v>
      </c>
      <c r="C1454" s="770" t="s">
        <v>1783</v>
      </c>
      <c r="D1454" s="770"/>
      <c r="E1454" s="770"/>
      <c r="F1454" s="771"/>
      <c r="G1454" s="470"/>
      <c r="H1454" s="470"/>
      <c r="I1454" s="470"/>
      <c r="J1454" s="470"/>
      <c r="K1454" s="470"/>
      <c r="L1454" s="470"/>
      <c r="M1454" s="470"/>
      <c r="N1454" s="470"/>
      <c r="O1454" s="459"/>
      <c r="P1454" s="767">
        <f>MAX($P$5:P1453)+1</f>
        <v>264</v>
      </c>
      <c r="Q1454" s="80" t="s">
        <v>3243</v>
      </c>
    </row>
    <row r="1455" spans="2:17" ht="15.2" customHeight="1">
      <c r="B1455" s="766" t="s">
        <v>801</v>
      </c>
      <c r="C1455" s="766"/>
      <c r="D1455" s="84" t="s">
        <v>802</v>
      </c>
      <c r="E1455" s="87">
        <v>1</v>
      </c>
      <c r="F1455" s="86" t="s">
        <v>453</v>
      </c>
      <c r="G1455" s="470">
        <f>중기사용료!$M$1233</f>
        <v>15190</v>
      </c>
      <c r="H1455" s="470">
        <f>TRUNC(E1455*G1455,0)</f>
        <v>15190</v>
      </c>
      <c r="I1455" s="470">
        <f>중기사용료!$M$1227</f>
        <v>27168</v>
      </c>
      <c r="J1455" s="470">
        <f>TRUNC(I1455*E1455,0)</f>
        <v>27168</v>
      </c>
      <c r="K1455" s="470">
        <f>중기사용료!$M$1221</f>
        <v>13784</v>
      </c>
      <c r="L1455" s="470">
        <f>TRUNC(K1455*E1455,0)</f>
        <v>13784</v>
      </c>
      <c r="M1455" s="470">
        <f>G1455+I1455+K1455</f>
        <v>56142</v>
      </c>
      <c r="N1455" s="470">
        <f>H1455+J1455+L1455</f>
        <v>56142</v>
      </c>
      <c r="O1455" s="460">
        <f>중기사용료!$A$1218</f>
        <v>65</v>
      </c>
      <c r="P1455" s="767"/>
    </row>
    <row r="1456" spans="2:17" ht="15.2" customHeight="1">
      <c r="B1456" s="766" t="s">
        <v>855</v>
      </c>
      <c r="C1456" s="766"/>
      <c r="D1456" s="84"/>
      <c r="E1456" s="87"/>
      <c r="F1456" s="86"/>
      <c r="G1456" s="470"/>
      <c r="H1456" s="470">
        <f>SUM(H1455:H1455)</f>
        <v>15190</v>
      </c>
      <c r="I1456" s="470"/>
      <c r="J1456" s="470">
        <f>SUM(J1455:J1455)</f>
        <v>27168</v>
      </c>
      <c r="K1456" s="470"/>
      <c r="L1456" s="470">
        <f>SUM(L1455:L1455)</f>
        <v>13784</v>
      </c>
      <c r="M1456" s="470"/>
      <c r="N1456" s="470">
        <f>SUM(N1455:N1455)</f>
        <v>56142</v>
      </c>
      <c r="O1456" s="459"/>
      <c r="P1456" s="767"/>
      <c r="Q1456" s="80" t="s">
        <v>3244</v>
      </c>
    </row>
    <row r="1457" spans="2:17" ht="15.2" customHeight="1">
      <c r="B1457" s="96">
        <f>P1457</f>
        <v>265</v>
      </c>
      <c r="C1457" s="770" t="s">
        <v>1784</v>
      </c>
      <c r="D1457" s="770"/>
      <c r="E1457" s="770"/>
      <c r="F1457" s="771"/>
      <c r="G1457" s="470"/>
      <c r="H1457" s="470"/>
      <c r="I1457" s="470"/>
      <c r="J1457" s="470"/>
      <c r="K1457" s="470"/>
      <c r="L1457" s="470"/>
      <c r="M1457" s="470"/>
      <c r="N1457" s="470"/>
      <c r="O1457" s="459"/>
      <c r="P1457" s="767">
        <f>MAX($P$5:P1456)+1</f>
        <v>265</v>
      </c>
      <c r="Q1457" s="80" t="s">
        <v>3243</v>
      </c>
    </row>
    <row r="1458" spans="2:17" ht="15.2" customHeight="1">
      <c r="B1458" s="766" t="s">
        <v>976</v>
      </c>
      <c r="C1458" s="766"/>
      <c r="D1458" s="84" t="s">
        <v>1581</v>
      </c>
      <c r="E1458" s="87">
        <v>1</v>
      </c>
      <c r="F1458" s="86" t="s">
        <v>453</v>
      </c>
      <c r="G1458" s="470">
        <f>중기사용료!$M$1271</f>
        <v>5267</v>
      </c>
      <c r="H1458" s="470">
        <f>TRUNC(E1458*G1458,0)</f>
        <v>5267</v>
      </c>
      <c r="I1458" s="470">
        <f>중기사용료!$M$1265</f>
        <v>18939</v>
      </c>
      <c r="J1458" s="470">
        <f>TRUNC(I1458*E1458,0)</f>
        <v>18939</v>
      </c>
      <c r="K1458" s="470">
        <f>중기사용료!$M$1259</f>
        <v>4811</v>
      </c>
      <c r="L1458" s="470">
        <f>TRUNC(K1458*E1458,0)</f>
        <v>4811</v>
      </c>
      <c r="M1458" s="470">
        <f>G1458+I1458+K1458</f>
        <v>29017</v>
      </c>
      <c r="N1458" s="470">
        <f>H1458+J1458+L1458</f>
        <v>29017</v>
      </c>
      <c r="O1458" s="460">
        <f>중기사용료!$A$1256</f>
        <v>67</v>
      </c>
      <c r="P1458" s="767"/>
    </row>
    <row r="1459" spans="2:17" ht="15.2" customHeight="1">
      <c r="B1459" s="766" t="s">
        <v>855</v>
      </c>
      <c r="C1459" s="766"/>
      <c r="D1459" s="84"/>
      <c r="E1459" s="87"/>
      <c r="F1459" s="86"/>
      <c r="G1459" s="470"/>
      <c r="H1459" s="470">
        <f>SUM(H1458:H1458)</f>
        <v>5267</v>
      </c>
      <c r="I1459" s="470"/>
      <c r="J1459" s="470">
        <f>SUM(J1458:J1458)</f>
        <v>18939</v>
      </c>
      <c r="K1459" s="470"/>
      <c r="L1459" s="470">
        <f>SUM(L1458:L1458)</f>
        <v>4811</v>
      </c>
      <c r="M1459" s="470"/>
      <c r="N1459" s="470">
        <f>SUM(N1458:N1458)</f>
        <v>29017</v>
      </c>
      <c r="O1459" s="459"/>
      <c r="P1459" s="767"/>
      <c r="Q1459" s="80" t="s">
        <v>3244</v>
      </c>
    </row>
    <row r="1460" spans="2:17" ht="15.2" customHeight="1">
      <c r="B1460" s="96">
        <f>P1460</f>
        <v>266</v>
      </c>
      <c r="C1460" s="770" t="s">
        <v>1785</v>
      </c>
      <c r="D1460" s="770"/>
      <c r="E1460" s="770"/>
      <c r="F1460" s="771"/>
      <c r="G1460" s="470"/>
      <c r="H1460" s="470"/>
      <c r="I1460" s="470"/>
      <c r="J1460" s="470"/>
      <c r="K1460" s="470"/>
      <c r="L1460" s="470"/>
      <c r="M1460" s="470"/>
      <c r="N1460" s="470"/>
      <c r="O1460" s="459"/>
      <c r="P1460" s="767">
        <f>MAX($P$5:P1459)+1</f>
        <v>266</v>
      </c>
      <c r="Q1460" s="80" t="s">
        <v>3243</v>
      </c>
    </row>
    <row r="1461" spans="2:17" ht="15.2" customHeight="1">
      <c r="B1461" s="766" t="s">
        <v>1559</v>
      </c>
      <c r="C1461" s="766"/>
      <c r="D1461" s="84" t="s">
        <v>1028</v>
      </c>
      <c r="E1461" s="87">
        <v>1</v>
      </c>
      <c r="F1461" s="86" t="s">
        <v>453</v>
      </c>
      <c r="G1461" s="470">
        <f>중기사용료!$M$1290</f>
        <v>8899</v>
      </c>
      <c r="H1461" s="470">
        <f>TRUNC(E1461*G1461,0)</f>
        <v>8899</v>
      </c>
      <c r="I1461" s="470">
        <f>중기사용료!$M$1284</f>
        <v>18939</v>
      </c>
      <c r="J1461" s="470">
        <f>TRUNC(I1461*E1461,0)</f>
        <v>18939</v>
      </c>
      <c r="K1461" s="470">
        <f>중기사용료!$M$1278</f>
        <v>1460</v>
      </c>
      <c r="L1461" s="470">
        <f>TRUNC(K1461*E1461,0)</f>
        <v>1460</v>
      </c>
      <c r="M1461" s="470">
        <f>G1461+I1461+K1461</f>
        <v>29298</v>
      </c>
      <c r="N1461" s="470">
        <f>H1461+J1461+L1461</f>
        <v>29298</v>
      </c>
      <c r="O1461" s="460">
        <f>중기사용료!$A$1275</f>
        <v>68</v>
      </c>
      <c r="P1461" s="767"/>
    </row>
    <row r="1462" spans="2:17" ht="15.2" customHeight="1">
      <c r="B1462" s="766" t="s">
        <v>855</v>
      </c>
      <c r="C1462" s="766"/>
      <c r="D1462" s="84"/>
      <c r="E1462" s="87"/>
      <c r="F1462" s="86"/>
      <c r="G1462" s="470"/>
      <c r="H1462" s="470">
        <f>SUM(H1461:H1461)</f>
        <v>8899</v>
      </c>
      <c r="I1462" s="470"/>
      <c r="J1462" s="470">
        <f>SUM(J1461:J1461)</f>
        <v>18939</v>
      </c>
      <c r="K1462" s="470"/>
      <c r="L1462" s="470">
        <f>SUM(L1461:L1461)</f>
        <v>1460</v>
      </c>
      <c r="M1462" s="470"/>
      <c r="N1462" s="470">
        <f>SUM(N1461:N1461)</f>
        <v>29298</v>
      </c>
      <c r="O1462" s="459"/>
      <c r="P1462" s="767"/>
      <c r="Q1462" s="80" t="s">
        <v>3244</v>
      </c>
    </row>
    <row r="1463" spans="2:17" ht="15.2" customHeight="1">
      <c r="B1463" s="96">
        <f>P1463</f>
        <v>267</v>
      </c>
      <c r="C1463" s="770" t="s">
        <v>1786</v>
      </c>
      <c r="D1463" s="770"/>
      <c r="E1463" s="770"/>
      <c r="F1463" s="771"/>
      <c r="G1463" s="470"/>
      <c r="H1463" s="470"/>
      <c r="I1463" s="470"/>
      <c r="J1463" s="470"/>
      <c r="K1463" s="470"/>
      <c r="L1463" s="470"/>
      <c r="M1463" s="470"/>
      <c r="N1463" s="470"/>
      <c r="O1463" s="459"/>
      <c r="P1463" s="767">
        <f>MAX($P$5:P1462)+1</f>
        <v>267</v>
      </c>
      <c r="Q1463" s="80" t="s">
        <v>3243</v>
      </c>
    </row>
    <row r="1464" spans="2:17" ht="15.2" customHeight="1">
      <c r="B1464" s="766" t="s">
        <v>2223</v>
      </c>
      <c r="C1464" s="766"/>
      <c r="D1464" s="84" t="s">
        <v>1787</v>
      </c>
      <c r="E1464" s="87">
        <v>1</v>
      </c>
      <c r="F1464" s="86" t="s">
        <v>453</v>
      </c>
      <c r="G1464" s="470">
        <f>중기사용료!$M$1309</f>
        <v>26038</v>
      </c>
      <c r="H1464" s="470">
        <f>TRUNC(E1464*G1464,0)</f>
        <v>26038</v>
      </c>
      <c r="I1464" s="470">
        <f>중기사용료!$M$1303</f>
        <v>27168</v>
      </c>
      <c r="J1464" s="470">
        <f>TRUNC(I1464*E1464,0)</f>
        <v>27168</v>
      </c>
      <c r="K1464" s="470">
        <f>중기사용료!$M$1297</f>
        <v>55150</v>
      </c>
      <c r="L1464" s="470">
        <f>TRUNC(K1464*E1464,0)</f>
        <v>55150</v>
      </c>
      <c r="M1464" s="470">
        <f>G1464+I1464+K1464</f>
        <v>108356</v>
      </c>
      <c r="N1464" s="470">
        <f>H1464+J1464+L1464</f>
        <v>108356</v>
      </c>
      <c r="O1464" s="460">
        <f>중기사용료!$A$1294</f>
        <v>69</v>
      </c>
      <c r="P1464" s="767"/>
    </row>
    <row r="1465" spans="2:17" ht="15.2" customHeight="1">
      <c r="B1465" s="766" t="s">
        <v>855</v>
      </c>
      <c r="C1465" s="766"/>
      <c r="D1465" s="84"/>
      <c r="E1465" s="87"/>
      <c r="F1465" s="86"/>
      <c r="G1465" s="470"/>
      <c r="H1465" s="470">
        <f>SUM(H1464:H1464)</f>
        <v>26038</v>
      </c>
      <c r="I1465" s="470"/>
      <c r="J1465" s="470">
        <f>SUM(J1464:J1464)</f>
        <v>27168</v>
      </c>
      <c r="K1465" s="470"/>
      <c r="L1465" s="470">
        <f>SUM(L1464:L1464)</f>
        <v>55150</v>
      </c>
      <c r="M1465" s="470"/>
      <c r="N1465" s="470">
        <f>SUM(N1464:N1464)</f>
        <v>108356</v>
      </c>
      <c r="O1465" s="459"/>
      <c r="P1465" s="767"/>
      <c r="Q1465" s="80" t="s">
        <v>3244</v>
      </c>
    </row>
    <row r="1466" spans="2:17" ht="15.2" customHeight="1">
      <c r="B1466" s="96">
        <f>P1466</f>
        <v>268</v>
      </c>
      <c r="C1466" s="770" t="s">
        <v>1788</v>
      </c>
      <c r="D1466" s="770"/>
      <c r="E1466" s="770"/>
      <c r="F1466" s="771"/>
      <c r="G1466" s="470"/>
      <c r="H1466" s="470"/>
      <c r="I1466" s="470"/>
      <c r="J1466" s="470"/>
      <c r="K1466" s="470"/>
      <c r="L1466" s="470"/>
      <c r="M1466" s="470"/>
      <c r="N1466" s="470"/>
      <c r="O1466" s="459"/>
      <c r="P1466" s="767">
        <f>MAX($P$5:P1465)+1</f>
        <v>268</v>
      </c>
      <c r="Q1466" s="80" t="s">
        <v>3243</v>
      </c>
    </row>
    <row r="1467" spans="2:17" ht="15.2" customHeight="1">
      <c r="B1467" s="766" t="s">
        <v>1027</v>
      </c>
      <c r="C1467" s="766"/>
      <c r="D1467" s="84" t="s">
        <v>1789</v>
      </c>
      <c r="E1467" s="87">
        <v>1</v>
      </c>
      <c r="F1467" s="86" t="s">
        <v>453</v>
      </c>
      <c r="G1467" s="470">
        <f>중기사용료!$M$1347</f>
        <v>1456</v>
      </c>
      <c r="H1467" s="470">
        <f>TRUNC(E1467*G1467,0)</f>
        <v>1456</v>
      </c>
      <c r="I1467" s="470">
        <f>중기사용료!$M$1341</f>
        <v>0</v>
      </c>
      <c r="J1467" s="470">
        <f>TRUNC(I1467*E1467,0)</f>
        <v>0</v>
      </c>
      <c r="K1467" s="470">
        <f>중기사용료!$M$1335</f>
        <v>158</v>
      </c>
      <c r="L1467" s="470">
        <f>TRUNC(K1467*E1467,0)</f>
        <v>158</v>
      </c>
      <c r="M1467" s="470">
        <f t="shared" ref="M1467:N1469" si="359">G1467+I1467+K1467</f>
        <v>1614</v>
      </c>
      <c r="N1467" s="470">
        <f t="shared" si="359"/>
        <v>1614</v>
      </c>
      <c r="O1467" s="460">
        <f>중기사용료!$A$1332</f>
        <v>71</v>
      </c>
      <c r="P1467" s="767"/>
    </row>
    <row r="1468" spans="2:17" ht="15.2" customHeight="1">
      <c r="B1468" s="766" t="s">
        <v>1742</v>
      </c>
      <c r="C1468" s="766"/>
      <c r="D1468" s="84" t="s">
        <v>1743</v>
      </c>
      <c r="E1468" s="87">
        <v>1</v>
      </c>
      <c r="F1468" s="86" t="s">
        <v>453</v>
      </c>
      <c r="G1468" s="470">
        <f>중기사용료!$M$1708</f>
        <v>0</v>
      </c>
      <c r="H1468" s="470">
        <f>TRUNC(E1468*G1468,0)</f>
        <v>0</v>
      </c>
      <c r="I1468" s="470">
        <f>중기사용료!$M$1702</f>
        <v>0</v>
      </c>
      <c r="J1468" s="470">
        <f>TRUNC(I1468*E1468,0)</f>
        <v>0</v>
      </c>
      <c r="K1468" s="470">
        <f>중기사용료!$M$1696</f>
        <v>39</v>
      </c>
      <c r="L1468" s="470">
        <f>TRUNC(K1468*E1468,0)</f>
        <v>39</v>
      </c>
      <c r="M1468" s="470">
        <f t="shared" si="359"/>
        <v>39</v>
      </c>
      <c r="N1468" s="470">
        <f t="shared" si="359"/>
        <v>39</v>
      </c>
      <c r="O1468" s="460">
        <f>중기사용료!$A$1693</f>
        <v>90</v>
      </c>
      <c r="P1468" s="767"/>
    </row>
    <row r="1469" spans="2:17" ht="15.2" customHeight="1">
      <c r="B1469" s="766" t="s">
        <v>92</v>
      </c>
      <c r="C1469" s="766"/>
      <c r="D1469" s="84" t="s">
        <v>1744</v>
      </c>
      <c r="E1469" s="87">
        <v>1</v>
      </c>
      <c r="F1469" s="86" t="s">
        <v>453</v>
      </c>
      <c r="G1469" s="470">
        <f>중기사용료!$M$1689</f>
        <v>0</v>
      </c>
      <c r="H1469" s="470">
        <f>TRUNC(E1469*G1469,0)</f>
        <v>0</v>
      </c>
      <c r="I1469" s="470">
        <f>중기사용료!$M$1683</f>
        <v>0</v>
      </c>
      <c r="J1469" s="470">
        <f>TRUNC(I1469*E1469,0)</f>
        <v>0</v>
      </c>
      <c r="K1469" s="470">
        <f>중기사용료!$M$1677</f>
        <v>54</v>
      </c>
      <c r="L1469" s="470">
        <f>TRUNC(K1469*E1469,0)</f>
        <v>54</v>
      </c>
      <c r="M1469" s="470">
        <f t="shared" si="359"/>
        <v>54</v>
      </c>
      <c r="N1469" s="470">
        <f t="shared" si="359"/>
        <v>54</v>
      </c>
      <c r="O1469" s="460">
        <f>중기사용료!$A$1674</f>
        <v>89</v>
      </c>
      <c r="P1469" s="767"/>
    </row>
    <row r="1470" spans="2:17" ht="15.2" customHeight="1">
      <c r="B1470" s="766" t="s">
        <v>855</v>
      </c>
      <c r="C1470" s="766"/>
      <c r="D1470" s="84"/>
      <c r="E1470" s="87"/>
      <c r="F1470" s="86"/>
      <c r="G1470" s="470"/>
      <c r="H1470" s="470">
        <f>SUM(H1467:H1469)</f>
        <v>1456</v>
      </c>
      <c r="I1470" s="470"/>
      <c r="J1470" s="470">
        <f>SUM(J1467:J1469)</f>
        <v>0</v>
      </c>
      <c r="K1470" s="470"/>
      <c r="L1470" s="470">
        <f>SUM(L1467:L1469)</f>
        <v>251</v>
      </c>
      <c r="M1470" s="470"/>
      <c r="N1470" s="470">
        <f>SUM(N1467:N1469)</f>
        <v>1707</v>
      </c>
      <c r="O1470" s="459"/>
      <c r="P1470" s="767"/>
      <c r="Q1470" s="80" t="s">
        <v>3244</v>
      </c>
    </row>
    <row r="1471" spans="2:17" ht="15.2" customHeight="1">
      <c r="B1471" s="96">
        <f>P1471</f>
        <v>269</v>
      </c>
      <c r="C1471" s="770" t="s">
        <v>1790</v>
      </c>
      <c r="D1471" s="770"/>
      <c r="E1471" s="770"/>
      <c r="F1471" s="771"/>
      <c r="G1471" s="470"/>
      <c r="H1471" s="470"/>
      <c r="I1471" s="470"/>
      <c r="J1471" s="470"/>
      <c r="K1471" s="470"/>
      <c r="L1471" s="470"/>
      <c r="M1471" s="470"/>
      <c r="N1471" s="470"/>
      <c r="O1471" s="459"/>
      <c r="P1471" s="767">
        <f>MAX($P$5:P1470)+1</f>
        <v>269</v>
      </c>
      <c r="Q1471" s="80" t="s">
        <v>3243</v>
      </c>
    </row>
    <row r="1472" spans="2:17" ht="15.2" customHeight="1">
      <c r="B1472" s="766" t="s">
        <v>1027</v>
      </c>
      <c r="C1472" s="766"/>
      <c r="D1472" s="84" t="s">
        <v>1791</v>
      </c>
      <c r="E1472" s="87">
        <v>1</v>
      </c>
      <c r="F1472" s="86" t="s">
        <v>453</v>
      </c>
      <c r="G1472" s="470">
        <f>중기사용료!$M$1328</f>
        <v>0</v>
      </c>
      <c r="H1472" s="470">
        <f>TRUNC(E1472*G1472,0)</f>
        <v>0</v>
      </c>
      <c r="I1472" s="470">
        <f>중기사용료!$M$1322</f>
        <v>0</v>
      </c>
      <c r="J1472" s="470">
        <f>TRUNC(I1472*E1472,0)</f>
        <v>0</v>
      </c>
      <c r="K1472" s="470">
        <f>중기사용료!$M$1316</f>
        <v>79</v>
      </c>
      <c r="L1472" s="470">
        <f>TRUNC(K1472*E1472,0)</f>
        <v>79</v>
      </c>
      <c r="M1472" s="470">
        <f>G1472+I1472+K1472</f>
        <v>79</v>
      </c>
      <c r="N1472" s="470">
        <f>H1472+J1472+L1472</f>
        <v>79</v>
      </c>
      <c r="O1472" s="460">
        <f>중기사용료!$A$1313</f>
        <v>70</v>
      </c>
      <c r="P1472" s="767"/>
    </row>
    <row r="1473" spans="2:17" ht="15.2" customHeight="1">
      <c r="B1473" s="766" t="s">
        <v>855</v>
      </c>
      <c r="C1473" s="766"/>
      <c r="D1473" s="84"/>
      <c r="E1473" s="87"/>
      <c r="F1473" s="86"/>
      <c r="G1473" s="470"/>
      <c r="H1473" s="470">
        <f>SUM(H1472:H1472)</f>
        <v>0</v>
      </c>
      <c r="I1473" s="470"/>
      <c r="J1473" s="470">
        <f>SUM(J1472:J1472)</f>
        <v>0</v>
      </c>
      <c r="K1473" s="470"/>
      <c r="L1473" s="470">
        <f>SUM(L1472:L1472)</f>
        <v>79</v>
      </c>
      <c r="M1473" s="470"/>
      <c r="N1473" s="470">
        <f>SUM(N1472:N1472)</f>
        <v>79</v>
      </c>
      <c r="O1473" s="459"/>
      <c r="P1473" s="767"/>
      <c r="Q1473" s="80" t="s">
        <v>3244</v>
      </c>
    </row>
    <row r="1474" spans="2:17" ht="15.2" customHeight="1">
      <c r="B1474" s="96">
        <f>P1474</f>
        <v>270</v>
      </c>
      <c r="C1474" s="770" t="s">
        <v>1248</v>
      </c>
      <c r="D1474" s="770"/>
      <c r="E1474" s="770"/>
      <c r="F1474" s="771"/>
      <c r="G1474" s="470"/>
      <c r="H1474" s="470"/>
      <c r="I1474" s="470"/>
      <c r="J1474" s="470"/>
      <c r="K1474" s="470"/>
      <c r="L1474" s="470"/>
      <c r="M1474" s="470"/>
      <c r="N1474" s="470"/>
      <c r="O1474" s="459"/>
      <c r="P1474" s="767">
        <f>MAX($P$5:P1473)+1</f>
        <v>270</v>
      </c>
      <c r="Q1474" s="80" t="s">
        <v>3243</v>
      </c>
    </row>
    <row r="1475" spans="2:17" ht="15.2" customHeight="1">
      <c r="B1475" s="766" t="s">
        <v>1745</v>
      </c>
      <c r="C1475" s="766"/>
      <c r="D1475" s="84" t="s">
        <v>1249</v>
      </c>
      <c r="E1475" s="87">
        <v>1</v>
      </c>
      <c r="F1475" s="86" t="s">
        <v>453</v>
      </c>
      <c r="G1475" s="470">
        <f>중기사용료!$M$1366</f>
        <v>8018</v>
      </c>
      <c r="H1475" s="470">
        <f>TRUNC(E1475*G1475,0)</f>
        <v>8018</v>
      </c>
      <c r="I1475" s="470">
        <f>중기사용료!$M$1360</f>
        <v>27168</v>
      </c>
      <c r="J1475" s="470">
        <f>TRUNC(I1475*E1475,0)</f>
        <v>27168</v>
      </c>
      <c r="K1475" s="470">
        <f>중기사용료!$M$1354</f>
        <v>2066</v>
      </c>
      <c r="L1475" s="470">
        <f>TRUNC(K1475*E1475,0)</f>
        <v>2066</v>
      </c>
      <c r="M1475" s="470">
        <f>G1475+I1475+K1475</f>
        <v>37252</v>
      </c>
      <c r="N1475" s="470">
        <f>H1475+J1475+L1475</f>
        <v>37252</v>
      </c>
      <c r="O1475" s="460">
        <f>중기사용료!$A$1351</f>
        <v>72</v>
      </c>
      <c r="P1475" s="767"/>
    </row>
    <row r="1476" spans="2:17" ht="15.2" customHeight="1">
      <c r="B1476" s="766" t="s">
        <v>855</v>
      </c>
      <c r="C1476" s="766"/>
      <c r="D1476" s="84"/>
      <c r="E1476" s="87"/>
      <c r="F1476" s="86"/>
      <c r="G1476" s="470"/>
      <c r="H1476" s="470">
        <f>SUM(H1475:H1475)</f>
        <v>8018</v>
      </c>
      <c r="I1476" s="470"/>
      <c r="J1476" s="470">
        <f>SUM(J1475:J1475)</f>
        <v>27168</v>
      </c>
      <c r="K1476" s="470"/>
      <c r="L1476" s="470">
        <f>SUM(L1475:L1475)</f>
        <v>2066</v>
      </c>
      <c r="M1476" s="470"/>
      <c r="N1476" s="470">
        <f>SUM(N1475:N1475)</f>
        <v>37252</v>
      </c>
      <c r="O1476" s="459"/>
      <c r="P1476" s="767"/>
      <c r="Q1476" s="80" t="s">
        <v>3244</v>
      </c>
    </row>
    <row r="1477" spans="2:17" ht="15.2" customHeight="1">
      <c r="B1477" s="96">
        <f>P1477</f>
        <v>271</v>
      </c>
      <c r="C1477" s="770" t="s">
        <v>1250</v>
      </c>
      <c r="D1477" s="770"/>
      <c r="E1477" s="770"/>
      <c r="F1477" s="771"/>
      <c r="G1477" s="470"/>
      <c r="H1477" s="470"/>
      <c r="I1477" s="470"/>
      <c r="J1477" s="470"/>
      <c r="K1477" s="470"/>
      <c r="L1477" s="470"/>
      <c r="M1477" s="470"/>
      <c r="N1477" s="470"/>
      <c r="O1477" s="459"/>
      <c r="P1477" s="767">
        <f>MAX($P$5:P1476)+1</f>
        <v>271</v>
      </c>
      <c r="Q1477" s="80" t="s">
        <v>3243</v>
      </c>
    </row>
    <row r="1478" spans="2:17" ht="15.2" customHeight="1">
      <c r="B1478" s="766" t="s">
        <v>1745</v>
      </c>
      <c r="C1478" s="766"/>
      <c r="D1478" s="84" t="s">
        <v>1251</v>
      </c>
      <c r="E1478" s="87">
        <v>1</v>
      </c>
      <c r="F1478" s="86" t="s">
        <v>453</v>
      </c>
      <c r="G1478" s="470">
        <f>중기사용료!$M$1385</f>
        <v>18364</v>
      </c>
      <c r="H1478" s="470">
        <f>TRUNC(E1478*G1478,0)</f>
        <v>18364</v>
      </c>
      <c r="I1478" s="470">
        <f>중기사용료!$M$1379</f>
        <v>27168</v>
      </c>
      <c r="J1478" s="470">
        <f>TRUNC(I1478*E1478,0)</f>
        <v>27168</v>
      </c>
      <c r="K1478" s="470">
        <f>중기사용료!$M$1373</f>
        <v>4611</v>
      </c>
      <c r="L1478" s="470">
        <f>TRUNC(K1478*E1478,0)</f>
        <v>4611</v>
      </c>
      <c r="M1478" s="470">
        <f>G1478+I1478+K1478</f>
        <v>50143</v>
      </c>
      <c r="N1478" s="470">
        <f>H1478+J1478+L1478</f>
        <v>50143</v>
      </c>
      <c r="O1478" s="460">
        <f>중기사용료!$A$1370</f>
        <v>73</v>
      </c>
      <c r="P1478" s="767"/>
    </row>
    <row r="1479" spans="2:17" ht="15.2" customHeight="1">
      <c r="B1479" s="766" t="s">
        <v>855</v>
      </c>
      <c r="C1479" s="766"/>
      <c r="D1479" s="84"/>
      <c r="E1479" s="87"/>
      <c r="F1479" s="86"/>
      <c r="G1479" s="470"/>
      <c r="H1479" s="470">
        <f>SUM(H1478:H1478)</f>
        <v>18364</v>
      </c>
      <c r="I1479" s="470"/>
      <c r="J1479" s="470">
        <f>SUM(J1478:J1478)</f>
        <v>27168</v>
      </c>
      <c r="K1479" s="470"/>
      <c r="L1479" s="470">
        <f>SUM(L1478:L1478)</f>
        <v>4611</v>
      </c>
      <c r="M1479" s="470"/>
      <c r="N1479" s="470">
        <f>SUM(N1478:N1478)</f>
        <v>50143</v>
      </c>
      <c r="O1479" s="459"/>
      <c r="P1479" s="767"/>
      <c r="Q1479" s="80" t="s">
        <v>3244</v>
      </c>
    </row>
    <row r="1480" spans="2:17" ht="15.2" customHeight="1">
      <c r="B1480" s="96">
        <f>P1480</f>
        <v>272</v>
      </c>
      <c r="C1480" s="770" t="s">
        <v>1252</v>
      </c>
      <c r="D1480" s="770"/>
      <c r="E1480" s="770"/>
      <c r="F1480" s="771"/>
      <c r="G1480" s="470"/>
      <c r="H1480" s="470"/>
      <c r="I1480" s="470"/>
      <c r="J1480" s="470"/>
      <c r="K1480" s="470"/>
      <c r="L1480" s="470"/>
      <c r="M1480" s="470"/>
      <c r="N1480" s="470"/>
      <c r="O1480" s="459"/>
      <c r="P1480" s="767">
        <f>MAX($P$5:P1479)+1</f>
        <v>272</v>
      </c>
      <c r="Q1480" s="80" t="s">
        <v>3243</v>
      </c>
    </row>
    <row r="1481" spans="2:17" ht="15.2" customHeight="1">
      <c r="B1481" s="766" t="s">
        <v>1745</v>
      </c>
      <c r="C1481" s="766"/>
      <c r="D1481" s="84" t="s">
        <v>1253</v>
      </c>
      <c r="E1481" s="87">
        <v>1</v>
      </c>
      <c r="F1481" s="86" t="s">
        <v>453</v>
      </c>
      <c r="G1481" s="470">
        <f>중기사용료!$M$1404</f>
        <v>30392</v>
      </c>
      <c r="H1481" s="470">
        <f>TRUNC(E1481*G1481,0)</f>
        <v>30392</v>
      </c>
      <c r="I1481" s="470">
        <f>중기사용료!$M$1398</f>
        <v>27168</v>
      </c>
      <c r="J1481" s="470">
        <f>TRUNC(I1481*E1481,0)</f>
        <v>27168</v>
      </c>
      <c r="K1481" s="470">
        <f>중기사용료!$M$1392</f>
        <v>4918</v>
      </c>
      <c r="L1481" s="470">
        <f>TRUNC(K1481*E1481,0)</f>
        <v>4918</v>
      </c>
      <c r="M1481" s="470">
        <f>G1481+I1481+K1481</f>
        <v>62478</v>
      </c>
      <c r="N1481" s="470">
        <f>H1481+J1481+L1481</f>
        <v>62478</v>
      </c>
      <c r="O1481" s="460">
        <f>중기사용료!$A$1389</f>
        <v>74</v>
      </c>
      <c r="P1481" s="767"/>
    </row>
    <row r="1482" spans="2:17" ht="15.2" customHeight="1">
      <c r="B1482" s="766" t="s">
        <v>855</v>
      </c>
      <c r="C1482" s="766"/>
      <c r="D1482" s="84"/>
      <c r="E1482" s="87"/>
      <c r="F1482" s="86"/>
      <c r="G1482" s="470"/>
      <c r="H1482" s="470">
        <f>SUM(H1481:H1481)</f>
        <v>30392</v>
      </c>
      <c r="I1482" s="470"/>
      <c r="J1482" s="470">
        <f>SUM(J1481:J1481)</f>
        <v>27168</v>
      </c>
      <c r="K1482" s="470"/>
      <c r="L1482" s="470">
        <f>SUM(L1481:L1481)</f>
        <v>4918</v>
      </c>
      <c r="M1482" s="470"/>
      <c r="N1482" s="470">
        <f>SUM(N1481:N1481)</f>
        <v>62478</v>
      </c>
      <c r="O1482" s="459"/>
      <c r="P1482" s="767"/>
      <c r="Q1482" s="80" t="s">
        <v>3244</v>
      </c>
    </row>
    <row r="1483" spans="2:17" ht="15.2" customHeight="1">
      <c r="B1483" s="96">
        <f>P1483</f>
        <v>273</v>
      </c>
      <c r="C1483" s="770" t="s">
        <v>1254</v>
      </c>
      <c r="D1483" s="770"/>
      <c r="E1483" s="770"/>
      <c r="F1483" s="771"/>
      <c r="G1483" s="470"/>
      <c r="H1483" s="470"/>
      <c r="I1483" s="470"/>
      <c r="J1483" s="470"/>
      <c r="K1483" s="470"/>
      <c r="L1483" s="470"/>
      <c r="M1483" s="470"/>
      <c r="N1483" s="470"/>
      <c r="O1483" s="459"/>
      <c r="P1483" s="767">
        <f>MAX($P$5:P1482)+1</f>
        <v>273</v>
      </c>
      <c r="Q1483" s="80" t="s">
        <v>3243</v>
      </c>
    </row>
    <row r="1484" spans="2:17" ht="15.2" customHeight="1">
      <c r="B1484" s="766" t="s">
        <v>1030</v>
      </c>
      <c r="C1484" s="766"/>
      <c r="D1484" s="84" t="s">
        <v>2459</v>
      </c>
      <c r="E1484" s="87">
        <v>1</v>
      </c>
      <c r="F1484" s="86" t="s">
        <v>453</v>
      </c>
      <c r="G1484" s="470">
        <f>중기사용료!$M$1423</f>
        <v>0</v>
      </c>
      <c r="H1484" s="470">
        <f>TRUNC(E1484*G1484,0)</f>
        <v>0</v>
      </c>
      <c r="I1484" s="470">
        <f>중기사용료!$M$1417</f>
        <v>0</v>
      </c>
      <c r="J1484" s="470">
        <f>TRUNC(I1484*E1484,0)</f>
        <v>0</v>
      </c>
      <c r="K1484" s="470">
        <f>중기사용료!$M$1411</f>
        <v>412</v>
      </c>
      <c r="L1484" s="470">
        <f>TRUNC(K1484*E1484,0)</f>
        <v>412</v>
      </c>
      <c r="M1484" s="470">
        <f>G1484+I1484+K1484</f>
        <v>412</v>
      </c>
      <c r="N1484" s="470">
        <f>H1484+J1484+L1484</f>
        <v>412</v>
      </c>
      <c r="O1484" s="460">
        <f>중기사용료!$A$1408</f>
        <v>75</v>
      </c>
      <c r="P1484" s="767"/>
    </row>
    <row r="1485" spans="2:17" ht="15.2" customHeight="1">
      <c r="B1485" s="766" t="s">
        <v>855</v>
      </c>
      <c r="C1485" s="766"/>
      <c r="D1485" s="84"/>
      <c r="E1485" s="87"/>
      <c r="F1485" s="86"/>
      <c r="G1485" s="470"/>
      <c r="H1485" s="470">
        <f>SUM(H1484:H1484)</f>
        <v>0</v>
      </c>
      <c r="I1485" s="470"/>
      <c r="J1485" s="470">
        <f>SUM(J1484:J1484)</f>
        <v>0</v>
      </c>
      <c r="K1485" s="470"/>
      <c r="L1485" s="470">
        <f>SUM(L1484:L1484)</f>
        <v>412</v>
      </c>
      <c r="M1485" s="470"/>
      <c r="N1485" s="470">
        <f>SUM(N1484:N1484)</f>
        <v>412</v>
      </c>
      <c r="O1485" s="459"/>
      <c r="P1485" s="767"/>
      <c r="Q1485" s="80" t="s">
        <v>3244</v>
      </c>
    </row>
    <row r="1486" spans="2:17" ht="15.2" customHeight="1">
      <c r="B1486" s="96">
        <f>P1486</f>
        <v>274</v>
      </c>
      <c r="C1486" s="770" t="s">
        <v>1255</v>
      </c>
      <c r="D1486" s="770"/>
      <c r="E1486" s="770"/>
      <c r="F1486" s="771"/>
      <c r="G1486" s="470"/>
      <c r="H1486" s="470"/>
      <c r="I1486" s="470"/>
      <c r="J1486" s="470"/>
      <c r="K1486" s="470"/>
      <c r="L1486" s="470"/>
      <c r="M1486" s="470"/>
      <c r="N1486" s="470"/>
      <c r="O1486" s="459"/>
      <c r="P1486" s="767">
        <f>MAX($P$5:P1485)+1</f>
        <v>274</v>
      </c>
      <c r="Q1486" s="80" t="s">
        <v>3243</v>
      </c>
    </row>
    <row r="1487" spans="2:17" ht="15.2" customHeight="1">
      <c r="B1487" s="766" t="s">
        <v>2449</v>
      </c>
      <c r="C1487" s="766"/>
      <c r="D1487" s="84" t="s">
        <v>1253</v>
      </c>
      <c r="E1487" s="87">
        <v>1</v>
      </c>
      <c r="F1487" s="86" t="s">
        <v>453</v>
      </c>
      <c r="G1487" s="470">
        <f>중기사용료!$M$1442</f>
        <v>0</v>
      </c>
      <c r="H1487" s="470">
        <f>TRUNC(E1487*G1487,0)</f>
        <v>0</v>
      </c>
      <c r="I1487" s="470">
        <f>중기사용료!$M$1436</f>
        <v>27168</v>
      </c>
      <c r="J1487" s="470">
        <f>TRUNC(I1487*E1487,0)</f>
        <v>27168</v>
      </c>
      <c r="K1487" s="470">
        <f>중기사용료!$M$1430</f>
        <v>10113</v>
      </c>
      <c r="L1487" s="470">
        <f>TRUNC(K1487*E1487,0)</f>
        <v>10113</v>
      </c>
      <c r="M1487" s="470">
        <f>G1487+I1487+K1487</f>
        <v>37281</v>
      </c>
      <c r="N1487" s="470">
        <f>H1487+J1487+L1487</f>
        <v>37281</v>
      </c>
      <c r="O1487" s="460">
        <f>중기사용료!$A$1427</f>
        <v>76</v>
      </c>
      <c r="P1487" s="767"/>
    </row>
    <row r="1488" spans="2:17" ht="15.2" customHeight="1">
      <c r="B1488" s="766" t="s">
        <v>855</v>
      </c>
      <c r="C1488" s="766"/>
      <c r="D1488" s="84"/>
      <c r="E1488" s="87"/>
      <c r="F1488" s="86"/>
      <c r="G1488" s="470"/>
      <c r="H1488" s="470">
        <f>SUM(H1487:H1487)</f>
        <v>0</v>
      </c>
      <c r="I1488" s="470"/>
      <c r="J1488" s="470">
        <f>SUM(J1487:J1487)</f>
        <v>27168</v>
      </c>
      <c r="K1488" s="470"/>
      <c r="L1488" s="470">
        <f>SUM(L1487:L1487)</f>
        <v>10113</v>
      </c>
      <c r="M1488" s="470"/>
      <c r="N1488" s="470">
        <f>SUM(N1487:N1487)</f>
        <v>37281</v>
      </c>
      <c r="O1488" s="459"/>
      <c r="P1488" s="767"/>
      <c r="Q1488" s="80" t="s">
        <v>3244</v>
      </c>
    </row>
    <row r="1489" spans="2:17" ht="15.2" customHeight="1">
      <c r="B1489" s="96">
        <f>P1489</f>
        <v>275</v>
      </c>
      <c r="C1489" s="770" t="s">
        <v>1256</v>
      </c>
      <c r="D1489" s="770"/>
      <c r="E1489" s="770"/>
      <c r="F1489" s="771"/>
      <c r="G1489" s="470"/>
      <c r="H1489" s="470"/>
      <c r="I1489" s="470"/>
      <c r="J1489" s="470"/>
      <c r="K1489" s="470"/>
      <c r="L1489" s="470"/>
      <c r="M1489" s="470"/>
      <c r="N1489" s="470"/>
      <c r="O1489" s="459"/>
      <c r="P1489" s="767">
        <f>MAX($P$5:P1488)+1</f>
        <v>275</v>
      </c>
      <c r="Q1489" s="80" t="s">
        <v>3243</v>
      </c>
    </row>
    <row r="1490" spans="2:17" ht="15.2" customHeight="1">
      <c r="B1490" s="766" t="s">
        <v>1584</v>
      </c>
      <c r="C1490" s="766"/>
      <c r="D1490" s="84" t="s">
        <v>1257</v>
      </c>
      <c r="E1490" s="87">
        <v>1</v>
      </c>
      <c r="F1490" s="86" t="s">
        <v>453</v>
      </c>
      <c r="G1490" s="470">
        <f>중기사용료!$M$1461</f>
        <v>0</v>
      </c>
      <c r="H1490" s="470">
        <f>TRUNC(E1490*G1490,0)</f>
        <v>0</v>
      </c>
      <c r="I1490" s="470">
        <f>중기사용료!$M$1455</f>
        <v>0</v>
      </c>
      <c r="J1490" s="470">
        <f>TRUNC(I1490*E1490,0)</f>
        <v>0</v>
      </c>
      <c r="K1490" s="470">
        <f>중기사용료!$M$1449</f>
        <v>703</v>
      </c>
      <c r="L1490" s="470">
        <f>TRUNC(K1490*E1490,0)</f>
        <v>703</v>
      </c>
      <c r="M1490" s="470">
        <f>G1490+I1490+K1490</f>
        <v>703</v>
      </c>
      <c r="N1490" s="470">
        <f>H1490+J1490+L1490</f>
        <v>703</v>
      </c>
      <c r="O1490" s="460">
        <f>중기사용료!$A$1446</f>
        <v>77</v>
      </c>
      <c r="P1490" s="767"/>
    </row>
    <row r="1491" spans="2:17" ht="15.2" customHeight="1">
      <c r="B1491" s="766" t="s">
        <v>855</v>
      </c>
      <c r="C1491" s="766"/>
      <c r="D1491" s="84"/>
      <c r="E1491" s="87"/>
      <c r="F1491" s="86"/>
      <c r="G1491" s="470"/>
      <c r="H1491" s="470">
        <f>SUM(H1490:H1490)</f>
        <v>0</v>
      </c>
      <c r="I1491" s="470"/>
      <c r="J1491" s="470">
        <f>SUM(J1490:J1490)</f>
        <v>0</v>
      </c>
      <c r="K1491" s="470"/>
      <c r="L1491" s="470">
        <f>SUM(L1490:L1490)</f>
        <v>703</v>
      </c>
      <c r="M1491" s="470"/>
      <c r="N1491" s="470">
        <f>SUM(N1490:N1490)</f>
        <v>703</v>
      </c>
      <c r="O1491" s="459"/>
      <c r="P1491" s="767"/>
      <c r="Q1491" s="80" t="s">
        <v>3244</v>
      </c>
    </row>
    <row r="1492" spans="2:17" ht="15.2" customHeight="1">
      <c r="B1492" s="96">
        <f>P1492</f>
        <v>276</v>
      </c>
      <c r="C1492" s="770" t="s">
        <v>1258</v>
      </c>
      <c r="D1492" s="770"/>
      <c r="E1492" s="770"/>
      <c r="F1492" s="771"/>
      <c r="G1492" s="470"/>
      <c r="H1492" s="470"/>
      <c r="I1492" s="470"/>
      <c r="J1492" s="470"/>
      <c r="K1492" s="470"/>
      <c r="L1492" s="470"/>
      <c r="M1492" s="470"/>
      <c r="N1492" s="470"/>
      <c r="O1492" s="459"/>
      <c r="P1492" s="767">
        <f>MAX($P$5:P1491)+1</f>
        <v>276</v>
      </c>
      <c r="Q1492" s="80" t="s">
        <v>3243</v>
      </c>
    </row>
    <row r="1493" spans="2:17" ht="15.2" customHeight="1">
      <c r="B1493" s="766" t="s">
        <v>92</v>
      </c>
      <c r="C1493" s="766"/>
      <c r="D1493" s="84" t="s">
        <v>1744</v>
      </c>
      <c r="E1493" s="87">
        <v>1</v>
      </c>
      <c r="F1493" s="86" t="s">
        <v>453</v>
      </c>
      <c r="G1493" s="470">
        <f>중기사용료!$M$1461</f>
        <v>0</v>
      </c>
      <c r="H1493" s="470">
        <f>TRUNC(E1493*G1493,0)</f>
        <v>0</v>
      </c>
      <c r="I1493" s="470">
        <f>중기사용료!$M$1455</f>
        <v>0</v>
      </c>
      <c r="J1493" s="470">
        <f>TRUNC(I1493*E1493,0)</f>
        <v>0</v>
      </c>
      <c r="K1493" s="470">
        <f>중기사용료!$M$1677</f>
        <v>54</v>
      </c>
      <c r="L1493" s="470">
        <f>TRUNC(K1493*E1493,0)</f>
        <v>54</v>
      </c>
      <c r="M1493" s="470">
        <f>G1493+I1493+K1493</f>
        <v>54</v>
      </c>
      <c r="N1493" s="470">
        <f>H1493+J1493+L1493</f>
        <v>54</v>
      </c>
      <c r="O1493" s="460">
        <f>중기사용료!$A$1674</f>
        <v>89</v>
      </c>
      <c r="P1493" s="767"/>
    </row>
    <row r="1494" spans="2:17" ht="15.2" customHeight="1">
      <c r="B1494" s="766" t="s">
        <v>855</v>
      </c>
      <c r="C1494" s="766"/>
      <c r="D1494" s="84"/>
      <c r="E1494" s="87"/>
      <c r="F1494" s="86"/>
      <c r="G1494" s="470"/>
      <c r="H1494" s="470">
        <f>SUM(H1493:H1493)</f>
        <v>0</v>
      </c>
      <c r="I1494" s="470"/>
      <c r="J1494" s="470">
        <f>SUM(J1493:J1493)</f>
        <v>0</v>
      </c>
      <c r="K1494" s="470"/>
      <c r="L1494" s="470">
        <f>SUM(L1493:L1493)</f>
        <v>54</v>
      </c>
      <c r="M1494" s="470"/>
      <c r="N1494" s="470">
        <f>SUM(N1493:N1493)</f>
        <v>54</v>
      </c>
      <c r="O1494" s="459"/>
      <c r="P1494" s="767"/>
      <c r="Q1494" s="80" t="s">
        <v>3244</v>
      </c>
    </row>
    <row r="1495" spans="2:17" ht="15.2" customHeight="1">
      <c r="B1495" s="96">
        <f>P1495</f>
        <v>277</v>
      </c>
      <c r="C1495" s="770" t="s">
        <v>1259</v>
      </c>
      <c r="D1495" s="770"/>
      <c r="E1495" s="770"/>
      <c r="F1495" s="771"/>
      <c r="G1495" s="470"/>
      <c r="H1495" s="470"/>
      <c r="I1495" s="470"/>
      <c r="J1495" s="470"/>
      <c r="K1495" s="470"/>
      <c r="L1495" s="470"/>
      <c r="M1495" s="470"/>
      <c r="N1495" s="470"/>
      <c r="O1495" s="459"/>
      <c r="P1495" s="767">
        <f>MAX($P$5:P1494)+1</f>
        <v>277</v>
      </c>
      <c r="Q1495" s="80" t="s">
        <v>3243</v>
      </c>
    </row>
    <row r="1496" spans="2:17" ht="15.2" customHeight="1">
      <c r="B1496" s="766" t="s">
        <v>491</v>
      </c>
      <c r="C1496" s="766"/>
      <c r="D1496" s="84" t="s">
        <v>87</v>
      </c>
      <c r="E1496" s="87">
        <v>1</v>
      </c>
      <c r="F1496" s="86" t="s">
        <v>453</v>
      </c>
      <c r="G1496" s="470">
        <f>중기사용료!$M$1480</f>
        <v>68156</v>
      </c>
      <c r="H1496" s="470">
        <f>TRUNC(E1496*G1496,0)</f>
        <v>68156</v>
      </c>
      <c r="I1496" s="470">
        <f>중기사용료!$M$1474</f>
        <v>27168</v>
      </c>
      <c r="J1496" s="470">
        <f>TRUNC(I1496*E1496,0)</f>
        <v>27168</v>
      </c>
      <c r="K1496" s="470">
        <f>중기사용료!$M$1468</f>
        <v>164374</v>
      </c>
      <c r="L1496" s="470">
        <f>TRUNC(K1496*E1496,0)</f>
        <v>164374</v>
      </c>
      <c r="M1496" s="470">
        <f>G1496+I1496+K1496</f>
        <v>259698</v>
      </c>
      <c r="N1496" s="470">
        <f>H1496+J1496+L1496</f>
        <v>259698</v>
      </c>
      <c r="O1496" s="460">
        <f>중기사용료!$A$1465</f>
        <v>78</v>
      </c>
      <c r="P1496" s="767"/>
    </row>
    <row r="1497" spans="2:17" ht="15.2" customHeight="1">
      <c r="B1497" s="766" t="s">
        <v>855</v>
      </c>
      <c r="C1497" s="766"/>
      <c r="D1497" s="84"/>
      <c r="E1497" s="87"/>
      <c r="F1497" s="86"/>
      <c r="G1497" s="470"/>
      <c r="H1497" s="470">
        <f>SUM(H1496:H1496)</f>
        <v>68156</v>
      </c>
      <c r="I1497" s="470"/>
      <c r="J1497" s="470">
        <f>SUM(J1496:J1496)</f>
        <v>27168</v>
      </c>
      <c r="K1497" s="470"/>
      <c r="L1497" s="470">
        <f>SUM(L1496:L1496)</f>
        <v>164374</v>
      </c>
      <c r="M1497" s="470"/>
      <c r="N1497" s="470">
        <f>SUM(N1496:N1496)</f>
        <v>259698</v>
      </c>
      <c r="O1497" s="459"/>
      <c r="P1497" s="767"/>
      <c r="Q1497" s="80" t="s">
        <v>3244</v>
      </c>
    </row>
    <row r="1498" spans="2:17" ht="15.2" customHeight="1">
      <c r="B1498" s="96">
        <f>P1498</f>
        <v>278</v>
      </c>
      <c r="C1498" s="770" t="s">
        <v>1260</v>
      </c>
      <c r="D1498" s="770"/>
      <c r="E1498" s="770"/>
      <c r="F1498" s="771"/>
      <c r="G1498" s="470"/>
      <c r="H1498" s="470"/>
      <c r="I1498" s="470"/>
      <c r="J1498" s="470"/>
      <c r="K1498" s="470"/>
      <c r="L1498" s="470"/>
      <c r="M1498" s="470"/>
      <c r="N1498" s="470"/>
      <c r="O1498" s="459"/>
      <c r="P1498" s="767">
        <f>MAX($P$5:P1497)+1</f>
        <v>278</v>
      </c>
      <c r="Q1498" s="80" t="s">
        <v>3243</v>
      </c>
    </row>
    <row r="1499" spans="2:17" ht="15.2" customHeight="1">
      <c r="B1499" s="766" t="s">
        <v>1585</v>
      </c>
      <c r="C1499" s="766"/>
      <c r="D1499" s="84" t="s">
        <v>1586</v>
      </c>
      <c r="E1499" s="87">
        <v>1</v>
      </c>
      <c r="F1499" s="86" t="s">
        <v>453</v>
      </c>
      <c r="G1499" s="470">
        <f>중기사용료!$M$1499</f>
        <v>11068</v>
      </c>
      <c r="H1499" s="470">
        <f>TRUNC(E1499*G1499,0)</f>
        <v>11068</v>
      </c>
      <c r="I1499" s="470">
        <f>중기사용료!$M$1493</f>
        <v>27168</v>
      </c>
      <c r="J1499" s="470">
        <f>TRUNC(I1499*E1499,0)</f>
        <v>27168</v>
      </c>
      <c r="K1499" s="470">
        <f>중기사용료!$M$1487</f>
        <v>6974</v>
      </c>
      <c r="L1499" s="470">
        <f>TRUNC(K1499*E1499,0)</f>
        <v>6974</v>
      </c>
      <c r="M1499" s="470">
        <f>G1499+I1499+K1499</f>
        <v>45210</v>
      </c>
      <c r="N1499" s="470">
        <f>H1499+J1499+L1499</f>
        <v>45210</v>
      </c>
      <c r="O1499" s="460">
        <f>중기사용료!$A$1484</f>
        <v>79</v>
      </c>
      <c r="P1499" s="767"/>
    </row>
    <row r="1500" spans="2:17" ht="15.2" customHeight="1">
      <c r="B1500" s="766" t="s">
        <v>855</v>
      </c>
      <c r="C1500" s="766"/>
      <c r="D1500" s="84"/>
      <c r="E1500" s="87"/>
      <c r="F1500" s="86"/>
      <c r="G1500" s="470"/>
      <c r="H1500" s="470">
        <f>SUM(H1499:H1499)</f>
        <v>11068</v>
      </c>
      <c r="I1500" s="470"/>
      <c r="J1500" s="470">
        <f>SUM(J1499:J1499)</f>
        <v>27168</v>
      </c>
      <c r="K1500" s="470"/>
      <c r="L1500" s="470">
        <f>SUM(L1499:L1499)</f>
        <v>6974</v>
      </c>
      <c r="M1500" s="470"/>
      <c r="N1500" s="470">
        <f>SUM(N1499:N1499)</f>
        <v>45210</v>
      </c>
      <c r="O1500" s="459"/>
      <c r="P1500" s="767"/>
      <c r="Q1500" s="80" t="s">
        <v>3244</v>
      </c>
    </row>
    <row r="1501" spans="2:17" ht="15.2" customHeight="1">
      <c r="B1501" s="96">
        <f>P1501</f>
        <v>279</v>
      </c>
      <c r="C1501" s="770" t="s">
        <v>1261</v>
      </c>
      <c r="D1501" s="770"/>
      <c r="E1501" s="770"/>
      <c r="F1501" s="771"/>
      <c r="G1501" s="470"/>
      <c r="H1501" s="470"/>
      <c r="I1501" s="470"/>
      <c r="J1501" s="470"/>
      <c r="K1501" s="470"/>
      <c r="L1501" s="470"/>
      <c r="M1501" s="470"/>
      <c r="N1501" s="470"/>
      <c r="O1501" s="459"/>
      <c r="P1501" s="767">
        <f>MAX($P$5:P1500)+1</f>
        <v>279</v>
      </c>
      <c r="Q1501" s="80" t="s">
        <v>3243</v>
      </c>
    </row>
    <row r="1502" spans="2:17" ht="15.2" customHeight="1">
      <c r="B1502" s="766" t="s">
        <v>1585</v>
      </c>
      <c r="C1502" s="766"/>
      <c r="D1502" s="84" t="s">
        <v>1262</v>
      </c>
      <c r="E1502" s="87">
        <v>1</v>
      </c>
      <c r="F1502" s="86" t="s">
        <v>453</v>
      </c>
      <c r="G1502" s="470">
        <f>중기사용료!$M$1518</f>
        <v>17891</v>
      </c>
      <c r="H1502" s="470">
        <f>TRUNC(E1502*G1502,0)</f>
        <v>17891</v>
      </c>
      <c r="I1502" s="470">
        <f>중기사용료!$M$1512</f>
        <v>27168</v>
      </c>
      <c r="J1502" s="470">
        <f>TRUNC(I1502*E1502,0)</f>
        <v>27168</v>
      </c>
      <c r="K1502" s="470">
        <f>중기사용료!$M$1506</f>
        <v>10528</v>
      </c>
      <c r="L1502" s="470">
        <f>TRUNC(K1502*E1502,0)</f>
        <v>10528</v>
      </c>
      <c r="M1502" s="470">
        <f>G1502+I1502+K1502</f>
        <v>55587</v>
      </c>
      <c r="N1502" s="470">
        <f>H1502+J1502+L1502</f>
        <v>55587</v>
      </c>
      <c r="O1502" s="460">
        <f>중기사용료!$A$1503</f>
        <v>80</v>
      </c>
      <c r="P1502" s="767"/>
    </row>
    <row r="1503" spans="2:17" ht="15.2" customHeight="1">
      <c r="B1503" s="766" t="s">
        <v>855</v>
      </c>
      <c r="C1503" s="766"/>
      <c r="D1503" s="84"/>
      <c r="E1503" s="87"/>
      <c r="F1503" s="86"/>
      <c r="G1503" s="470"/>
      <c r="H1503" s="470">
        <f>SUM(H1502:H1502)</f>
        <v>17891</v>
      </c>
      <c r="I1503" s="470"/>
      <c r="J1503" s="470">
        <f>SUM(J1502:J1502)</f>
        <v>27168</v>
      </c>
      <c r="K1503" s="470"/>
      <c r="L1503" s="470">
        <f>SUM(L1502:L1502)</f>
        <v>10528</v>
      </c>
      <c r="M1503" s="470"/>
      <c r="N1503" s="470">
        <f>SUM(N1502:N1502)</f>
        <v>55587</v>
      </c>
      <c r="O1503" s="459"/>
      <c r="P1503" s="767"/>
      <c r="Q1503" s="80" t="s">
        <v>3244</v>
      </c>
    </row>
    <row r="1504" spans="2:17" ht="15.2" customHeight="1">
      <c r="B1504" s="96">
        <f>P1504</f>
        <v>280</v>
      </c>
      <c r="C1504" s="770" t="s">
        <v>1263</v>
      </c>
      <c r="D1504" s="770"/>
      <c r="E1504" s="770"/>
      <c r="F1504" s="771"/>
      <c r="G1504" s="470"/>
      <c r="H1504" s="470"/>
      <c r="I1504" s="470"/>
      <c r="J1504" s="470"/>
      <c r="K1504" s="470"/>
      <c r="L1504" s="470"/>
      <c r="M1504" s="470"/>
      <c r="N1504" s="470"/>
      <c r="O1504" s="459"/>
      <c r="P1504" s="767">
        <f>MAX($P$5:P1503)+1</f>
        <v>280</v>
      </c>
      <c r="Q1504" s="80" t="s">
        <v>3243</v>
      </c>
    </row>
    <row r="1505" spans="2:17" ht="15.2" customHeight="1">
      <c r="B1505" s="766" t="s">
        <v>2218</v>
      </c>
      <c r="C1505" s="766"/>
      <c r="D1505" s="84" t="s">
        <v>2219</v>
      </c>
      <c r="E1505" s="87">
        <v>1</v>
      </c>
      <c r="F1505" s="86" t="s">
        <v>453</v>
      </c>
      <c r="G1505" s="470">
        <f>중기사용료!$M$1537</f>
        <v>0</v>
      </c>
      <c r="H1505" s="470">
        <f>TRUNC(E1505*G1505,0)</f>
        <v>0</v>
      </c>
      <c r="I1505" s="470">
        <f>중기사용료!$M$1531</f>
        <v>0</v>
      </c>
      <c r="J1505" s="470">
        <f>TRUNC(I1505*E1505,0)</f>
        <v>0</v>
      </c>
      <c r="K1505" s="470">
        <f>중기사용료!$M$1525</f>
        <v>17539</v>
      </c>
      <c r="L1505" s="470">
        <f>TRUNC(K1505*E1505,0)</f>
        <v>17539</v>
      </c>
      <c r="M1505" s="470">
        <f>G1505+I1505+K1505</f>
        <v>17539</v>
      </c>
      <c r="N1505" s="470">
        <f>H1505+J1505+L1505</f>
        <v>17539</v>
      </c>
      <c r="O1505" s="460">
        <f>중기사용료!$A$1522</f>
        <v>81</v>
      </c>
      <c r="P1505" s="767"/>
    </row>
    <row r="1506" spans="2:17" ht="15.2" customHeight="1">
      <c r="B1506" s="766" t="s">
        <v>855</v>
      </c>
      <c r="C1506" s="766"/>
      <c r="D1506" s="84"/>
      <c r="E1506" s="87"/>
      <c r="F1506" s="86"/>
      <c r="G1506" s="470"/>
      <c r="H1506" s="470">
        <f>SUM(H1505:H1505)</f>
        <v>0</v>
      </c>
      <c r="I1506" s="470"/>
      <c r="J1506" s="470">
        <f>SUM(J1505:J1505)</f>
        <v>0</v>
      </c>
      <c r="K1506" s="470"/>
      <c r="L1506" s="470">
        <f>SUM(L1505:L1505)</f>
        <v>17539</v>
      </c>
      <c r="M1506" s="470"/>
      <c r="N1506" s="470">
        <f>SUM(N1505:N1505)</f>
        <v>17539</v>
      </c>
      <c r="O1506" s="459"/>
      <c r="P1506" s="767"/>
      <c r="Q1506" s="80" t="s">
        <v>3244</v>
      </c>
    </row>
    <row r="1507" spans="2:17" ht="15.2" customHeight="1">
      <c r="B1507" s="96">
        <f>P1507</f>
        <v>281</v>
      </c>
      <c r="C1507" s="770" t="s">
        <v>1264</v>
      </c>
      <c r="D1507" s="770"/>
      <c r="E1507" s="770"/>
      <c r="F1507" s="771"/>
      <c r="G1507" s="470"/>
      <c r="H1507" s="470"/>
      <c r="I1507" s="470"/>
      <c r="J1507" s="470"/>
      <c r="K1507" s="470"/>
      <c r="L1507" s="470"/>
      <c r="M1507" s="470"/>
      <c r="N1507" s="470"/>
      <c r="O1507" s="459"/>
      <c r="P1507" s="767">
        <f>MAX($P$5:P1506)+1</f>
        <v>281</v>
      </c>
      <c r="Q1507" s="80" t="s">
        <v>3243</v>
      </c>
    </row>
    <row r="1508" spans="2:17" ht="15.2" customHeight="1">
      <c r="B1508" s="766" t="s">
        <v>2218</v>
      </c>
      <c r="C1508" s="766"/>
      <c r="D1508" s="84" t="s">
        <v>1397</v>
      </c>
      <c r="E1508" s="87">
        <v>1</v>
      </c>
      <c r="F1508" s="86" t="s">
        <v>453</v>
      </c>
      <c r="G1508" s="470">
        <f>중기사용료!$M$1556</f>
        <v>0</v>
      </c>
      <c r="H1508" s="470">
        <f>TRUNC(E1508*G1508,0)</f>
        <v>0</v>
      </c>
      <c r="I1508" s="470">
        <f>중기사용료!$M$1550</f>
        <v>0</v>
      </c>
      <c r="J1508" s="470">
        <f>TRUNC(I1508*E1508,0)</f>
        <v>0</v>
      </c>
      <c r="K1508" s="470">
        <f>중기사용료!$M$1544</f>
        <v>31324</v>
      </c>
      <c r="L1508" s="470">
        <f>TRUNC(K1508*E1508,0)</f>
        <v>31324</v>
      </c>
      <c r="M1508" s="470">
        <f>G1508+I1508+K1508</f>
        <v>31324</v>
      </c>
      <c r="N1508" s="470">
        <f>H1508+J1508+L1508</f>
        <v>31324</v>
      </c>
      <c r="O1508" s="460">
        <f>중기사용료!$A$1541</f>
        <v>82</v>
      </c>
      <c r="P1508" s="767"/>
    </row>
    <row r="1509" spans="2:17" ht="15.2" customHeight="1">
      <c r="B1509" s="766" t="s">
        <v>855</v>
      </c>
      <c r="C1509" s="766"/>
      <c r="D1509" s="84"/>
      <c r="E1509" s="87"/>
      <c r="F1509" s="86"/>
      <c r="G1509" s="470"/>
      <c r="H1509" s="470">
        <f>SUM(H1508:H1508)</f>
        <v>0</v>
      </c>
      <c r="I1509" s="470"/>
      <c r="J1509" s="470">
        <f>SUM(J1508:J1508)</f>
        <v>0</v>
      </c>
      <c r="K1509" s="470"/>
      <c r="L1509" s="470">
        <f>SUM(L1508:L1508)</f>
        <v>31324</v>
      </c>
      <c r="M1509" s="470"/>
      <c r="N1509" s="470">
        <f>SUM(N1508:N1508)</f>
        <v>31324</v>
      </c>
      <c r="O1509" s="459"/>
      <c r="P1509" s="767"/>
      <c r="Q1509" s="80" t="s">
        <v>3244</v>
      </c>
    </row>
    <row r="1510" spans="2:17" ht="15.2" customHeight="1">
      <c r="B1510" s="96">
        <f>P1510</f>
        <v>282</v>
      </c>
      <c r="C1510" s="770" t="s">
        <v>1265</v>
      </c>
      <c r="D1510" s="770"/>
      <c r="E1510" s="770"/>
      <c r="F1510" s="771"/>
      <c r="G1510" s="470"/>
      <c r="H1510" s="470"/>
      <c r="I1510" s="470"/>
      <c r="J1510" s="470"/>
      <c r="K1510" s="470"/>
      <c r="L1510" s="470"/>
      <c r="M1510" s="470"/>
      <c r="N1510" s="470"/>
      <c r="O1510" s="459"/>
      <c r="P1510" s="767">
        <f>MAX($P$5:P1509)+1</f>
        <v>282</v>
      </c>
      <c r="Q1510" s="80" t="s">
        <v>3243</v>
      </c>
    </row>
    <row r="1511" spans="2:17" ht="15.2" customHeight="1">
      <c r="B1511" s="766" t="s">
        <v>1266</v>
      </c>
      <c r="C1511" s="766"/>
      <c r="D1511" s="456" t="s">
        <v>3213</v>
      </c>
      <c r="E1511" s="87">
        <v>1</v>
      </c>
      <c r="F1511" s="86" t="s">
        <v>453</v>
      </c>
      <c r="G1511" s="470">
        <f>중기사용료!$M$1594</f>
        <v>13479</v>
      </c>
      <c r="H1511" s="470">
        <f>TRUNC(E1511*G1511,0)</f>
        <v>13479</v>
      </c>
      <c r="I1511" s="470">
        <f>중기사용료!$M$1588</f>
        <v>24483</v>
      </c>
      <c r="J1511" s="470">
        <f>TRUNC(I1511*E1511,0)</f>
        <v>24483</v>
      </c>
      <c r="K1511" s="470">
        <f>중기사용료!$M$1582</f>
        <v>7823</v>
      </c>
      <c r="L1511" s="470">
        <f>TRUNC(K1511*E1511,0)</f>
        <v>7823</v>
      </c>
      <c r="M1511" s="470">
        <f>G1511+I1511+K1511</f>
        <v>45785</v>
      </c>
      <c r="N1511" s="470">
        <f>H1511+J1511+L1511</f>
        <v>45785</v>
      </c>
      <c r="O1511" s="460">
        <f>중기사용료!$A$1579</f>
        <v>84</v>
      </c>
      <c r="P1511" s="767"/>
    </row>
    <row r="1512" spans="2:17" ht="15.2" customHeight="1">
      <c r="B1512" s="766" t="s">
        <v>855</v>
      </c>
      <c r="C1512" s="766"/>
      <c r="D1512" s="84"/>
      <c r="E1512" s="87"/>
      <c r="F1512" s="86"/>
      <c r="G1512" s="470"/>
      <c r="H1512" s="470">
        <f>SUM(H1511:H1511)</f>
        <v>13479</v>
      </c>
      <c r="I1512" s="470"/>
      <c r="J1512" s="470">
        <f>SUM(J1511:J1511)</f>
        <v>24483</v>
      </c>
      <c r="K1512" s="470"/>
      <c r="L1512" s="470">
        <f>SUM(L1511:L1511)</f>
        <v>7823</v>
      </c>
      <c r="M1512" s="470"/>
      <c r="N1512" s="470">
        <f>SUM(N1511:N1511)</f>
        <v>45785</v>
      </c>
      <c r="O1512" s="459"/>
      <c r="P1512" s="767"/>
      <c r="Q1512" s="80" t="s">
        <v>3244</v>
      </c>
    </row>
    <row r="1513" spans="2:17" ht="15.2" customHeight="1">
      <c r="B1513" s="96">
        <f>P1513</f>
        <v>283</v>
      </c>
      <c r="C1513" s="770" t="s">
        <v>1267</v>
      </c>
      <c r="D1513" s="770"/>
      <c r="E1513" s="770"/>
      <c r="F1513" s="771"/>
      <c r="G1513" s="470"/>
      <c r="H1513" s="470"/>
      <c r="I1513" s="470"/>
      <c r="J1513" s="470"/>
      <c r="K1513" s="470"/>
      <c r="L1513" s="470"/>
      <c r="M1513" s="470"/>
      <c r="N1513" s="470"/>
      <c r="O1513" s="459"/>
      <c r="P1513" s="767">
        <f>MAX($P$5:P1512)+1</f>
        <v>283</v>
      </c>
      <c r="Q1513" s="80" t="s">
        <v>3243</v>
      </c>
    </row>
    <row r="1514" spans="2:17" ht="15.2" customHeight="1">
      <c r="B1514" s="766" t="s">
        <v>1266</v>
      </c>
      <c r="C1514" s="766"/>
      <c r="D1514" s="84" t="s">
        <v>2226</v>
      </c>
      <c r="E1514" s="87">
        <v>1</v>
      </c>
      <c r="F1514" s="86" t="s">
        <v>453</v>
      </c>
      <c r="G1514" s="470">
        <f>중기사용료!$M$1613</f>
        <v>18696</v>
      </c>
      <c r="H1514" s="470">
        <f>TRUNC(E1514*G1514,0)</f>
        <v>18696</v>
      </c>
      <c r="I1514" s="470">
        <f>중기사용료!$M$1607</f>
        <v>24483</v>
      </c>
      <c r="J1514" s="470">
        <f>TRUNC(I1514*E1514,0)</f>
        <v>24483</v>
      </c>
      <c r="K1514" s="470">
        <f>중기사용료!$M$1601</f>
        <v>15005</v>
      </c>
      <c r="L1514" s="470">
        <f>TRUNC(K1514*E1514,0)</f>
        <v>15005</v>
      </c>
      <c r="M1514" s="470">
        <f>G1514+I1514+K1514</f>
        <v>58184</v>
      </c>
      <c r="N1514" s="470">
        <f>H1514+J1514+L1514</f>
        <v>58184</v>
      </c>
      <c r="O1514" s="460">
        <f>중기사용료!$A$1598</f>
        <v>85</v>
      </c>
      <c r="P1514" s="767"/>
    </row>
    <row r="1515" spans="2:17" ht="15.2" customHeight="1">
      <c r="B1515" s="766" t="s">
        <v>855</v>
      </c>
      <c r="C1515" s="766"/>
      <c r="D1515" s="84"/>
      <c r="E1515" s="87"/>
      <c r="F1515" s="86"/>
      <c r="G1515" s="470"/>
      <c r="H1515" s="470">
        <f>SUM(H1514:H1514)</f>
        <v>18696</v>
      </c>
      <c r="I1515" s="470"/>
      <c r="J1515" s="470">
        <f>SUM(J1514:J1514)</f>
        <v>24483</v>
      </c>
      <c r="K1515" s="470"/>
      <c r="L1515" s="470">
        <f>SUM(L1514:L1514)</f>
        <v>15005</v>
      </c>
      <c r="M1515" s="470"/>
      <c r="N1515" s="470">
        <f>SUM(N1514:N1514)</f>
        <v>58184</v>
      </c>
      <c r="O1515" s="459"/>
      <c r="P1515" s="767"/>
      <c r="Q1515" s="80" t="s">
        <v>3244</v>
      </c>
    </row>
    <row r="1516" spans="2:17" ht="15.2" customHeight="1">
      <c r="B1516" s="96">
        <f>P1516</f>
        <v>284</v>
      </c>
      <c r="C1516" s="770" t="s">
        <v>1268</v>
      </c>
      <c r="D1516" s="770"/>
      <c r="E1516" s="770"/>
      <c r="F1516" s="771"/>
      <c r="G1516" s="470"/>
      <c r="H1516" s="470"/>
      <c r="I1516" s="470"/>
      <c r="J1516" s="470"/>
      <c r="K1516" s="470"/>
      <c r="L1516" s="470"/>
      <c r="M1516" s="470"/>
      <c r="N1516" s="470"/>
      <c r="O1516" s="459"/>
      <c r="P1516" s="767">
        <f>MAX($P$5:P1515)+1</f>
        <v>284</v>
      </c>
      <c r="Q1516" s="80" t="s">
        <v>3243</v>
      </c>
    </row>
    <row r="1517" spans="2:17" ht="15.2" customHeight="1">
      <c r="B1517" s="766" t="s">
        <v>1398</v>
      </c>
      <c r="C1517" s="766"/>
      <c r="D1517" s="84" t="s">
        <v>1399</v>
      </c>
      <c r="E1517" s="87">
        <v>1</v>
      </c>
      <c r="F1517" s="86" t="s">
        <v>453</v>
      </c>
      <c r="G1517" s="470">
        <f>중기사용료!$M$1632</f>
        <v>24001</v>
      </c>
      <c r="H1517" s="470">
        <f>TRUNC(E1517*G1517,0)</f>
        <v>24001</v>
      </c>
      <c r="I1517" s="470">
        <f>중기사용료!$M$1626</f>
        <v>18939</v>
      </c>
      <c r="J1517" s="470">
        <f>TRUNC(I1517*E1517,0)</f>
        <v>18939</v>
      </c>
      <c r="K1517" s="470">
        <f>중기사용료!$M$1620</f>
        <v>12521</v>
      </c>
      <c r="L1517" s="470">
        <f>TRUNC(K1517*E1517,0)</f>
        <v>12521</v>
      </c>
      <c r="M1517" s="470">
        <f>G1517+I1517+K1517</f>
        <v>55461</v>
      </c>
      <c r="N1517" s="470">
        <f>H1517+J1517+L1517</f>
        <v>55461</v>
      </c>
      <c r="O1517" s="460">
        <f>중기사용료!$A$1617</f>
        <v>86</v>
      </c>
      <c r="P1517" s="767"/>
    </row>
    <row r="1518" spans="2:17" ht="15.2" customHeight="1">
      <c r="B1518" s="766" t="s">
        <v>855</v>
      </c>
      <c r="C1518" s="766"/>
      <c r="D1518" s="84"/>
      <c r="E1518" s="87"/>
      <c r="F1518" s="86"/>
      <c r="G1518" s="470"/>
      <c r="H1518" s="470">
        <f>SUM(H1517:H1517)</f>
        <v>24001</v>
      </c>
      <c r="I1518" s="470"/>
      <c r="J1518" s="470">
        <f>SUM(J1517:J1517)</f>
        <v>18939</v>
      </c>
      <c r="K1518" s="470"/>
      <c r="L1518" s="470">
        <f>SUM(L1517:L1517)</f>
        <v>12521</v>
      </c>
      <c r="M1518" s="470"/>
      <c r="N1518" s="470">
        <f>SUM(N1517:N1517)</f>
        <v>55461</v>
      </c>
      <c r="O1518" s="459"/>
      <c r="P1518" s="767"/>
      <c r="Q1518" s="80" t="s">
        <v>3244</v>
      </c>
    </row>
    <row r="1519" spans="2:17" ht="15.2" customHeight="1">
      <c r="B1519" s="96">
        <f>P1519</f>
        <v>285</v>
      </c>
      <c r="C1519" s="770" t="s">
        <v>1269</v>
      </c>
      <c r="D1519" s="770"/>
      <c r="E1519" s="770"/>
      <c r="F1519" s="771"/>
      <c r="G1519" s="470"/>
      <c r="H1519" s="470"/>
      <c r="I1519" s="470"/>
      <c r="J1519" s="470"/>
      <c r="K1519" s="470"/>
      <c r="L1519" s="470"/>
      <c r="M1519" s="470"/>
      <c r="N1519" s="470"/>
      <c r="O1519" s="459"/>
      <c r="P1519" s="767">
        <f>MAX($P$5:P1518)+1</f>
        <v>285</v>
      </c>
      <c r="Q1519" s="80" t="s">
        <v>3243</v>
      </c>
    </row>
    <row r="1520" spans="2:17" ht="15.2" customHeight="1">
      <c r="B1520" s="766" t="s">
        <v>1400</v>
      </c>
      <c r="C1520" s="766"/>
      <c r="D1520" s="84" t="s">
        <v>2220</v>
      </c>
      <c r="E1520" s="87">
        <v>1</v>
      </c>
      <c r="F1520" s="86" t="s">
        <v>453</v>
      </c>
      <c r="G1520" s="470">
        <f>중기사용료!$M$1651</f>
        <v>0</v>
      </c>
      <c r="H1520" s="470">
        <f>TRUNC(E1520*G1520,0)</f>
        <v>0</v>
      </c>
      <c r="I1520" s="470">
        <f>중기사용료!$M$1645</f>
        <v>0</v>
      </c>
      <c r="J1520" s="470">
        <f>TRUNC(I1520*E1520,0)</f>
        <v>0</v>
      </c>
      <c r="K1520" s="470">
        <f>중기사용료!$M$1639</f>
        <v>77</v>
      </c>
      <c r="L1520" s="470">
        <f>TRUNC(K1520*E1520,0)</f>
        <v>77</v>
      </c>
      <c r="M1520" s="470">
        <f>G1520+I1520+K1520</f>
        <v>77</v>
      </c>
      <c r="N1520" s="470">
        <f>H1520+J1520+L1520</f>
        <v>77</v>
      </c>
      <c r="O1520" s="460">
        <f>중기사용료!$A$1636</f>
        <v>87</v>
      </c>
      <c r="P1520" s="767"/>
    </row>
    <row r="1521" spans="2:17" ht="15.2" customHeight="1">
      <c r="B1521" s="766" t="s">
        <v>1401</v>
      </c>
      <c r="C1521" s="766"/>
      <c r="D1521" s="84" t="s">
        <v>2221</v>
      </c>
      <c r="E1521" s="87">
        <v>1</v>
      </c>
      <c r="F1521" s="86" t="s">
        <v>453</v>
      </c>
      <c r="G1521" s="470">
        <f>중기사용료!$M$1670</f>
        <v>2224</v>
      </c>
      <c r="H1521" s="470">
        <f>TRUNC(E1521*G1521,0)</f>
        <v>2224</v>
      </c>
      <c r="I1521" s="470">
        <f>중기사용료!$M$1664</f>
        <v>0</v>
      </c>
      <c r="J1521" s="470">
        <f>TRUNC(I1521*E1521,0)</f>
        <v>0</v>
      </c>
      <c r="K1521" s="470">
        <f>중기사용료!$M$1658</f>
        <v>111</v>
      </c>
      <c r="L1521" s="470">
        <f>TRUNC(K1521*E1521,0)</f>
        <v>111</v>
      </c>
      <c r="M1521" s="470">
        <f>G1521+I1521+K1521</f>
        <v>2335</v>
      </c>
      <c r="N1521" s="470">
        <f>H1521+J1521+L1521</f>
        <v>2335</v>
      </c>
      <c r="O1521" s="460">
        <f>중기사용료!$A$1655</f>
        <v>88</v>
      </c>
      <c r="P1521" s="767"/>
    </row>
    <row r="1522" spans="2:17" ht="15.2" customHeight="1">
      <c r="B1522" s="766" t="s">
        <v>855</v>
      </c>
      <c r="C1522" s="766"/>
      <c r="D1522" s="84"/>
      <c r="E1522" s="87"/>
      <c r="F1522" s="86"/>
      <c r="G1522" s="470"/>
      <c r="H1522" s="470">
        <f>SUM(H1520:H1521)</f>
        <v>2224</v>
      </c>
      <c r="I1522" s="470"/>
      <c r="J1522" s="470">
        <f>SUM(J1520:J1521)</f>
        <v>0</v>
      </c>
      <c r="K1522" s="470"/>
      <c r="L1522" s="470">
        <f>SUM(L1520:L1521)</f>
        <v>188</v>
      </c>
      <c r="M1522" s="470"/>
      <c r="N1522" s="470">
        <f>SUM(N1520:N1521)</f>
        <v>2412</v>
      </c>
      <c r="O1522" s="459"/>
      <c r="P1522" s="767"/>
      <c r="Q1522" s="80" t="s">
        <v>3244</v>
      </c>
    </row>
    <row r="1523" spans="2:17" ht="15.2" customHeight="1">
      <c r="B1523" s="96">
        <f>P1523</f>
        <v>286</v>
      </c>
      <c r="C1523" s="770" t="s">
        <v>612</v>
      </c>
      <c r="D1523" s="770"/>
      <c r="E1523" s="770"/>
      <c r="F1523" s="771"/>
      <c r="G1523" s="470"/>
      <c r="H1523" s="470"/>
      <c r="I1523" s="470"/>
      <c r="J1523" s="470"/>
      <c r="K1523" s="470"/>
      <c r="L1523" s="470"/>
      <c r="M1523" s="470"/>
      <c r="N1523" s="470"/>
      <c r="O1523" s="459"/>
      <c r="P1523" s="767">
        <f>MAX($P$5:P1522)+1</f>
        <v>286</v>
      </c>
      <c r="Q1523" s="80" t="s">
        <v>3243</v>
      </c>
    </row>
    <row r="1524" spans="2:17" ht="15.2" customHeight="1">
      <c r="B1524" s="766" t="s">
        <v>908</v>
      </c>
      <c r="C1524" s="766"/>
      <c r="D1524" s="84" t="s">
        <v>3314</v>
      </c>
      <c r="E1524" s="87">
        <v>1</v>
      </c>
      <c r="F1524" s="86" t="s">
        <v>453</v>
      </c>
      <c r="G1524" s="470">
        <f>중기사용료!$M$1252</f>
        <v>1684</v>
      </c>
      <c r="H1524" s="470">
        <f>TRUNC(E1524*G1524,0)</f>
        <v>1684</v>
      </c>
      <c r="I1524" s="470">
        <f>중기사용료!$M$1246</f>
        <v>27168</v>
      </c>
      <c r="J1524" s="470">
        <f>TRUNC(I1524*E1524,0)</f>
        <v>27168</v>
      </c>
      <c r="K1524" s="470">
        <f>중기사용료!$M$1240</f>
        <v>689</v>
      </c>
      <c r="L1524" s="470">
        <f>TRUNC(K1524*E1524,0)</f>
        <v>689</v>
      </c>
      <c r="M1524" s="470">
        <f>G1524+I1524+K1524</f>
        <v>29541</v>
      </c>
      <c r="N1524" s="470">
        <f>H1524+J1524+L1524</f>
        <v>29541</v>
      </c>
      <c r="O1524" s="463">
        <f>중기사용료!$A$1237</f>
        <v>66</v>
      </c>
      <c r="P1524" s="767"/>
    </row>
    <row r="1525" spans="2:17" ht="15.2" customHeight="1">
      <c r="B1525" s="766" t="s">
        <v>855</v>
      </c>
      <c r="C1525" s="766"/>
      <c r="D1525" s="84"/>
      <c r="E1525" s="87"/>
      <c r="F1525" s="86"/>
      <c r="G1525" s="470"/>
      <c r="H1525" s="470">
        <f>SUM(H1524:H1524)</f>
        <v>1684</v>
      </c>
      <c r="I1525" s="470"/>
      <c r="J1525" s="470">
        <f>SUM(J1524:J1524)</f>
        <v>27168</v>
      </c>
      <c r="K1525" s="470"/>
      <c r="L1525" s="470">
        <f>SUM(L1524:L1524)</f>
        <v>689</v>
      </c>
      <c r="M1525" s="470"/>
      <c r="N1525" s="470">
        <f>SUM(N1524:N1524)</f>
        <v>29541</v>
      </c>
      <c r="O1525" s="459"/>
      <c r="P1525" s="767"/>
      <c r="Q1525" s="80" t="s">
        <v>3244</v>
      </c>
    </row>
    <row r="1526" spans="2:17" ht="15.2" customHeight="1">
      <c r="B1526" s="96">
        <f>P1526</f>
        <v>287</v>
      </c>
      <c r="C1526" s="770" t="s">
        <v>613</v>
      </c>
      <c r="D1526" s="770"/>
      <c r="E1526" s="770"/>
      <c r="F1526" s="771"/>
      <c r="G1526" s="470"/>
      <c r="H1526" s="470"/>
      <c r="I1526" s="470"/>
      <c r="J1526" s="470"/>
      <c r="K1526" s="470"/>
      <c r="L1526" s="470"/>
      <c r="M1526" s="470"/>
      <c r="N1526" s="470"/>
      <c r="O1526" s="459"/>
      <c r="P1526" s="767">
        <f>MAX($P$5:P1525)+1</f>
        <v>287</v>
      </c>
      <c r="Q1526" s="80" t="s">
        <v>3243</v>
      </c>
    </row>
    <row r="1527" spans="2:17" ht="15.2" customHeight="1">
      <c r="B1527" s="766" t="s">
        <v>430</v>
      </c>
      <c r="C1527" s="766"/>
      <c r="D1527" s="84" t="s">
        <v>1586</v>
      </c>
      <c r="E1527" s="87">
        <v>1</v>
      </c>
      <c r="F1527" s="86" t="s">
        <v>453</v>
      </c>
      <c r="G1527" s="470">
        <f>중기사용료!$M$815</f>
        <v>1589</v>
      </c>
      <c r="H1527" s="470">
        <f>TRUNC(E1527*G1527,0)</f>
        <v>1589</v>
      </c>
      <c r="I1527" s="470">
        <f>중기사용료!$M$809</f>
        <v>18939</v>
      </c>
      <c r="J1527" s="470">
        <f>TRUNC(I1527*E1527,0)</f>
        <v>18939</v>
      </c>
      <c r="K1527" s="470">
        <f>중기사용료!$M$803</f>
        <v>555</v>
      </c>
      <c r="L1527" s="470">
        <f>TRUNC(K1527*E1527,0)</f>
        <v>555</v>
      </c>
      <c r="M1527" s="470">
        <f>G1527+I1527+K1527</f>
        <v>21083</v>
      </c>
      <c r="N1527" s="470">
        <f>H1527+J1527+L1527</f>
        <v>21083</v>
      </c>
      <c r="O1527" s="460">
        <f>중기사용료!$A$800</f>
        <v>43</v>
      </c>
      <c r="P1527" s="767"/>
    </row>
    <row r="1528" spans="2:17" ht="15.2" customHeight="1">
      <c r="B1528" s="766" t="s">
        <v>855</v>
      </c>
      <c r="C1528" s="766"/>
      <c r="D1528" s="84"/>
      <c r="E1528" s="87"/>
      <c r="F1528" s="86"/>
      <c r="G1528" s="470"/>
      <c r="H1528" s="470">
        <f>SUM(H1527:H1527)</f>
        <v>1589</v>
      </c>
      <c r="I1528" s="470"/>
      <c r="J1528" s="470">
        <f>SUM(J1527:J1527)</f>
        <v>18939</v>
      </c>
      <c r="K1528" s="470"/>
      <c r="L1528" s="470">
        <f>SUM(L1527:L1527)</f>
        <v>555</v>
      </c>
      <c r="M1528" s="470"/>
      <c r="N1528" s="470">
        <f>SUM(N1527:N1527)</f>
        <v>21083</v>
      </c>
      <c r="O1528" s="459"/>
      <c r="P1528" s="767"/>
      <c r="Q1528" s="80" t="s">
        <v>3244</v>
      </c>
    </row>
    <row r="1529" spans="2:17" ht="15.2" customHeight="1">
      <c r="B1529" s="96">
        <f>P1529</f>
        <v>288</v>
      </c>
      <c r="C1529" s="770" t="s">
        <v>614</v>
      </c>
      <c r="D1529" s="770"/>
      <c r="E1529" s="770"/>
      <c r="F1529" s="771"/>
      <c r="G1529" s="470"/>
      <c r="H1529" s="470"/>
      <c r="I1529" s="470"/>
      <c r="J1529" s="470"/>
      <c r="K1529" s="470"/>
      <c r="L1529" s="470"/>
      <c r="M1529" s="470"/>
      <c r="N1529" s="470"/>
      <c r="O1529" s="457"/>
      <c r="P1529" s="767">
        <f>MAX($P$5:P1528)+1</f>
        <v>288</v>
      </c>
      <c r="Q1529" s="80" t="s">
        <v>3243</v>
      </c>
    </row>
    <row r="1530" spans="2:17" ht="15.2" customHeight="1">
      <c r="B1530" s="766" t="s">
        <v>615</v>
      </c>
      <c r="C1530" s="766"/>
      <c r="D1530" s="84"/>
      <c r="E1530" s="87">
        <v>0.05</v>
      </c>
      <c r="F1530" s="86" t="s">
        <v>967</v>
      </c>
      <c r="G1530" s="470">
        <f>사급자재!$M$30</f>
        <v>479160</v>
      </c>
      <c r="H1530" s="470">
        <f t="shared" ref="H1530:H1538" si="360">TRUNC(E1530*G1530,0)</f>
        <v>23958</v>
      </c>
      <c r="I1530" s="470"/>
      <c r="J1530" s="470">
        <f t="shared" ref="J1530:J1538" si="361">TRUNC(I1530*E1530,0)</f>
        <v>0</v>
      </c>
      <c r="K1530" s="470"/>
      <c r="L1530" s="470">
        <f t="shared" ref="L1530:L1536" si="362">TRUNC(K1530*E1530,0)</f>
        <v>0</v>
      </c>
      <c r="M1530" s="470">
        <f t="shared" ref="M1530:M1536" si="363">G1530+I1530+K1530</f>
        <v>479160</v>
      </c>
      <c r="N1530" s="470">
        <f t="shared" ref="N1530:N1536" si="364">H1530+J1530+L1530</f>
        <v>23958</v>
      </c>
      <c r="O1530" s="457"/>
      <c r="P1530" s="767"/>
    </row>
    <row r="1531" spans="2:17" ht="15.2" customHeight="1">
      <c r="B1531" s="766" t="s">
        <v>616</v>
      </c>
      <c r="C1531" s="766"/>
      <c r="D1531" s="84"/>
      <c r="E1531" s="88">
        <v>5.2999999999999999E-2</v>
      </c>
      <c r="F1531" s="86" t="s">
        <v>1168</v>
      </c>
      <c r="G1531" s="470">
        <f>사급자재!$M$32</f>
        <v>407286</v>
      </c>
      <c r="H1531" s="470">
        <f t="shared" si="360"/>
        <v>21586</v>
      </c>
      <c r="I1531" s="470"/>
      <c r="J1531" s="470">
        <f t="shared" si="361"/>
        <v>0</v>
      </c>
      <c r="K1531" s="470"/>
      <c r="L1531" s="470">
        <f t="shared" si="362"/>
        <v>0</v>
      </c>
      <c r="M1531" s="470">
        <f t="shared" si="363"/>
        <v>407286</v>
      </c>
      <c r="N1531" s="470">
        <f t="shared" si="364"/>
        <v>21586</v>
      </c>
      <c r="O1531" s="457"/>
      <c r="P1531" s="767"/>
    </row>
    <row r="1532" spans="2:17" ht="15.2" customHeight="1">
      <c r="B1532" s="766" t="s">
        <v>1459</v>
      </c>
      <c r="C1532" s="766"/>
      <c r="D1532" s="84" t="s">
        <v>1460</v>
      </c>
      <c r="E1532" s="87">
        <v>1.03</v>
      </c>
      <c r="F1532" s="86" t="s">
        <v>967</v>
      </c>
      <c r="G1532" s="470">
        <f>사급자재!$M$28</f>
        <v>8801</v>
      </c>
      <c r="H1532" s="470">
        <f t="shared" si="360"/>
        <v>9065</v>
      </c>
      <c r="I1532" s="470"/>
      <c r="J1532" s="470">
        <f t="shared" si="361"/>
        <v>0</v>
      </c>
      <c r="K1532" s="470"/>
      <c r="L1532" s="470">
        <f t="shared" si="362"/>
        <v>0</v>
      </c>
      <c r="M1532" s="470">
        <f t="shared" si="363"/>
        <v>8801</v>
      </c>
      <c r="N1532" s="470">
        <f t="shared" si="364"/>
        <v>9065</v>
      </c>
      <c r="O1532" s="457"/>
      <c r="P1532" s="767"/>
    </row>
    <row r="1533" spans="2:17" ht="15.2" customHeight="1">
      <c r="B1533" s="766" t="s">
        <v>1206</v>
      </c>
      <c r="C1533" s="766"/>
      <c r="D1533" s="84" t="s">
        <v>617</v>
      </c>
      <c r="E1533" s="89">
        <v>-0.23</v>
      </c>
      <c r="F1533" s="86" t="s">
        <v>933</v>
      </c>
      <c r="G1533" s="470">
        <f>TRUNC(E1530*G1530+E1531*G1531+E1532*G1532)</f>
        <v>54609</v>
      </c>
      <c r="H1533" s="470">
        <f>TRUNC(E1533*G1533,0)</f>
        <v>-12560</v>
      </c>
      <c r="I1533" s="470"/>
      <c r="J1533" s="470">
        <f>TRUNC(I1533*E1533,0)</f>
        <v>0</v>
      </c>
      <c r="K1533" s="470"/>
      <c r="L1533" s="470">
        <f>TRUNC(K1533*E1533,0)</f>
        <v>0</v>
      </c>
      <c r="M1533" s="470">
        <f>G1533+I1533+K1533</f>
        <v>54609</v>
      </c>
      <c r="N1533" s="470">
        <f>H1533+J1533+L1533</f>
        <v>-12560</v>
      </c>
      <c r="O1533" s="457"/>
      <c r="P1533" s="767"/>
    </row>
    <row r="1534" spans="2:17" ht="15.2" customHeight="1">
      <c r="B1534" s="766" t="s">
        <v>1201</v>
      </c>
      <c r="C1534" s="766"/>
      <c r="D1534" s="84" t="s">
        <v>1202</v>
      </c>
      <c r="E1534" s="87">
        <v>0.28999999999999998</v>
      </c>
      <c r="F1534" s="86" t="s">
        <v>1799</v>
      </c>
      <c r="G1534" s="470">
        <f>사급자재!$M$34</f>
        <v>1250</v>
      </c>
      <c r="H1534" s="470">
        <f t="shared" si="360"/>
        <v>362</v>
      </c>
      <c r="I1534" s="470"/>
      <c r="J1534" s="470">
        <f t="shared" si="361"/>
        <v>0</v>
      </c>
      <c r="K1534" s="470"/>
      <c r="L1534" s="470">
        <f t="shared" si="362"/>
        <v>0</v>
      </c>
      <c r="M1534" s="470">
        <f t="shared" si="363"/>
        <v>1250</v>
      </c>
      <c r="N1534" s="470">
        <f t="shared" si="364"/>
        <v>362</v>
      </c>
      <c r="O1534" s="457"/>
      <c r="P1534" s="767"/>
    </row>
    <row r="1535" spans="2:17" ht="15.2" customHeight="1">
      <c r="B1535" s="766" t="s">
        <v>1203</v>
      </c>
      <c r="C1535" s="766"/>
      <c r="D1535" s="84"/>
      <c r="E1535" s="87">
        <v>0.25</v>
      </c>
      <c r="F1535" s="86" t="s">
        <v>1799</v>
      </c>
      <c r="G1535" s="470">
        <f>사급자재!$M$35</f>
        <v>1100</v>
      </c>
      <c r="H1535" s="470">
        <f t="shared" si="360"/>
        <v>275</v>
      </c>
      <c r="I1535" s="470"/>
      <c r="J1535" s="470">
        <f t="shared" si="361"/>
        <v>0</v>
      </c>
      <c r="K1535" s="470"/>
      <c r="L1535" s="470">
        <f t="shared" si="362"/>
        <v>0</v>
      </c>
      <c r="M1535" s="470">
        <f t="shared" si="363"/>
        <v>1100</v>
      </c>
      <c r="N1535" s="470">
        <f t="shared" si="364"/>
        <v>275</v>
      </c>
      <c r="O1535" s="457"/>
      <c r="P1535" s="767"/>
    </row>
    <row r="1536" spans="2:17" ht="15.2" customHeight="1">
      <c r="B1536" s="766" t="s">
        <v>1204</v>
      </c>
      <c r="C1536" s="766"/>
      <c r="D1536" s="84" t="s">
        <v>1462</v>
      </c>
      <c r="E1536" s="87">
        <v>0.19</v>
      </c>
      <c r="F1536" s="86" t="s">
        <v>456</v>
      </c>
      <c r="G1536" s="470">
        <f>사급자재!$M$37</f>
        <v>1250</v>
      </c>
      <c r="H1536" s="470">
        <f t="shared" si="360"/>
        <v>237</v>
      </c>
      <c r="I1536" s="470"/>
      <c r="J1536" s="470">
        <f t="shared" si="361"/>
        <v>0</v>
      </c>
      <c r="K1536" s="470"/>
      <c r="L1536" s="470">
        <f t="shared" si="362"/>
        <v>0</v>
      </c>
      <c r="M1536" s="470">
        <f t="shared" si="363"/>
        <v>1250</v>
      </c>
      <c r="N1536" s="470">
        <f t="shared" si="364"/>
        <v>237</v>
      </c>
      <c r="O1536" s="457"/>
      <c r="P1536" s="767"/>
    </row>
    <row r="1537" spans="2:17" ht="15.2" customHeight="1">
      <c r="B1537" s="766" t="s">
        <v>1205</v>
      </c>
      <c r="C1537" s="766"/>
      <c r="D1537" s="84"/>
      <c r="E1537" s="87">
        <v>0.54</v>
      </c>
      <c r="F1537" s="86" t="s">
        <v>1163</v>
      </c>
      <c r="G1537" s="470"/>
      <c r="H1537" s="470">
        <f t="shared" si="360"/>
        <v>0</v>
      </c>
      <c r="I1537" s="470">
        <f>SUMIF('노임(2015)'!$B$4:$B$87,B1537,'노임(2015)'!$C$4:$C$87)+SUMIF('노임(2015)'!$E$4:$E$87,B1537,'노임(2015)'!$F$4:$F$87)</f>
        <v>152831</v>
      </c>
      <c r="J1537" s="470">
        <f t="shared" si="361"/>
        <v>82528</v>
      </c>
      <c r="K1537" s="470"/>
      <c r="L1537" s="470">
        <f>TRUNC(K1537*E1537,0)</f>
        <v>0</v>
      </c>
      <c r="M1537" s="470">
        <f>G1537+I1537+K1537</f>
        <v>152831</v>
      </c>
      <c r="N1537" s="470">
        <f>H1537+J1537+L1537</f>
        <v>82528</v>
      </c>
      <c r="O1537" s="457"/>
      <c r="P1537" s="767"/>
    </row>
    <row r="1538" spans="2:17" ht="15.2" customHeight="1">
      <c r="B1538" s="766" t="s">
        <v>1162</v>
      </c>
      <c r="C1538" s="766"/>
      <c r="D1538" s="84"/>
      <c r="E1538" s="87">
        <v>0.25</v>
      </c>
      <c r="F1538" s="86" t="s">
        <v>1163</v>
      </c>
      <c r="G1538" s="470"/>
      <c r="H1538" s="470">
        <f t="shared" si="360"/>
        <v>0</v>
      </c>
      <c r="I1538" s="470">
        <f>SUMIF('노임(2015)'!$B$4:$B$87,B1538,'노임(2015)'!$C$4:$C$87)+SUMIF('노임(2015)'!$E$4:$E$87,B1538,'노임(2015)'!$F$4:$F$87)</f>
        <v>89566</v>
      </c>
      <c r="J1538" s="470">
        <f t="shared" si="361"/>
        <v>22391</v>
      </c>
      <c r="K1538" s="470"/>
      <c r="L1538" s="470">
        <f>TRUNC(K1538*E1538,0)</f>
        <v>0</v>
      </c>
      <c r="M1538" s="470">
        <f>G1538+I1538+K1538</f>
        <v>89566</v>
      </c>
      <c r="N1538" s="470">
        <f>H1538+J1538+L1538</f>
        <v>22391</v>
      </c>
      <c r="O1538" s="457"/>
      <c r="P1538" s="767"/>
    </row>
    <row r="1539" spans="2:17" ht="15.2" customHeight="1">
      <c r="B1539" s="766" t="s">
        <v>855</v>
      </c>
      <c r="C1539" s="766"/>
      <c r="D1539" s="84"/>
      <c r="E1539" s="87"/>
      <c r="F1539" s="86"/>
      <c r="G1539" s="470"/>
      <c r="H1539" s="470">
        <f>SUM(H1530:H1538)</f>
        <v>42923</v>
      </c>
      <c r="I1539" s="470"/>
      <c r="J1539" s="470">
        <f>SUM(J1530:J1538)</f>
        <v>104919</v>
      </c>
      <c r="K1539" s="470"/>
      <c r="L1539" s="470">
        <f>SUM(L1530:L1538)</f>
        <v>0</v>
      </c>
      <c r="M1539" s="470"/>
      <c r="N1539" s="470">
        <f>SUM(N1530:N1538)</f>
        <v>147842</v>
      </c>
      <c r="O1539" s="457"/>
      <c r="P1539" s="767"/>
      <c r="Q1539" s="80" t="s">
        <v>3244</v>
      </c>
    </row>
    <row r="1540" spans="2:17" ht="15.2" customHeight="1">
      <c r="B1540" s="96">
        <f>P1540</f>
        <v>289</v>
      </c>
      <c r="C1540" s="770" t="s">
        <v>618</v>
      </c>
      <c r="D1540" s="770"/>
      <c r="E1540" s="770"/>
      <c r="F1540" s="771"/>
      <c r="G1540" s="470"/>
      <c r="H1540" s="470"/>
      <c r="I1540" s="470"/>
      <c r="J1540" s="470"/>
      <c r="K1540" s="470"/>
      <c r="L1540" s="470"/>
      <c r="M1540" s="470"/>
      <c r="N1540" s="470"/>
      <c r="O1540" s="457"/>
      <c r="P1540" s="767">
        <f>MAX($P$5:P1539)+1</f>
        <v>289</v>
      </c>
      <c r="Q1540" s="80" t="s">
        <v>3243</v>
      </c>
    </row>
    <row r="1541" spans="2:17" ht="15.2" customHeight="1">
      <c r="B1541" s="766" t="s">
        <v>1328</v>
      </c>
      <c r="C1541" s="766"/>
      <c r="D1541" s="84" t="s">
        <v>460</v>
      </c>
      <c r="E1541" s="87"/>
      <c r="F1541" s="86" t="s">
        <v>967</v>
      </c>
      <c r="G1541" s="470">
        <f>$H$1539</f>
        <v>42923</v>
      </c>
      <c r="H1541" s="470">
        <f>TRUNC(E1541*G1541,0)</f>
        <v>0</v>
      </c>
      <c r="I1541" s="470">
        <f>$J$1539</f>
        <v>104919</v>
      </c>
      <c r="J1541" s="470">
        <f>TRUNC(I1541*E1541,0)</f>
        <v>0</v>
      </c>
      <c r="K1541" s="470">
        <f>$L$1539</f>
        <v>0</v>
      </c>
      <c r="L1541" s="470">
        <f>TRUNC(K1541*E1541,0)</f>
        <v>0</v>
      </c>
      <c r="M1541" s="470">
        <f t="shared" ref="M1541:N1543" si="365">G1541+I1541+K1541</f>
        <v>147842</v>
      </c>
      <c r="N1541" s="470">
        <f t="shared" si="365"/>
        <v>0</v>
      </c>
      <c r="O1541" s="462">
        <f>$P$1529</f>
        <v>288</v>
      </c>
      <c r="P1541" s="767"/>
    </row>
    <row r="1542" spans="2:17" ht="15.2" customHeight="1">
      <c r="B1542" s="766" t="s">
        <v>619</v>
      </c>
      <c r="C1542" s="766"/>
      <c r="D1542" s="84"/>
      <c r="E1542" s="87">
        <v>0.42</v>
      </c>
      <c r="F1542" s="86" t="s">
        <v>933</v>
      </c>
      <c r="G1542" s="470">
        <f>$G$1541</f>
        <v>42923</v>
      </c>
      <c r="H1542" s="470">
        <f>TRUNC(E1542*G1542,0)</f>
        <v>18027</v>
      </c>
      <c r="I1542" s="470"/>
      <c r="J1542" s="470">
        <f>TRUNC(I1542*E1542,0)</f>
        <v>0</v>
      </c>
      <c r="K1542" s="470"/>
      <c r="L1542" s="470">
        <f>TRUNC(K1542*E1542,0)</f>
        <v>0</v>
      </c>
      <c r="M1542" s="470">
        <f t="shared" si="365"/>
        <v>42923</v>
      </c>
      <c r="N1542" s="470">
        <f t="shared" si="365"/>
        <v>18027</v>
      </c>
      <c r="O1542" s="459"/>
      <c r="P1542" s="767"/>
    </row>
    <row r="1543" spans="2:17" ht="15.2" customHeight="1">
      <c r="B1543" s="766" t="s">
        <v>1983</v>
      </c>
      <c r="C1543" s="766"/>
      <c r="D1543" s="84"/>
      <c r="E1543" s="88">
        <v>0.51500000000000001</v>
      </c>
      <c r="F1543" s="86" t="s">
        <v>967</v>
      </c>
      <c r="G1543" s="470"/>
      <c r="H1543" s="470">
        <f>TRUNC(E1543*G1543,0)</f>
        <v>0</v>
      </c>
      <c r="I1543" s="470">
        <f>$I$1541</f>
        <v>104919</v>
      </c>
      <c r="J1543" s="470">
        <f>TRUNC(I1543*E1543,0)</f>
        <v>54033</v>
      </c>
      <c r="K1543" s="470"/>
      <c r="L1543" s="470">
        <f>TRUNC(K1543*E1543,0)</f>
        <v>0</v>
      </c>
      <c r="M1543" s="470">
        <f t="shared" si="365"/>
        <v>104919</v>
      </c>
      <c r="N1543" s="470">
        <f t="shared" si="365"/>
        <v>54033</v>
      </c>
      <c r="O1543" s="459"/>
      <c r="P1543" s="767"/>
    </row>
    <row r="1544" spans="2:17" ht="15.2" customHeight="1">
      <c r="B1544" s="766" t="s">
        <v>855</v>
      </c>
      <c r="C1544" s="766"/>
      <c r="D1544" s="84"/>
      <c r="E1544" s="87"/>
      <c r="F1544" s="86"/>
      <c r="G1544" s="470"/>
      <c r="H1544" s="470">
        <f>SUM(H1541:H1543)</f>
        <v>18027</v>
      </c>
      <c r="I1544" s="470"/>
      <c r="J1544" s="470">
        <f>SUM(J1541:J1543)</f>
        <v>54033</v>
      </c>
      <c r="K1544" s="470"/>
      <c r="L1544" s="470">
        <f>SUM(L1541:L1543)</f>
        <v>0</v>
      </c>
      <c r="M1544" s="470"/>
      <c r="N1544" s="470">
        <f>SUM(N1541:N1543)</f>
        <v>72060</v>
      </c>
      <c r="O1544" s="459"/>
      <c r="P1544" s="767"/>
      <c r="Q1544" s="80" t="s">
        <v>3244</v>
      </c>
    </row>
    <row r="1545" spans="2:17" ht="15.2" customHeight="1">
      <c r="B1545" s="96">
        <f>P1545</f>
        <v>290</v>
      </c>
      <c r="C1545" s="770" t="s">
        <v>3737</v>
      </c>
      <c r="D1545" s="770"/>
      <c r="E1545" s="770"/>
      <c r="F1545" s="771"/>
      <c r="G1545" s="470"/>
      <c r="H1545" s="470"/>
      <c r="I1545" s="470"/>
      <c r="J1545" s="470"/>
      <c r="K1545" s="470"/>
      <c r="L1545" s="470"/>
      <c r="M1545" s="470"/>
      <c r="N1545" s="470"/>
      <c r="O1545" s="459"/>
      <c r="P1545" s="767">
        <f>MAX($P$5:P1544)+1</f>
        <v>290</v>
      </c>
      <c r="Q1545" s="80" t="s">
        <v>3243</v>
      </c>
    </row>
    <row r="1546" spans="2:17" ht="15.2" customHeight="1">
      <c r="B1546" s="766" t="s">
        <v>1402</v>
      </c>
      <c r="C1546" s="766"/>
      <c r="D1546" s="84"/>
      <c r="E1546" s="87">
        <v>1.03</v>
      </c>
      <c r="F1546" s="86" t="s">
        <v>1190</v>
      </c>
      <c r="G1546" s="470"/>
      <c r="H1546" s="470">
        <f>TRUNC(E1546*G1546,0)</f>
        <v>0</v>
      </c>
      <c r="I1546" s="470"/>
      <c r="J1546" s="470">
        <f>TRUNC(I1546*E1546,0)</f>
        <v>0</v>
      </c>
      <c r="K1546" s="470">
        <f>자재운반비!$T$34</f>
        <v>804</v>
      </c>
      <c r="L1546" s="470">
        <f>TRUNC(K1546*E1546,0)</f>
        <v>828</v>
      </c>
      <c r="M1546" s="470">
        <f t="shared" ref="M1546:N1549" si="366">G1546+I1546+K1546</f>
        <v>804</v>
      </c>
      <c r="N1546" s="470">
        <f t="shared" si="366"/>
        <v>828</v>
      </c>
      <c r="O1546" s="459"/>
      <c r="P1546" s="767"/>
    </row>
    <row r="1547" spans="2:17" ht="15.2" customHeight="1">
      <c r="B1547" s="766" t="s">
        <v>1984</v>
      </c>
      <c r="C1547" s="766"/>
      <c r="D1547" s="84" t="s">
        <v>1403</v>
      </c>
      <c r="E1547" s="97">
        <v>1.6000000000000001E-3</v>
      </c>
      <c r="F1547" s="86" t="s">
        <v>1168</v>
      </c>
      <c r="G1547" s="470">
        <f>$H$9</f>
        <v>98700</v>
      </c>
      <c r="H1547" s="470">
        <f>TRUNC(E1547*G1547,0)</f>
        <v>157</v>
      </c>
      <c r="I1547" s="470">
        <f>$J$9</f>
        <v>59113</v>
      </c>
      <c r="J1547" s="470">
        <f>TRUNC(I1547*E1547,0)</f>
        <v>94</v>
      </c>
      <c r="K1547" s="470">
        <f>$L$9</f>
        <v>17680</v>
      </c>
      <c r="L1547" s="470">
        <f>TRUNC(K1547*E1547,0)</f>
        <v>28</v>
      </c>
      <c r="M1547" s="470">
        <f t="shared" si="366"/>
        <v>175493</v>
      </c>
      <c r="N1547" s="470">
        <f t="shared" si="366"/>
        <v>279</v>
      </c>
      <c r="O1547" s="462">
        <f>$P$5</f>
        <v>1</v>
      </c>
      <c r="P1547" s="767"/>
    </row>
    <row r="1548" spans="2:17" ht="15.2" customHeight="1">
      <c r="B1548" s="766" t="s">
        <v>3785</v>
      </c>
      <c r="C1548" s="766"/>
      <c r="D1548" s="84"/>
      <c r="E1548" s="87">
        <v>0.1</v>
      </c>
      <c r="F1548" s="86" t="s">
        <v>1163</v>
      </c>
      <c r="G1548" s="470"/>
      <c r="H1548" s="470">
        <f>TRUNC(E1548*G1548,0)</f>
        <v>0</v>
      </c>
      <c r="I1548" s="470">
        <f>SUMIF('노임(2015)'!$B$4:$B$87,B1548,'노임(2015)'!$C$4:$C$87)+SUMIF('노임(2015)'!$E$4:$E$87,B1548,'노임(2015)'!$F$4:$F$87)</f>
        <v>136044</v>
      </c>
      <c r="J1548" s="470">
        <f>TRUNC(I1548*E1548,0)</f>
        <v>13604</v>
      </c>
      <c r="K1548" s="470"/>
      <c r="L1548" s="470">
        <f>TRUNC(K1548*E1548,0)</f>
        <v>0</v>
      </c>
      <c r="M1548" s="470">
        <f t="shared" si="366"/>
        <v>136044</v>
      </c>
      <c r="N1548" s="470">
        <f t="shared" si="366"/>
        <v>13604</v>
      </c>
      <c r="O1548" s="459"/>
      <c r="P1548" s="767"/>
    </row>
    <row r="1549" spans="2:17" ht="15.2" customHeight="1">
      <c r="B1549" s="766" t="s">
        <v>1162</v>
      </c>
      <c r="C1549" s="766"/>
      <c r="D1549" s="84"/>
      <c r="E1549" s="88">
        <v>0.372</v>
      </c>
      <c r="F1549" s="86" t="s">
        <v>1163</v>
      </c>
      <c r="G1549" s="470"/>
      <c r="H1549" s="470">
        <f>TRUNC(E1549*G1549,0)</f>
        <v>0</v>
      </c>
      <c r="I1549" s="470">
        <f>SUMIF('노임(2015)'!$B$4:$B$87,B1549,'노임(2015)'!$C$4:$C$87)+SUMIF('노임(2015)'!$E$4:$E$87,B1549,'노임(2015)'!$F$4:$F$87)</f>
        <v>89566</v>
      </c>
      <c r="J1549" s="470">
        <f>TRUNC(I1549*E1549,0)</f>
        <v>33318</v>
      </c>
      <c r="K1549" s="470"/>
      <c r="L1549" s="470">
        <f>TRUNC(K1549*E1549,0)</f>
        <v>0</v>
      </c>
      <c r="M1549" s="470">
        <f t="shared" si="366"/>
        <v>89566</v>
      </c>
      <c r="N1549" s="470">
        <f t="shared" si="366"/>
        <v>33318</v>
      </c>
      <c r="O1549" s="459"/>
      <c r="P1549" s="767"/>
    </row>
    <row r="1550" spans="2:17" ht="15.2" customHeight="1">
      <c r="B1550" s="766" t="s">
        <v>855</v>
      </c>
      <c r="C1550" s="766"/>
      <c r="D1550" s="84"/>
      <c r="E1550" s="87"/>
      <c r="F1550" s="86"/>
      <c r="G1550" s="470"/>
      <c r="H1550" s="470">
        <f>SUM(H1546:H1549)</f>
        <v>157</v>
      </c>
      <c r="I1550" s="470"/>
      <c r="J1550" s="470">
        <f>SUM(J1546:J1549)</f>
        <v>47016</v>
      </c>
      <c r="K1550" s="470"/>
      <c r="L1550" s="470">
        <f>SUM(L1546:L1549)</f>
        <v>856</v>
      </c>
      <c r="M1550" s="470"/>
      <c r="N1550" s="470">
        <f>SUM(N1546:N1549)</f>
        <v>48029</v>
      </c>
      <c r="O1550" s="459"/>
      <c r="P1550" s="767"/>
      <c r="Q1550" s="80" t="s">
        <v>3244</v>
      </c>
    </row>
    <row r="1551" spans="2:17" ht="15.2" customHeight="1">
      <c r="B1551" s="96">
        <f>P1551</f>
        <v>291</v>
      </c>
      <c r="C1551" s="770" t="s">
        <v>3738</v>
      </c>
      <c r="D1551" s="770"/>
      <c r="E1551" s="770"/>
      <c r="F1551" s="771"/>
      <c r="G1551" s="470"/>
      <c r="H1551" s="470"/>
      <c r="I1551" s="470"/>
      <c r="J1551" s="470"/>
      <c r="K1551" s="470"/>
      <c r="L1551" s="470"/>
      <c r="M1551" s="470"/>
      <c r="N1551" s="470"/>
      <c r="O1551" s="459"/>
      <c r="P1551" s="767">
        <f>MAX($P$5:P1550)+1</f>
        <v>291</v>
      </c>
      <c r="Q1551" s="80" t="s">
        <v>3243</v>
      </c>
    </row>
    <row r="1552" spans="2:17" ht="15.2" customHeight="1">
      <c r="B1552" s="773" t="s">
        <v>1402</v>
      </c>
      <c r="C1552" s="773"/>
      <c r="D1552" s="84"/>
      <c r="E1552" s="87">
        <v>1.03</v>
      </c>
      <c r="F1552" s="86" t="s">
        <v>1190</v>
      </c>
      <c r="G1552" s="470"/>
      <c r="H1552" s="470">
        <f>TRUNC(E1552*G1552,0)</f>
        <v>0</v>
      </c>
      <c r="I1552" s="470"/>
      <c r="J1552" s="470">
        <f>TRUNC(I1552*E1552,0)</f>
        <v>0</v>
      </c>
      <c r="K1552" s="470">
        <f>자재운반비!$T$34</f>
        <v>804</v>
      </c>
      <c r="L1552" s="470">
        <f>TRUNC(K1552*E1552,0)</f>
        <v>828</v>
      </c>
      <c r="M1552" s="470">
        <f t="shared" ref="M1552:N1555" si="367">G1552+I1552+K1552</f>
        <v>804</v>
      </c>
      <c r="N1552" s="470">
        <f t="shared" si="367"/>
        <v>828</v>
      </c>
      <c r="O1552" s="459"/>
      <c r="P1552" s="767"/>
    </row>
    <row r="1553" spans="2:17" ht="15.2" customHeight="1">
      <c r="B1553" s="773" t="s">
        <v>1984</v>
      </c>
      <c r="C1553" s="773"/>
      <c r="D1553" s="84" t="s">
        <v>3681</v>
      </c>
      <c r="E1553" s="97">
        <v>1.6000000000000001E-3</v>
      </c>
      <c r="F1553" s="86" t="s">
        <v>1168</v>
      </c>
      <c r="G1553" s="470">
        <f>$H$9</f>
        <v>98700</v>
      </c>
      <c r="H1553" s="470">
        <f>TRUNC(E1553*G1553,0)</f>
        <v>157</v>
      </c>
      <c r="I1553" s="470">
        <f>$J$9</f>
        <v>59113</v>
      </c>
      <c r="J1553" s="470">
        <f>TRUNC(I1553*E1553,0)</f>
        <v>94</v>
      </c>
      <c r="K1553" s="470">
        <f>$L$9</f>
        <v>17680</v>
      </c>
      <c r="L1553" s="470">
        <f>TRUNC(K1553*E1553,0)</f>
        <v>28</v>
      </c>
      <c r="M1553" s="470">
        <f t="shared" si="367"/>
        <v>175493</v>
      </c>
      <c r="N1553" s="470">
        <f t="shared" si="367"/>
        <v>279</v>
      </c>
      <c r="O1553" s="462">
        <f>$P$5</f>
        <v>1</v>
      </c>
      <c r="P1553" s="767"/>
    </row>
    <row r="1554" spans="2:17" ht="15.2" customHeight="1">
      <c r="B1554" s="766" t="s">
        <v>3785</v>
      </c>
      <c r="C1554" s="766"/>
      <c r="D1554" s="84"/>
      <c r="E1554" s="87">
        <v>0.06</v>
      </c>
      <c r="F1554" s="86" t="s">
        <v>1163</v>
      </c>
      <c r="G1554" s="470"/>
      <c r="H1554" s="470">
        <f>TRUNC(E1554*G1554,0)</f>
        <v>0</v>
      </c>
      <c r="I1554" s="470">
        <f>SUMIF('노임(2015)'!$B$4:$B$87,B1554,'노임(2015)'!$C$4:$C$87)+SUMIF('노임(2015)'!$E$4:$E$87,B1554,'노임(2015)'!$F$4:$F$87)</f>
        <v>136044</v>
      </c>
      <c r="J1554" s="470">
        <f>TRUNC(I1554*E1554,0)</f>
        <v>8162</v>
      </c>
      <c r="K1554" s="470"/>
      <c r="L1554" s="470">
        <f>TRUNC(K1554*E1554,0)</f>
        <v>0</v>
      </c>
      <c r="M1554" s="470">
        <f t="shared" si="367"/>
        <v>136044</v>
      </c>
      <c r="N1554" s="470">
        <f t="shared" si="367"/>
        <v>8162</v>
      </c>
      <c r="O1554" s="459"/>
      <c r="P1554" s="767"/>
    </row>
    <row r="1555" spans="2:17" ht="15.2" customHeight="1">
      <c r="B1555" s="773" t="s">
        <v>1162</v>
      </c>
      <c r="C1555" s="773"/>
      <c r="D1555" s="84"/>
      <c r="E1555" s="88">
        <v>0.35199999999999998</v>
      </c>
      <c r="F1555" s="86" t="s">
        <v>1163</v>
      </c>
      <c r="G1555" s="470"/>
      <c r="H1555" s="470">
        <f>TRUNC(E1555*G1555,0)</f>
        <v>0</v>
      </c>
      <c r="I1555" s="470">
        <f>SUMIF('노임(2015)'!$B$4:$B$87,B1555,'노임(2015)'!$C$4:$C$87)+SUMIF('노임(2015)'!$E$4:$E$87,B1555,'노임(2015)'!$F$4:$F$87)</f>
        <v>89566</v>
      </c>
      <c r="J1555" s="470">
        <f>TRUNC(I1555*E1555,0)</f>
        <v>31527</v>
      </c>
      <c r="K1555" s="470"/>
      <c r="L1555" s="470">
        <f>TRUNC(K1555*E1555,0)</f>
        <v>0</v>
      </c>
      <c r="M1555" s="470">
        <f t="shared" si="367"/>
        <v>89566</v>
      </c>
      <c r="N1555" s="470">
        <f t="shared" si="367"/>
        <v>31527</v>
      </c>
      <c r="O1555" s="459"/>
      <c r="P1555" s="767"/>
    </row>
    <row r="1556" spans="2:17" ht="15.2" customHeight="1">
      <c r="B1556" s="756" t="s">
        <v>855</v>
      </c>
      <c r="C1556" s="772"/>
      <c r="D1556" s="84"/>
      <c r="E1556" s="87"/>
      <c r="F1556" s="86"/>
      <c r="G1556" s="470"/>
      <c r="H1556" s="470">
        <f>SUM(H1552:H1555)</f>
        <v>157</v>
      </c>
      <c r="I1556" s="470"/>
      <c r="J1556" s="470">
        <f>SUM(J1552:J1555)</f>
        <v>39783</v>
      </c>
      <c r="K1556" s="470"/>
      <c r="L1556" s="470">
        <f>SUM(L1552:L1555)</f>
        <v>856</v>
      </c>
      <c r="M1556" s="470"/>
      <c r="N1556" s="470">
        <f>SUM(N1552:N1555)</f>
        <v>40796</v>
      </c>
      <c r="O1556" s="459"/>
      <c r="P1556" s="767"/>
      <c r="Q1556" s="80" t="s">
        <v>3244</v>
      </c>
    </row>
    <row r="1557" spans="2:17" ht="15.2" customHeight="1">
      <c r="B1557" s="96">
        <f>P1557</f>
        <v>292</v>
      </c>
      <c r="C1557" s="770" t="s">
        <v>3992</v>
      </c>
      <c r="D1557" s="770"/>
      <c r="E1557" s="770"/>
      <c r="F1557" s="771"/>
      <c r="G1557" s="470"/>
      <c r="H1557" s="470"/>
      <c r="I1557" s="470"/>
      <c r="J1557" s="470"/>
      <c r="K1557" s="470"/>
      <c r="L1557" s="470"/>
      <c r="M1557" s="470"/>
      <c r="N1557" s="470"/>
      <c r="O1557" s="459"/>
      <c r="P1557" s="767">
        <f>MAX($P$5:P1556)+1</f>
        <v>292</v>
      </c>
      <c r="Q1557" s="80" t="s">
        <v>3243</v>
      </c>
    </row>
    <row r="1558" spans="2:17" ht="15.2" customHeight="1">
      <c r="B1558" s="773" t="s">
        <v>1402</v>
      </c>
      <c r="C1558" s="773"/>
      <c r="D1558" s="648"/>
      <c r="E1558" s="87">
        <v>1.03</v>
      </c>
      <c r="F1558" s="86" t="s">
        <v>1190</v>
      </c>
      <c r="G1558" s="470"/>
      <c r="H1558" s="470">
        <f>TRUNC(E1558*G1558,0)</f>
        <v>0</v>
      </c>
      <c r="I1558" s="470"/>
      <c r="J1558" s="470">
        <f>TRUNC(I1558*E1558,0)</f>
        <v>0</v>
      </c>
      <c r="K1558" s="470">
        <f>자재운반비!$T$34</f>
        <v>804</v>
      </c>
      <c r="L1558" s="470">
        <f>TRUNC(K1558*E1558,0)</f>
        <v>828</v>
      </c>
      <c r="M1558" s="470">
        <f t="shared" ref="M1558:N1561" si="368">G1558+I1558+K1558</f>
        <v>804</v>
      </c>
      <c r="N1558" s="470">
        <f t="shared" si="368"/>
        <v>828</v>
      </c>
      <c r="O1558" s="459"/>
      <c r="P1558" s="767"/>
    </row>
    <row r="1559" spans="2:17" ht="15.2" customHeight="1">
      <c r="B1559" s="766" t="s">
        <v>3739</v>
      </c>
      <c r="C1559" s="766"/>
      <c r="D1559" s="84" t="s">
        <v>3740</v>
      </c>
      <c r="E1559" s="97">
        <v>9.6000000000000002E-2</v>
      </c>
      <c r="F1559" s="649" t="s">
        <v>3991</v>
      </c>
      <c r="G1559" s="470">
        <f>중기사용료!$M$948</f>
        <v>5888</v>
      </c>
      <c r="H1559" s="470">
        <f>TRUNC(E1559*G1559,0)</f>
        <v>565</v>
      </c>
      <c r="I1559" s="470">
        <f>중기사용료!$M$942</f>
        <v>27168</v>
      </c>
      <c r="J1559" s="470">
        <f>TRUNC(I1559*E1559,0)</f>
        <v>2608</v>
      </c>
      <c r="K1559" s="470">
        <f>중기사용료!$M$936</f>
        <v>25355</v>
      </c>
      <c r="L1559" s="470">
        <f>TRUNC(K1559*E1559,0)</f>
        <v>2434</v>
      </c>
      <c r="M1559" s="470">
        <f t="shared" si="368"/>
        <v>58411</v>
      </c>
      <c r="N1559" s="470">
        <f t="shared" si="368"/>
        <v>5607</v>
      </c>
      <c r="O1559" s="460">
        <f>중기사용료!$A$933</f>
        <v>50</v>
      </c>
      <c r="P1559" s="767"/>
    </row>
    <row r="1560" spans="2:17" ht="15.2" customHeight="1">
      <c r="B1560" s="766" t="s">
        <v>3785</v>
      </c>
      <c r="C1560" s="766"/>
      <c r="D1560" s="84"/>
      <c r="E1560" s="88">
        <v>3.5999999999999997E-2</v>
      </c>
      <c r="F1560" s="86" t="s">
        <v>1163</v>
      </c>
      <c r="G1560" s="470"/>
      <c r="H1560" s="470">
        <f>TRUNC(E1560*G1560,0)</f>
        <v>0</v>
      </c>
      <c r="I1560" s="470">
        <f>SUMIF('노임(2015)'!$B$4:$B$87,B1560,'노임(2015)'!$C$4:$C$87)+SUMIF('노임(2015)'!$E$4:$E$87,B1560,'노임(2015)'!$F$4:$F$87)</f>
        <v>136044</v>
      </c>
      <c r="J1560" s="470">
        <f>TRUNC(I1560*E1560,0)</f>
        <v>4897</v>
      </c>
      <c r="K1560" s="470"/>
      <c r="L1560" s="470">
        <f>TRUNC(K1560*E1560,0)</f>
        <v>0</v>
      </c>
      <c r="M1560" s="470">
        <f t="shared" si="368"/>
        <v>136044</v>
      </c>
      <c r="N1560" s="470">
        <f t="shared" si="368"/>
        <v>4897</v>
      </c>
      <c r="O1560" s="459"/>
      <c r="P1560" s="767"/>
    </row>
    <row r="1561" spans="2:17" ht="15.2" customHeight="1">
      <c r="B1561" s="773" t="s">
        <v>1162</v>
      </c>
      <c r="C1561" s="773"/>
      <c r="D1561" s="84"/>
      <c r="E1561" s="88">
        <v>7.1999999999999995E-2</v>
      </c>
      <c r="F1561" s="86" t="s">
        <v>1163</v>
      </c>
      <c r="G1561" s="470"/>
      <c r="H1561" s="470">
        <f>TRUNC(E1561*G1561,0)</f>
        <v>0</v>
      </c>
      <c r="I1561" s="470">
        <f>SUMIF('노임(2015)'!$B$4:$B$87,B1561,'노임(2015)'!$C$4:$C$87)+SUMIF('노임(2015)'!$E$4:$E$87,B1561,'노임(2015)'!$F$4:$F$87)</f>
        <v>89566</v>
      </c>
      <c r="J1561" s="470">
        <f>TRUNC(I1561*E1561,0)</f>
        <v>6448</v>
      </c>
      <c r="K1561" s="470"/>
      <c r="L1561" s="470">
        <f>TRUNC(K1561*E1561,0)</f>
        <v>0</v>
      </c>
      <c r="M1561" s="470">
        <f t="shared" si="368"/>
        <v>89566</v>
      </c>
      <c r="N1561" s="470">
        <f t="shared" si="368"/>
        <v>6448</v>
      </c>
      <c r="O1561" s="459"/>
      <c r="P1561" s="767"/>
    </row>
    <row r="1562" spans="2:17" ht="15.2" customHeight="1">
      <c r="B1562" s="756" t="s">
        <v>855</v>
      </c>
      <c r="C1562" s="772"/>
      <c r="D1562" s="84"/>
      <c r="E1562" s="87"/>
      <c r="F1562" s="86"/>
      <c r="G1562" s="470"/>
      <c r="H1562" s="470">
        <f>SUM(H1558:H1561)</f>
        <v>565</v>
      </c>
      <c r="I1562" s="470"/>
      <c r="J1562" s="470">
        <f>SUM(J1558:J1561)</f>
        <v>13953</v>
      </c>
      <c r="K1562" s="470"/>
      <c r="L1562" s="470">
        <f>SUM(L1558:L1561)</f>
        <v>3262</v>
      </c>
      <c r="M1562" s="470"/>
      <c r="N1562" s="470">
        <f>SUM(N1558:N1561)</f>
        <v>17780</v>
      </c>
      <c r="O1562" s="459"/>
      <c r="P1562" s="767"/>
      <c r="Q1562" s="80" t="s">
        <v>1164</v>
      </c>
    </row>
    <row r="1563" spans="2:17" ht="15.2" customHeight="1">
      <c r="B1563" s="96">
        <f>P1563</f>
        <v>293</v>
      </c>
      <c r="C1563" s="770" t="s">
        <v>3741</v>
      </c>
      <c r="D1563" s="770"/>
      <c r="E1563" s="770"/>
      <c r="F1563" s="771"/>
      <c r="G1563" s="470"/>
      <c r="H1563" s="470"/>
      <c r="I1563" s="470"/>
      <c r="J1563" s="470"/>
      <c r="K1563" s="470"/>
      <c r="L1563" s="470"/>
      <c r="M1563" s="470"/>
      <c r="N1563" s="470"/>
      <c r="O1563" s="459"/>
      <c r="P1563" s="767">
        <f>MAX($P$5:P1562)+1</f>
        <v>293</v>
      </c>
      <c r="Q1563" s="80" t="s">
        <v>3243</v>
      </c>
    </row>
    <row r="1564" spans="2:17" ht="15.2" customHeight="1">
      <c r="B1564" s="773" t="s">
        <v>1402</v>
      </c>
      <c r="C1564" s="773"/>
      <c r="D1564" s="84"/>
      <c r="E1564" s="87">
        <v>1.03</v>
      </c>
      <c r="F1564" s="86" t="s">
        <v>1190</v>
      </c>
      <c r="G1564" s="470"/>
      <c r="H1564" s="470">
        <f>TRUNC(E1564*G1564,0)</f>
        <v>0</v>
      </c>
      <c r="I1564" s="470"/>
      <c r="J1564" s="470">
        <f>TRUNC(I1564*E1564,0)</f>
        <v>0</v>
      </c>
      <c r="K1564" s="470">
        <f>자재운반비!$T$35</f>
        <v>893</v>
      </c>
      <c r="L1564" s="470">
        <f>TRUNC(K1564*E1564,0)</f>
        <v>919</v>
      </c>
      <c r="M1564" s="470">
        <f t="shared" ref="M1564:N1567" si="369">G1564+I1564+K1564</f>
        <v>893</v>
      </c>
      <c r="N1564" s="470">
        <f t="shared" si="369"/>
        <v>919</v>
      </c>
      <c r="O1564" s="459"/>
      <c r="P1564" s="767"/>
    </row>
    <row r="1565" spans="2:17" ht="15.2" customHeight="1">
      <c r="B1565" s="773" t="s">
        <v>1984</v>
      </c>
      <c r="C1565" s="773"/>
      <c r="D1565" s="84" t="s">
        <v>3681</v>
      </c>
      <c r="E1565" s="95">
        <v>2.32E-3</v>
      </c>
      <c r="F1565" s="86" t="s">
        <v>1168</v>
      </c>
      <c r="G1565" s="470">
        <f>$H$9</f>
        <v>98700</v>
      </c>
      <c r="H1565" s="470">
        <f>TRUNC(E1565*G1565,0)</f>
        <v>228</v>
      </c>
      <c r="I1565" s="470">
        <f>$J$9</f>
        <v>59113</v>
      </c>
      <c r="J1565" s="470">
        <f>TRUNC(I1565*E1565,0)</f>
        <v>137</v>
      </c>
      <c r="K1565" s="470">
        <f>$L$9</f>
        <v>17680</v>
      </c>
      <c r="L1565" s="470">
        <f>TRUNC(K1565*E1565,0)</f>
        <v>41</v>
      </c>
      <c r="M1565" s="470">
        <f t="shared" si="369"/>
        <v>175493</v>
      </c>
      <c r="N1565" s="470">
        <f t="shared" si="369"/>
        <v>406</v>
      </c>
      <c r="O1565" s="462">
        <f>$P$5</f>
        <v>1</v>
      </c>
      <c r="P1565" s="767"/>
    </row>
    <row r="1566" spans="2:17" ht="15.2" customHeight="1">
      <c r="B1566" s="766" t="s">
        <v>3785</v>
      </c>
      <c r="C1566" s="766"/>
      <c r="D1566" s="84"/>
      <c r="E1566" s="88">
        <v>0.112</v>
      </c>
      <c r="F1566" s="86" t="s">
        <v>1163</v>
      </c>
      <c r="G1566" s="470"/>
      <c r="H1566" s="470">
        <f>TRUNC(E1566*G1566,0)</f>
        <v>0</v>
      </c>
      <c r="I1566" s="470">
        <f>SUMIF('노임(2015)'!$B$4:$B$87,B1566,'노임(2015)'!$C$4:$C$87)+SUMIF('노임(2015)'!$E$4:$E$87,B1566,'노임(2015)'!$F$4:$F$87)</f>
        <v>136044</v>
      </c>
      <c r="J1566" s="470">
        <f>TRUNC(I1566*E1566,0)</f>
        <v>15236</v>
      </c>
      <c r="K1566" s="470"/>
      <c r="L1566" s="470">
        <f>TRUNC(K1566*E1566,0)</f>
        <v>0</v>
      </c>
      <c r="M1566" s="470">
        <f t="shared" si="369"/>
        <v>136044</v>
      </c>
      <c r="N1566" s="470">
        <f t="shared" si="369"/>
        <v>15236</v>
      </c>
      <c r="O1566" s="459"/>
      <c r="P1566" s="767"/>
    </row>
    <row r="1567" spans="2:17" ht="15.2" customHeight="1">
      <c r="B1567" s="773" t="s">
        <v>1162</v>
      </c>
      <c r="C1567" s="773"/>
      <c r="D1567" s="84"/>
      <c r="E1567" s="88">
        <v>0.45200000000000001</v>
      </c>
      <c r="F1567" s="86" t="s">
        <v>1163</v>
      </c>
      <c r="G1567" s="470"/>
      <c r="H1567" s="470">
        <f>TRUNC(E1567*G1567,0)</f>
        <v>0</v>
      </c>
      <c r="I1567" s="470">
        <f>SUMIF('노임(2015)'!$B$4:$B$87,B1567,'노임(2015)'!$C$4:$C$87)+SUMIF('노임(2015)'!$E$4:$E$87,B1567,'노임(2015)'!$F$4:$F$87)</f>
        <v>89566</v>
      </c>
      <c r="J1567" s="470">
        <f>TRUNC(I1567*E1567,0)</f>
        <v>40483</v>
      </c>
      <c r="K1567" s="470"/>
      <c r="L1567" s="470">
        <f>TRUNC(K1567*E1567,0)</f>
        <v>0</v>
      </c>
      <c r="M1567" s="470">
        <f t="shared" si="369"/>
        <v>89566</v>
      </c>
      <c r="N1567" s="470">
        <f t="shared" si="369"/>
        <v>40483</v>
      </c>
      <c r="O1567" s="459"/>
      <c r="P1567" s="767"/>
    </row>
    <row r="1568" spans="2:17" ht="15.2" customHeight="1">
      <c r="B1568" s="756" t="s">
        <v>855</v>
      </c>
      <c r="C1568" s="772"/>
      <c r="D1568" s="84"/>
      <c r="E1568" s="87"/>
      <c r="F1568" s="86"/>
      <c r="G1568" s="470"/>
      <c r="H1568" s="470">
        <f>SUM(H1564:H1567)</f>
        <v>228</v>
      </c>
      <c r="I1568" s="470"/>
      <c r="J1568" s="470">
        <f>SUM(J1564:J1567)</f>
        <v>55856</v>
      </c>
      <c r="K1568" s="470"/>
      <c r="L1568" s="470">
        <f>SUM(L1564:L1567)</f>
        <v>960</v>
      </c>
      <c r="M1568" s="470"/>
      <c r="N1568" s="470">
        <f>SUM(N1564:N1567)</f>
        <v>57044</v>
      </c>
      <c r="O1568" s="459"/>
      <c r="P1568" s="767"/>
      <c r="Q1568" s="80" t="s">
        <v>3244</v>
      </c>
    </row>
    <row r="1569" spans="2:17" ht="15.2" customHeight="1">
      <c r="B1569" s="96">
        <f>P1569</f>
        <v>294</v>
      </c>
      <c r="C1569" s="770" t="s">
        <v>3742</v>
      </c>
      <c r="D1569" s="770"/>
      <c r="E1569" s="770"/>
      <c r="F1569" s="771"/>
      <c r="G1569" s="470"/>
      <c r="H1569" s="470"/>
      <c r="I1569" s="470"/>
      <c r="J1569" s="470"/>
      <c r="K1569" s="470"/>
      <c r="L1569" s="470"/>
      <c r="M1569" s="470"/>
      <c r="N1569" s="470"/>
      <c r="O1569" s="459"/>
      <c r="P1569" s="767">
        <f>MAX($P$5:P1568)+1</f>
        <v>294</v>
      </c>
      <c r="Q1569" s="80" t="s">
        <v>3243</v>
      </c>
    </row>
    <row r="1570" spans="2:17" ht="15.2" customHeight="1">
      <c r="B1570" s="773" t="s">
        <v>1402</v>
      </c>
      <c r="C1570" s="773"/>
      <c r="D1570" s="84"/>
      <c r="E1570" s="87">
        <v>1.03</v>
      </c>
      <c r="F1570" s="86" t="s">
        <v>1190</v>
      </c>
      <c r="G1570" s="470"/>
      <c r="H1570" s="470">
        <f>TRUNC(E1570*G1570,0)</f>
        <v>0</v>
      </c>
      <c r="I1570" s="470"/>
      <c r="J1570" s="470">
        <f>TRUNC(I1570*E1570,0)</f>
        <v>0</v>
      </c>
      <c r="K1570" s="470">
        <f>자재운반비!$T$35</f>
        <v>893</v>
      </c>
      <c r="L1570" s="470">
        <f>TRUNC(K1570*E1570,0)</f>
        <v>919</v>
      </c>
      <c r="M1570" s="470">
        <f t="shared" ref="M1570:N1573" si="370">G1570+I1570+K1570</f>
        <v>893</v>
      </c>
      <c r="N1570" s="470">
        <f t="shared" si="370"/>
        <v>919</v>
      </c>
      <c r="O1570" s="459"/>
      <c r="P1570" s="767"/>
    </row>
    <row r="1571" spans="2:17" ht="15.2" customHeight="1">
      <c r="B1571" s="773" t="s">
        <v>1984</v>
      </c>
      <c r="C1571" s="773"/>
      <c r="D1571" s="84" t="s">
        <v>3681</v>
      </c>
      <c r="E1571" s="95">
        <v>2.32E-3</v>
      </c>
      <c r="F1571" s="86" t="s">
        <v>1168</v>
      </c>
      <c r="G1571" s="470">
        <f>$H$9</f>
        <v>98700</v>
      </c>
      <c r="H1571" s="470">
        <f>TRUNC(E1571*G1571,0)</f>
        <v>228</v>
      </c>
      <c r="I1571" s="470">
        <f>$J$9</f>
        <v>59113</v>
      </c>
      <c r="J1571" s="470">
        <f>TRUNC(I1571*E1571,0)</f>
        <v>137</v>
      </c>
      <c r="K1571" s="470">
        <f>$L$9</f>
        <v>17680</v>
      </c>
      <c r="L1571" s="470">
        <f>TRUNC(K1571*E1571,0)</f>
        <v>41</v>
      </c>
      <c r="M1571" s="470">
        <f t="shared" si="370"/>
        <v>175493</v>
      </c>
      <c r="N1571" s="470">
        <f t="shared" si="370"/>
        <v>406</v>
      </c>
      <c r="O1571" s="462">
        <f>$P$5</f>
        <v>1</v>
      </c>
      <c r="P1571" s="767"/>
    </row>
    <row r="1572" spans="2:17" ht="15.2" customHeight="1">
      <c r="B1572" s="766" t="s">
        <v>3785</v>
      </c>
      <c r="C1572" s="766"/>
      <c r="D1572" s="84"/>
      <c r="E1572" s="88">
        <v>7.1999999999999995E-2</v>
      </c>
      <c r="F1572" s="86" t="s">
        <v>1163</v>
      </c>
      <c r="G1572" s="470"/>
      <c r="H1572" s="470">
        <f>TRUNC(E1572*G1572,0)</f>
        <v>0</v>
      </c>
      <c r="I1572" s="470">
        <f>SUMIF('노임(2015)'!$B$4:$B$87,B1572,'노임(2015)'!$C$4:$C$87)+SUMIF('노임(2015)'!$E$4:$E$87,B1572,'노임(2015)'!$F$4:$F$87)</f>
        <v>136044</v>
      </c>
      <c r="J1572" s="470">
        <f>TRUNC(I1572*E1572,0)</f>
        <v>9795</v>
      </c>
      <c r="K1572" s="470"/>
      <c r="L1572" s="470">
        <f>TRUNC(K1572*E1572,0)</f>
        <v>0</v>
      </c>
      <c r="M1572" s="470">
        <f t="shared" si="370"/>
        <v>136044</v>
      </c>
      <c r="N1572" s="470">
        <f t="shared" si="370"/>
        <v>9795</v>
      </c>
      <c r="O1572" s="459"/>
      <c r="P1572" s="767"/>
    </row>
    <row r="1573" spans="2:17" ht="15.2" customHeight="1">
      <c r="B1573" s="773" t="s">
        <v>1162</v>
      </c>
      <c r="C1573" s="773"/>
      <c r="D1573" s="84"/>
      <c r="E1573" s="87">
        <v>0.38</v>
      </c>
      <c r="F1573" s="86" t="s">
        <v>1163</v>
      </c>
      <c r="G1573" s="470"/>
      <c r="H1573" s="470">
        <f>TRUNC(E1573*G1573,0)</f>
        <v>0</v>
      </c>
      <c r="I1573" s="470">
        <f>SUMIF('노임(2015)'!$B$4:$B$87,B1573,'노임(2015)'!$C$4:$C$87)+SUMIF('노임(2015)'!$E$4:$E$87,B1573,'노임(2015)'!$F$4:$F$87)</f>
        <v>89566</v>
      </c>
      <c r="J1573" s="470">
        <f>TRUNC(I1573*E1573,0)</f>
        <v>34035</v>
      </c>
      <c r="K1573" s="470"/>
      <c r="L1573" s="470">
        <f>TRUNC(K1573*E1573,0)</f>
        <v>0</v>
      </c>
      <c r="M1573" s="470">
        <f t="shared" si="370"/>
        <v>89566</v>
      </c>
      <c r="N1573" s="470">
        <f t="shared" si="370"/>
        <v>34035</v>
      </c>
      <c r="O1573" s="459"/>
      <c r="P1573" s="767"/>
    </row>
    <row r="1574" spans="2:17" ht="15.2" customHeight="1">
      <c r="B1574" s="756" t="s">
        <v>855</v>
      </c>
      <c r="C1574" s="772"/>
      <c r="D1574" s="84"/>
      <c r="E1574" s="87"/>
      <c r="F1574" s="86"/>
      <c r="G1574" s="470"/>
      <c r="H1574" s="470">
        <f>SUM(H1570:H1573)</f>
        <v>228</v>
      </c>
      <c r="I1574" s="470"/>
      <c r="J1574" s="470">
        <f>SUM(J1570:J1573)</f>
        <v>43967</v>
      </c>
      <c r="K1574" s="470"/>
      <c r="L1574" s="470">
        <f>SUM(L1570:L1573)</f>
        <v>960</v>
      </c>
      <c r="M1574" s="470"/>
      <c r="N1574" s="470">
        <f>SUM(N1570:N1573)</f>
        <v>45155</v>
      </c>
      <c r="O1574" s="459"/>
      <c r="P1574" s="767"/>
      <c r="Q1574" s="80" t="s">
        <v>3244</v>
      </c>
    </row>
    <row r="1575" spans="2:17" ht="15.2" customHeight="1">
      <c r="B1575" s="96">
        <f>P1575</f>
        <v>295</v>
      </c>
      <c r="C1575" s="770" t="s">
        <v>3994</v>
      </c>
      <c r="D1575" s="770"/>
      <c r="E1575" s="770"/>
      <c r="F1575" s="771"/>
      <c r="G1575" s="470"/>
      <c r="H1575" s="470"/>
      <c r="I1575" s="470"/>
      <c r="J1575" s="470"/>
      <c r="K1575" s="470"/>
      <c r="L1575" s="470"/>
      <c r="M1575" s="470"/>
      <c r="N1575" s="470"/>
      <c r="O1575" s="459"/>
      <c r="P1575" s="767">
        <f>MAX($P$5:P1574)+1</f>
        <v>295</v>
      </c>
      <c r="Q1575" s="80" t="s">
        <v>3243</v>
      </c>
    </row>
    <row r="1576" spans="2:17" ht="15.2" customHeight="1">
      <c r="B1576" s="773" t="s">
        <v>1402</v>
      </c>
      <c r="C1576" s="773"/>
      <c r="D1576" s="84"/>
      <c r="E1576" s="87">
        <v>1.03</v>
      </c>
      <c r="F1576" s="86" t="s">
        <v>1190</v>
      </c>
      <c r="G1576" s="470"/>
      <c r="H1576" s="470">
        <f>TRUNC(E1576*G1576,0)</f>
        <v>0</v>
      </c>
      <c r="I1576" s="470"/>
      <c r="J1576" s="470">
        <f>TRUNC(I1576*E1576,0)</f>
        <v>0</v>
      </c>
      <c r="K1576" s="470">
        <f>자재운반비!$T$35</f>
        <v>893</v>
      </c>
      <c r="L1576" s="470">
        <f>TRUNC(K1576*E1576,0)</f>
        <v>919</v>
      </c>
      <c r="M1576" s="470">
        <f t="shared" ref="M1576:N1579" si="371">G1576+I1576+K1576</f>
        <v>893</v>
      </c>
      <c r="N1576" s="470">
        <f t="shared" si="371"/>
        <v>919</v>
      </c>
      <c r="O1576" s="459"/>
      <c r="P1576" s="767"/>
    </row>
    <row r="1577" spans="2:17" ht="15.2" customHeight="1">
      <c r="B1577" s="773" t="s">
        <v>1395</v>
      </c>
      <c r="C1577" s="773"/>
      <c r="D1577" s="84" t="s">
        <v>2434</v>
      </c>
      <c r="E1577" s="88">
        <v>0.108</v>
      </c>
      <c r="F1577" s="86" t="s">
        <v>453</v>
      </c>
      <c r="G1577" s="470">
        <f>중기사용료!$M$948</f>
        <v>5888</v>
      </c>
      <c r="H1577" s="470">
        <f>TRUNC(E1577*G1577,0)</f>
        <v>635</v>
      </c>
      <c r="I1577" s="470">
        <f>중기사용료!$M$942</f>
        <v>27168</v>
      </c>
      <c r="J1577" s="470">
        <f>TRUNC(I1577*E1577,0)</f>
        <v>2934</v>
      </c>
      <c r="K1577" s="470">
        <f>중기사용료!$M$936</f>
        <v>25355</v>
      </c>
      <c r="L1577" s="470">
        <f>TRUNC(K1577*E1577,0)</f>
        <v>2738</v>
      </c>
      <c r="M1577" s="470">
        <f t="shared" si="371"/>
        <v>58411</v>
      </c>
      <c r="N1577" s="470">
        <f t="shared" si="371"/>
        <v>6307</v>
      </c>
      <c r="O1577" s="460">
        <f>중기사용료!$A$933</f>
        <v>50</v>
      </c>
      <c r="P1577" s="767"/>
    </row>
    <row r="1578" spans="2:17" ht="15.2" customHeight="1">
      <c r="B1578" s="766" t="s">
        <v>3785</v>
      </c>
      <c r="C1578" s="766"/>
      <c r="D1578" s="84"/>
      <c r="E1578" s="87">
        <v>0.04</v>
      </c>
      <c r="F1578" s="86" t="s">
        <v>1163</v>
      </c>
      <c r="G1578" s="470"/>
      <c r="H1578" s="470">
        <f>TRUNC(E1578*G1578,0)</f>
        <v>0</v>
      </c>
      <c r="I1578" s="470">
        <f>SUMIF('노임(2015)'!$B$4:$B$87,B1578,'노임(2015)'!$C$4:$C$87)+SUMIF('노임(2015)'!$E$4:$E$87,B1578,'노임(2015)'!$F$4:$F$87)</f>
        <v>136044</v>
      </c>
      <c r="J1578" s="470">
        <f>TRUNC(I1578*E1578,0)</f>
        <v>5441</v>
      </c>
      <c r="K1578" s="470"/>
      <c r="L1578" s="470">
        <f>TRUNC(K1578*E1578,0)</f>
        <v>0</v>
      </c>
      <c r="M1578" s="470">
        <f t="shared" si="371"/>
        <v>136044</v>
      </c>
      <c r="N1578" s="470">
        <f t="shared" si="371"/>
        <v>5441</v>
      </c>
      <c r="O1578" s="459"/>
      <c r="P1578" s="767"/>
    </row>
    <row r="1579" spans="2:17" ht="15.2" customHeight="1">
      <c r="B1579" s="773" t="s">
        <v>1162</v>
      </c>
      <c r="C1579" s="773"/>
      <c r="D1579" s="84"/>
      <c r="E1579" s="88">
        <v>8.4000000000000005E-2</v>
      </c>
      <c r="F1579" s="86" t="s">
        <v>1163</v>
      </c>
      <c r="G1579" s="470"/>
      <c r="H1579" s="470">
        <f>TRUNC(E1579*G1579,0)</f>
        <v>0</v>
      </c>
      <c r="I1579" s="470">
        <f>SUMIF('노임(2015)'!$B$4:$B$87,B1579,'노임(2015)'!$C$4:$C$87)+SUMIF('노임(2015)'!$E$4:$E$87,B1579,'노임(2015)'!$F$4:$F$87)</f>
        <v>89566</v>
      </c>
      <c r="J1579" s="470">
        <f>TRUNC(I1579*E1579,0)</f>
        <v>7523</v>
      </c>
      <c r="K1579" s="470"/>
      <c r="L1579" s="470">
        <f>TRUNC(K1579*E1579,0)</f>
        <v>0</v>
      </c>
      <c r="M1579" s="470">
        <f t="shared" si="371"/>
        <v>89566</v>
      </c>
      <c r="N1579" s="470">
        <f t="shared" si="371"/>
        <v>7523</v>
      </c>
      <c r="O1579" s="459"/>
      <c r="P1579" s="767"/>
    </row>
    <row r="1580" spans="2:17" ht="15.2" customHeight="1">
      <c r="B1580" s="756" t="s">
        <v>855</v>
      </c>
      <c r="C1580" s="772"/>
      <c r="D1580" s="84"/>
      <c r="E1580" s="87"/>
      <c r="F1580" s="86"/>
      <c r="G1580" s="470"/>
      <c r="H1580" s="470">
        <f>SUM(H1576:H1579)</f>
        <v>635</v>
      </c>
      <c r="I1580" s="470"/>
      <c r="J1580" s="470">
        <f>SUM(J1576:J1579)</f>
        <v>15898</v>
      </c>
      <c r="K1580" s="470"/>
      <c r="L1580" s="470">
        <f>SUM(L1576:L1579)</f>
        <v>3657</v>
      </c>
      <c r="M1580" s="470"/>
      <c r="N1580" s="470">
        <f>SUM(N1576:N1579)</f>
        <v>20190</v>
      </c>
      <c r="O1580" s="459"/>
      <c r="P1580" s="767"/>
      <c r="Q1580" s="80" t="s">
        <v>1164</v>
      </c>
    </row>
    <row r="1581" spans="2:17" ht="15.2" customHeight="1">
      <c r="B1581" s="96">
        <f>P1581</f>
        <v>296</v>
      </c>
      <c r="C1581" s="770" t="s">
        <v>3743</v>
      </c>
      <c r="D1581" s="770"/>
      <c r="E1581" s="770"/>
      <c r="F1581" s="771"/>
      <c r="G1581" s="470"/>
      <c r="H1581" s="470"/>
      <c r="I1581" s="470"/>
      <c r="J1581" s="470"/>
      <c r="K1581" s="470"/>
      <c r="L1581" s="470"/>
      <c r="M1581" s="470"/>
      <c r="N1581" s="470"/>
      <c r="O1581" s="459"/>
      <c r="P1581" s="767">
        <f>MAX($P$5:P1580)+1</f>
        <v>296</v>
      </c>
      <c r="Q1581" s="80" t="s">
        <v>3243</v>
      </c>
    </row>
    <row r="1582" spans="2:17" ht="15.2" customHeight="1">
      <c r="B1582" s="766" t="s">
        <v>1402</v>
      </c>
      <c r="C1582" s="766"/>
      <c r="D1582" s="84"/>
      <c r="E1582" s="87">
        <v>1.03</v>
      </c>
      <c r="F1582" s="86" t="s">
        <v>1190</v>
      </c>
      <c r="G1582" s="470"/>
      <c r="H1582" s="470">
        <f>TRUNC(E1582*G1582,0)</f>
        <v>0</v>
      </c>
      <c r="I1582" s="470"/>
      <c r="J1582" s="470">
        <f>TRUNC(I1582*E1582,0)</f>
        <v>0</v>
      </c>
      <c r="K1582" s="470">
        <f>자재운반비!$T$36</f>
        <v>1608</v>
      </c>
      <c r="L1582" s="470">
        <f>TRUNC(K1582*E1582,0)</f>
        <v>1656</v>
      </c>
      <c r="M1582" s="470">
        <f t="shared" ref="M1582:N1585" si="372">G1582+I1582+K1582</f>
        <v>1608</v>
      </c>
      <c r="N1582" s="470">
        <f t="shared" si="372"/>
        <v>1656</v>
      </c>
      <c r="O1582" s="459"/>
      <c r="P1582" s="767"/>
    </row>
    <row r="1583" spans="2:17" ht="15.2" customHeight="1">
      <c r="B1583" s="766" t="s">
        <v>1395</v>
      </c>
      <c r="C1583" s="766"/>
      <c r="D1583" s="84" t="s">
        <v>2434</v>
      </c>
      <c r="E1583" s="88">
        <v>0.152</v>
      </c>
      <c r="F1583" s="86" t="s">
        <v>453</v>
      </c>
      <c r="G1583" s="470">
        <f>중기사용료!$M$948</f>
        <v>5888</v>
      </c>
      <c r="H1583" s="470">
        <f>TRUNC(E1583*G1583,0)</f>
        <v>894</v>
      </c>
      <c r="I1583" s="470">
        <f>중기사용료!$M$942</f>
        <v>27168</v>
      </c>
      <c r="J1583" s="470">
        <f>TRUNC(I1583*E1583,0)</f>
        <v>4129</v>
      </c>
      <c r="K1583" s="470">
        <f>중기사용료!$M$936</f>
        <v>25355</v>
      </c>
      <c r="L1583" s="470">
        <f>TRUNC(K1583*E1583,0)</f>
        <v>3853</v>
      </c>
      <c r="M1583" s="470">
        <f t="shared" si="372"/>
        <v>58411</v>
      </c>
      <c r="N1583" s="470">
        <f t="shared" si="372"/>
        <v>8876</v>
      </c>
      <c r="O1583" s="460">
        <f>중기사용료!$A$933</f>
        <v>50</v>
      </c>
      <c r="P1583" s="767"/>
    </row>
    <row r="1584" spans="2:17" ht="15.2" customHeight="1">
      <c r="B1584" s="766" t="s">
        <v>3785</v>
      </c>
      <c r="C1584" s="766"/>
      <c r="D1584" s="84"/>
      <c r="E1584" s="88">
        <v>5.1999999999999998E-2</v>
      </c>
      <c r="F1584" s="86" t="s">
        <v>1163</v>
      </c>
      <c r="G1584" s="470"/>
      <c r="H1584" s="470">
        <f>TRUNC(E1584*G1584,0)</f>
        <v>0</v>
      </c>
      <c r="I1584" s="470">
        <f>SUMIF('노임(2015)'!$B$4:$B$87,B1584,'노임(2015)'!$C$4:$C$87)+SUMIF('노임(2015)'!$E$4:$E$87,B1584,'노임(2015)'!$F$4:$F$87)</f>
        <v>136044</v>
      </c>
      <c r="J1584" s="470">
        <f>TRUNC(I1584*E1584,0)</f>
        <v>7074</v>
      </c>
      <c r="K1584" s="470"/>
      <c r="L1584" s="470">
        <f>TRUNC(K1584*E1584,0)</f>
        <v>0</v>
      </c>
      <c r="M1584" s="470">
        <f t="shared" si="372"/>
        <v>136044</v>
      </c>
      <c r="N1584" s="470">
        <f t="shared" si="372"/>
        <v>7074</v>
      </c>
      <c r="O1584" s="457"/>
      <c r="P1584" s="767"/>
    </row>
    <row r="1585" spans="2:17" ht="15.2" customHeight="1">
      <c r="B1585" s="766" t="s">
        <v>1162</v>
      </c>
      <c r="C1585" s="766"/>
      <c r="D1585" s="84"/>
      <c r="E1585" s="88">
        <v>0.13200000000000001</v>
      </c>
      <c r="F1585" s="86" t="s">
        <v>1163</v>
      </c>
      <c r="G1585" s="470"/>
      <c r="H1585" s="470">
        <f>TRUNC(E1585*G1585,0)</f>
        <v>0</v>
      </c>
      <c r="I1585" s="470">
        <f>SUMIF('노임(2015)'!$B$4:$B$87,B1585,'노임(2015)'!$C$4:$C$87)+SUMIF('노임(2015)'!$E$4:$E$87,B1585,'노임(2015)'!$F$4:$F$87)</f>
        <v>89566</v>
      </c>
      <c r="J1585" s="470">
        <f>TRUNC(I1585*E1585,0)</f>
        <v>11822</v>
      </c>
      <c r="K1585" s="470"/>
      <c r="L1585" s="470">
        <f>TRUNC(K1585*E1585,0)</f>
        <v>0</v>
      </c>
      <c r="M1585" s="470">
        <f t="shared" si="372"/>
        <v>89566</v>
      </c>
      <c r="N1585" s="470">
        <f t="shared" si="372"/>
        <v>11822</v>
      </c>
      <c r="O1585" s="457"/>
      <c r="P1585" s="767"/>
    </row>
    <row r="1586" spans="2:17" ht="15.2" customHeight="1">
      <c r="B1586" s="766" t="s">
        <v>855</v>
      </c>
      <c r="C1586" s="766"/>
      <c r="D1586" s="84"/>
      <c r="E1586" s="87"/>
      <c r="F1586" s="86"/>
      <c r="G1586" s="470"/>
      <c r="H1586" s="470">
        <f>SUM(H1582:H1585)</f>
        <v>894</v>
      </c>
      <c r="I1586" s="470"/>
      <c r="J1586" s="470">
        <f>SUM(J1582:J1585)</f>
        <v>23025</v>
      </c>
      <c r="K1586" s="470"/>
      <c r="L1586" s="470">
        <f>SUM(L1582:L1585)</f>
        <v>5509</v>
      </c>
      <c r="M1586" s="470"/>
      <c r="N1586" s="470">
        <f>SUM(N1582:N1585)</f>
        <v>29428</v>
      </c>
      <c r="O1586" s="457"/>
      <c r="P1586" s="767"/>
      <c r="Q1586" s="80" t="s">
        <v>3244</v>
      </c>
    </row>
    <row r="1587" spans="2:17" ht="15.2" customHeight="1">
      <c r="B1587" s="96">
        <f>P1587</f>
        <v>297</v>
      </c>
      <c r="C1587" s="770" t="s">
        <v>3744</v>
      </c>
      <c r="D1587" s="770"/>
      <c r="E1587" s="770"/>
      <c r="F1587" s="771"/>
      <c r="G1587" s="470"/>
      <c r="H1587" s="470"/>
      <c r="I1587" s="470"/>
      <c r="J1587" s="470"/>
      <c r="K1587" s="470"/>
      <c r="L1587" s="470"/>
      <c r="M1587" s="470"/>
      <c r="N1587" s="470"/>
      <c r="O1587" s="457"/>
      <c r="P1587" s="767">
        <f>MAX($P$5:P1586)+1</f>
        <v>297</v>
      </c>
      <c r="Q1587" s="80" t="s">
        <v>3243</v>
      </c>
    </row>
    <row r="1588" spans="2:17" ht="15.2" customHeight="1">
      <c r="B1588" s="766" t="s">
        <v>1402</v>
      </c>
      <c r="C1588" s="766"/>
      <c r="D1588" s="84"/>
      <c r="E1588" s="87">
        <v>1.03</v>
      </c>
      <c r="F1588" s="86" t="s">
        <v>1190</v>
      </c>
      <c r="G1588" s="470"/>
      <c r="H1588" s="470">
        <f>TRUNC(E1588*G1588,0)</f>
        <v>0</v>
      </c>
      <c r="I1588" s="470"/>
      <c r="J1588" s="470">
        <f>TRUNC(I1588*E1588,0)</f>
        <v>0</v>
      </c>
      <c r="K1588" s="470">
        <f>자재운반비!$T$38</f>
        <v>2681</v>
      </c>
      <c r="L1588" s="470">
        <f>TRUNC(K1588*E1588,0)</f>
        <v>2761</v>
      </c>
      <c r="M1588" s="470">
        <f t="shared" ref="M1588:N1591" si="373">G1588+I1588+K1588</f>
        <v>2681</v>
      </c>
      <c r="N1588" s="470">
        <f t="shared" si="373"/>
        <v>2761</v>
      </c>
      <c r="O1588" s="457"/>
      <c r="P1588" s="767"/>
    </row>
    <row r="1589" spans="2:17" ht="15.2" customHeight="1">
      <c r="B1589" s="766" t="s">
        <v>1395</v>
      </c>
      <c r="C1589" s="766"/>
      <c r="D1589" s="84" t="s">
        <v>2434</v>
      </c>
      <c r="E1589" s="88">
        <v>0.192</v>
      </c>
      <c r="F1589" s="86" t="s">
        <v>453</v>
      </c>
      <c r="G1589" s="470">
        <f>중기사용료!$M$948</f>
        <v>5888</v>
      </c>
      <c r="H1589" s="470">
        <f>TRUNC(E1589*G1589,0)</f>
        <v>1130</v>
      </c>
      <c r="I1589" s="470">
        <f>중기사용료!$M$942</f>
        <v>27168</v>
      </c>
      <c r="J1589" s="470">
        <f>TRUNC(I1589*E1589,0)</f>
        <v>5216</v>
      </c>
      <c r="K1589" s="470">
        <f>중기사용료!$M$936</f>
        <v>25355</v>
      </c>
      <c r="L1589" s="470">
        <f>TRUNC(K1589*E1589,0)</f>
        <v>4868</v>
      </c>
      <c r="M1589" s="470">
        <f t="shared" si="373"/>
        <v>58411</v>
      </c>
      <c r="N1589" s="470">
        <f t="shared" si="373"/>
        <v>11214</v>
      </c>
      <c r="O1589" s="460">
        <f>중기사용료!$A$933</f>
        <v>50</v>
      </c>
      <c r="P1589" s="767"/>
    </row>
    <row r="1590" spans="2:17" ht="15.2" customHeight="1">
      <c r="B1590" s="766" t="s">
        <v>3785</v>
      </c>
      <c r="C1590" s="766"/>
      <c r="D1590" s="84"/>
      <c r="E1590" s="88">
        <v>6.8000000000000005E-2</v>
      </c>
      <c r="F1590" s="86" t="s">
        <v>1163</v>
      </c>
      <c r="G1590" s="470"/>
      <c r="H1590" s="470">
        <f>TRUNC(E1590*G1590,0)</f>
        <v>0</v>
      </c>
      <c r="I1590" s="470">
        <f>SUMIF('노임(2015)'!$B$4:$B$87,B1590,'노임(2015)'!$C$4:$C$87)+SUMIF('노임(2015)'!$E$4:$E$87,B1590,'노임(2015)'!$F$4:$F$87)</f>
        <v>136044</v>
      </c>
      <c r="J1590" s="470">
        <f>TRUNC(I1590*E1590,0)</f>
        <v>9250</v>
      </c>
      <c r="K1590" s="470"/>
      <c r="L1590" s="470">
        <f>TRUNC(K1590*E1590,0)</f>
        <v>0</v>
      </c>
      <c r="M1590" s="470">
        <f t="shared" si="373"/>
        <v>136044</v>
      </c>
      <c r="N1590" s="470">
        <f t="shared" si="373"/>
        <v>9250</v>
      </c>
      <c r="O1590" s="457"/>
      <c r="P1590" s="767"/>
    </row>
    <row r="1591" spans="2:17" ht="15.2" customHeight="1">
      <c r="B1591" s="766" t="s">
        <v>1162</v>
      </c>
      <c r="C1591" s="766"/>
      <c r="D1591" s="84"/>
      <c r="E1591" s="88">
        <v>0.20799999999999999</v>
      </c>
      <c r="F1591" s="86" t="s">
        <v>1163</v>
      </c>
      <c r="G1591" s="470"/>
      <c r="H1591" s="470">
        <f>TRUNC(E1591*G1591,0)</f>
        <v>0</v>
      </c>
      <c r="I1591" s="470">
        <f>SUMIF('노임(2015)'!$B$4:$B$87,B1591,'노임(2015)'!$C$4:$C$87)+SUMIF('노임(2015)'!$E$4:$E$87,B1591,'노임(2015)'!$F$4:$F$87)</f>
        <v>89566</v>
      </c>
      <c r="J1591" s="470">
        <f>TRUNC(I1591*E1591,0)</f>
        <v>18629</v>
      </c>
      <c r="K1591" s="470"/>
      <c r="L1591" s="470">
        <f>TRUNC(K1591*E1591,0)</f>
        <v>0</v>
      </c>
      <c r="M1591" s="470">
        <f t="shared" si="373"/>
        <v>89566</v>
      </c>
      <c r="N1591" s="470">
        <f t="shared" si="373"/>
        <v>18629</v>
      </c>
      <c r="O1591" s="457"/>
      <c r="P1591" s="767"/>
    </row>
    <row r="1592" spans="2:17" ht="15.2" customHeight="1">
      <c r="B1592" s="766" t="s">
        <v>855</v>
      </c>
      <c r="C1592" s="766"/>
      <c r="D1592" s="84"/>
      <c r="E1592" s="87"/>
      <c r="F1592" s="86"/>
      <c r="G1592" s="470"/>
      <c r="H1592" s="470">
        <f>SUM(H1588:H1591)</f>
        <v>1130</v>
      </c>
      <c r="I1592" s="470"/>
      <c r="J1592" s="470">
        <f>SUM(J1588:J1591)</f>
        <v>33095</v>
      </c>
      <c r="K1592" s="470"/>
      <c r="L1592" s="470">
        <f>SUM(L1588:L1591)</f>
        <v>7629</v>
      </c>
      <c r="M1592" s="470"/>
      <c r="N1592" s="470">
        <f>SUM(N1588:N1591)</f>
        <v>41854</v>
      </c>
      <c r="O1592" s="457"/>
      <c r="P1592" s="767"/>
      <c r="Q1592" s="80" t="s">
        <v>3244</v>
      </c>
    </row>
    <row r="1593" spans="2:17" ht="15.2" customHeight="1">
      <c r="B1593" s="96">
        <f>P1593</f>
        <v>298</v>
      </c>
      <c r="C1593" s="770" t="s">
        <v>3745</v>
      </c>
      <c r="D1593" s="770"/>
      <c r="E1593" s="770"/>
      <c r="F1593" s="771"/>
      <c r="G1593" s="470"/>
      <c r="H1593" s="470"/>
      <c r="I1593" s="470"/>
      <c r="J1593" s="470"/>
      <c r="K1593" s="470"/>
      <c r="L1593" s="470"/>
      <c r="M1593" s="470"/>
      <c r="N1593" s="470"/>
      <c r="O1593" s="457"/>
      <c r="P1593" s="767">
        <f>MAX($P$5:P1592)+1</f>
        <v>298</v>
      </c>
      <c r="Q1593" s="80" t="s">
        <v>3243</v>
      </c>
    </row>
    <row r="1594" spans="2:17" ht="15.2" customHeight="1">
      <c r="B1594" s="766" t="s">
        <v>1402</v>
      </c>
      <c r="C1594" s="766"/>
      <c r="D1594" s="84"/>
      <c r="E1594" s="87">
        <v>1.03</v>
      </c>
      <c r="F1594" s="86" t="s">
        <v>1190</v>
      </c>
      <c r="G1594" s="470"/>
      <c r="H1594" s="470">
        <f>TRUNC(E1594*G1594,0)</f>
        <v>0</v>
      </c>
      <c r="I1594" s="470"/>
      <c r="J1594" s="470">
        <f>TRUNC(I1594*E1594,0)</f>
        <v>0</v>
      </c>
      <c r="K1594" s="470">
        <f>자재운반비!$T$39</f>
        <v>3575</v>
      </c>
      <c r="L1594" s="470">
        <f>TRUNC(K1594*E1594,0)</f>
        <v>3682</v>
      </c>
      <c r="M1594" s="470">
        <f t="shared" ref="M1594:N1597" si="374">G1594+I1594+K1594</f>
        <v>3575</v>
      </c>
      <c r="N1594" s="470">
        <f t="shared" si="374"/>
        <v>3682</v>
      </c>
      <c r="O1594" s="457"/>
      <c r="P1594" s="767"/>
    </row>
    <row r="1595" spans="2:17" ht="15.2" customHeight="1">
      <c r="B1595" s="766" t="s">
        <v>1395</v>
      </c>
      <c r="C1595" s="766"/>
      <c r="D1595" s="84" t="s">
        <v>2434</v>
      </c>
      <c r="E1595" s="87">
        <v>0.22</v>
      </c>
      <c r="F1595" s="86" t="s">
        <v>453</v>
      </c>
      <c r="G1595" s="470">
        <f>중기사용료!$M$948</f>
        <v>5888</v>
      </c>
      <c r="H1595" s="470">
        <f>TRUNC(E1595*G1595,0)</f>
        <v>1295</v>
      </c>
      <c r="I1595" s="470">
        <f>중기사용료!$M$942</f>
        <v>27168</v>
      </c>
      <c r="J1595" s="470">
        <f>TRUNC(I1595*E1595,0)</f>
        <v>5976</v>
      </c>
      <c r="K1595" s="470">
        <f>중기사용료!$M$936</f>
        <v>25355</v>
      </c>
      <c r="L1595" s="470">
        <f>TRUNC(K1595*E1595,0)</f>
        <v>5578</v>
      </c>
      <c r="M1595" s="470">
        <f t="shared" si="374"/>
        <v>58411</v>
      </c>
      <c r="N1595" s="470">
        <f t="shared" si="374"/>
        <v>12849</v>
      </c>
      <c r="O1595" s="460">
        <f>중기사용료!$A$933</f>
        <v>50</v>
      </c>
      <c r="P1595" s="767"/>
    </row>
    <row r="1596" spans="2:17" ht="15.2" customHeight="1">
      <c r="B1596" s="766" t="s">
        <v>3785</v>
      </c>
      <c r="C1596" s="766"/>
      <c r="D1596" s="84"/>
      <c r="E1596" s="88">
        <v>8.4000000000000005E-2</v>
      </c>
      <c r="F1596" s="86" t="s">
        <v>1163</v>
      </c>
      <c r="G1596" s="470"/>
      <c r="H1596" s="470">
        <f>TRUNC(E1596*G1596,0)</f>
        <v>0</v>
      </c>
      <c r="I1596" s="470">
        <f>SUMIF('노임(2015)'!$B$4:$B$87,B1596,'노임(2015)'!$C$4:$C$87)+SUMIF('노임(2015)'!$E$4:$E$87,B1596,'노임(2015)'!$F$4:$F$87)</f>
        <v>136044</v>
      </c>
      <c r="J1596" s="470">
        <f>TRUNC(I1596*E1596,0)</f>
        <v>11427</v>
      </c>
      <c r="K1596" s="470"/>
      <c r="L1596" s="470">
        <f>TRUNC(K1596*E1596,0)</f>
        <v>0</v>
      </c>
      <c r="M1596" s="470">
        <f t="shared" si="374"/>
        <v>136044</v>
      </c>
      <c r="N1596" s="470">
        <f t="shared" si="374"/>
        <v>11427</v>
      </c>
      <c r="O1596" s="457"/>
      <c r="P1596" s="767"/>
    </row>
    <row r="1597" spans="2:17" ht="15.2" customHeight="1">
      <c r="B1597" s="766" t="s">
        <v>1162</v>
      </c>
      <c r="C1597" s="766"/>
      <c r="D1597" s="84"/>
      <c r="E1597" s="88">
        <v>0.28399999999999997</v>
      </c>
      <c r="F1597" s="86" t="s">
        <v>1163</v>
      </c>
      <c r="G1597" s="470"/>
      <c r="H1597" s="470">
        <f>TRUNC(E1597*G1597,0)</f>
        <v>0</v>
      </c>
      <c r="I1597" s="470">
        <f>SUMIF('노임(2015)'!$B$4:$B$87,B1597,'노임(2015)'!$C$4:$C$87)+SUMIF('노임(2015)'!$E$4:$E$87,B1597,'노임(2015)'!$F$4:$F$87)</f>
        <v>89566</v>
      </c>
      <c r="J1597" s="470">
        <f>TRUNC(I1597*E1597,0)</f>
        <v>25436</v>
      </c>
      <c r="K1597" s="470"/>
      <c r="L1597" s="470">
        <f>TRUNC(K1597*E1597,0)</f>
        <v>0</v>
      </c>
      <c r="M1597" s="470">
        <f t="shared" si="374"/>
        <v>89566</v>
      </c>
      <c r="N1597" s="470">
        <f t="shared" si="374"/>
        <v>25436</v>
      </c>
      <c r="O1597" s="457"/>
      <c r="P1597" s="767"/>
    </row>
    <row r="1598" spans="2:17" ht="15.2" customHeight="1">
      <c r="B1598" s="766" t="s">
        <v>855</v>
      </c>
      <c r="C1598" s="766"/>
      <c r="D1598" s="84"/>
      <c r="E1598" s="87"/>
      <c r="F1598" s="86"/>
      <c r="G1598" s="470"/>
      <c r="H1598" s="470">
        <f>SUM(H1594:H1597)</f>
        <v>1295</v>
      </c>
      <c r="I1598" s="470"/>
      <c r="J1598" s="470">
        <f>SUM(J1594:J1597)</f>
        <v>42839</v>
      </c>
      <c r="K1598" s="470"/>
      <c r="L1598" s="470">
        <f>SUM(L1594:L1597)</f>
        <v>9260</v>
      </c>
      <c r="M1598" s="470"/>
      <c r="N1598" s="470">
        <f>SUM(N1594:N1597)</f>
        <v>53394</v>
      </c>
      <c r="O1598" s="457"/>
      <c r="P1598" s="767"/>
      <c r="Q1598" s="80" t="s">
        <v>3244</v>
      </c>
    </row>
    <row r="1599" spans="2:17" ht="15.2" customHeight="1">
      <c r="B1599" s="96">
        <f>P1599</f>
        <v>299</v>
      </c>
      <c r="C1599" s="770" t="s">
        <v>3746</v>
      </c>
      <c r="D1599" s="770"/>
      <c r="E1599" s="770"/>
      <c r="F1599" s="771"/>
      <c r="G1599" s="470"/>
      <c r="H1599" s="470"/>
      <c r="I1599" s="470"/>
      <c r="J1599" s="470"/>
      <c r="K1599" s="470"/>
      <c r="L1599" s="470"/>
      <c r="M1599" s="470"/>
      <c r="N1599" s="470"/>
      <c r="O1599" s="457"/>
      <c r="P1599" s="767">
        <f>MAX($P$5:P1598)+1</f>
        <v>299</v>
      </c>
      <c r="Q1599" s="80" t="s">
        <v>3243</v>
      </c>
    </row>
    <row r="1600" spans="2:17" ht="15.2" customHeight="1">
      <c r="B1600" s="766" t="s">
        <v>1402</v>
      </c>
      <c r="C1600" s="766"/>
      <c r="D1600" s="84"/>
      <c r="E1600" s="87">
        <v>1.03</v>
      </c>
      <c r="F1600" s="86" t="s">
        <v>1190</v>
      </c>
      <c r="G1600" s="470"/>
      <c r="H1600" s="470">
        <f>TRUNC(E1600*G1600,0)</f>
        <v>0</v>
      </c>
      <c r="I1600" s="470"/>
      <c r="J1600" s="470">
        <f>TRUNC(I1600*E1600,0)</f>
        <v>0</v>
      </c>
      <c r="K1600" s="470">
        <f>자재운반비!$T$40</f>
        <v>5363</v>
      </c>
      <c r="L1600" s="470">
        <f>TRUNC(K1600*E1600,0)</f>
        <v>5523</v>
      </c>
      <c r="M1600" s="470">
        <f t="shared" ref="M1600:N1603" si="375">G1600+I1600+K1600</f>
        <v>5363</v>
      </c>
      <c r="N1600" s="470">
        <f t="shared" si="375"/>
        <v>5523</v>
      </c>
      <c r="O1600" s="457"/>
      <c r="P1600" s="767"/>
    </row>
    <row r="1601" spans="2:17" ht="15.2" customHeight="1">
      <c r="B1601" s="766" t="s">
        <v>1395</v>
      </c>
      <c r="C1601" s="766"/>
      <c r="D1601" s="84" t="s">
        <v>2434</v>
      </c>
      <c r="E1601" s="88">
        <v>0.248</v>
      </c>
      <c r="F1601" s="86" t="s">
        <v>453</v>
      </c>
      <c r="G1601" s="470">
        <f>중기사용료!$M$948</f>
        <v>5888</v>
      </c>
      <c r="H1601" s="470">
        <f>TRUNC(E1601*G1601,0)</f>
        <v>1460</v>
      </c>
      <c r="I1601" s="470">
        <f>중기사용료!$M$942</f>
        <v>27168</v>
      </c>
      <c r="J1601" s="470">
        <f>TRUNC(I1601*E1601,0)</f>
        <v>6737</v>
      </c>
      <c r="K1601" s="470">
        <f>중기사용료!$M$936</f>
        <v>25355</v>
      </c>
      <c r="L1601" s="470">
        <f>TRUNC(K1601*E1601,0)</f>
        <v>6288</v>
      </c>
      <c r="M1601" s="470">
        <f t="shared" si="375"/>
        <v>58411</v>
      </c>
      <c r="N1601" s="470">
        <f t="shared" si="375"/>
        <v>14485</v>
      </c>
      <c r="O1601" s="460">
        <f>중기사용료!$A$933</f>
        <v>50</v>
      </c>
      <c r="P1601" s="767"/>
    </row>
    <row r="1602" spans="2:17" ht="15.2" customHeight="1">
      <c r="B1602" s="766" t="s">
        <v>3785</v>
      </c>
      <c r="C1602" s="766"/>
      <c r="D1602" s="84"/>
      <c r="E1602" s="88">
        <v>0.104</v>
      </c>
      <c r="F1602" s="86" t="s">
        <v>1163</v>
      </c>
      <c r="G1602" s="470"/>
      <c r="H1602" s="470">
        <f>TRUNC(E1602*G1602,0)</f>
        <v>0</v>
      </c>
      <c r="I1602" s="470">
        <f>SUMIF('노임(2015)'!$B$4:$B$87,B1602,'노임(2015)'!$C$4:$C$87)+SUMIF('노임(2015)'!$E$4:$E$87,B1602,'노임(2015)'!$F$4:$F$87)</f>
        <v>136044</v>
      </c>
      <c r="J1602" s="470">
        <f>TRUNC(I1602*E1602,0)</f>
        <v>14148</v>
      </c>
      <c r="K1602" s="470"/>
      <c r="L1602" s="470">
        <f>TRUNC(K1602*E1602,0)</f>
        <v>0</v>
      </c>
      <c r="M1602" s="470">
        <f t="shared" si="375"/>
        <v>136044</v>
      </c>
      <c r="N1602" s="470">
        <f t="shared" si="375"/>
        <v>14148</v>
      </c>
      <c r="O1602" s="457"/>
      <c r="P1602" s="767"/>
    </row>
    <row r="1603" spans="2:17" ht="15.2" customHeight="1">
      <c r="B1603" s="766" t="s">
        <v>1162</v>
      </c>
      <c r="C1603" s="766"/>
      <c r="D1603" s="84"/>
      <c r="E1603" s="88">
        <v>0.38400000000000001</v>
      </c>
      <c r="F1603" s="86" t="s">
        <v>1163</v>
      </c>
      <c r="G1603" s="470"/>
      <c r="H1603" s="470">
        <f>TRUNC(E1603*G1603,0)</f>
        <v>0</v>
      </c>
      <c r="I1603" s="470">
        <f>SUMIF('노임(2015)'!$B$4:$B$87,B1603,'노임(2015)'!$C$4:$C$87)+SUMIF('노임(2015)'!$E$4:$E$87,B1603,'노임(2015)'!$F$4:$F$87)</f>
        <v>89566</v>
      </c>
      <c r="J1603" s="470">
        <f>TRUNC(I1603*E1603,0)</f>
        <v>34393</v>
      </c>
      <c r="K1603" s="470"/>
      <c r="L1603" s="470">
        <f>TRUNC(K1603*E1603,0)</f>
        <v>0</v>
      </c>
      <c r="M1603" s="470">
        <f t="shared" si="375"/>
        <v>89566</v>
      </c>
      <c r="N1603" s="470">
        <f t="shared" si="375"/>
        <v>34393</v>
      </c>
      <c r="O1603" s="457"/>
      <c r="P1603" s="767"/>
    </row>
    <row r="1604" spans="2:17" ht="15.2" customHeight="1">
      <c r="B1604" s="766" t="s">
        <v>855</v>
      </c>
      <c r="C1604" s="766"/>
      <c r="D1604" s="84"/>
      <c r="E1604" s="87"/>
      <c r="F1604" s="86"/>
      <c r="G1604" s="470"/>
      <c r="H1604" s="470">
        <f>SUM(H1600:H1603)</f>
        <v>1460</v>
      </c>
      <c r="I1604" s="470"/>
      <c r="J1604" s="470">
        <f>SUM(J1600:J1603)</f>
        <v>55278</v>
      </c>
      <c r="K1604" s="470"/>
      <c r="L1604" s="470">
        <f>SUM(L1600:L1603)</f>
        <v>11811</v>
      </c>
      <c r="M1604" s="470"/>
      <c r="N1604" s="470">
        <f>SUM(N1600:N1603)</f>
        <v>68549</v>
      </c>
      <c r="O1604" s="457"/>
      <c r="P1604" s="767"/>
      <c r="Q1604" s="80" t="s">
        <v>3244</v>
      </c>
    </row>
    <row r="1605" spans="2:17" ht="15.2" customHeight="1">
      <c r="B1605" s="96">
        <f>P1605</f>
        <v>300</v>
      </c>
      <c r="C1605" s="770" t="s">
        <v>3747</v>
      </c>
      <c r="D1605" s="770"/>
      <c r="E1605" s="770"/>
      <c r="F1605" s="771"/>
      <c r="G1605" s="470"/>
      <c r="H1605" s="470"/>
      <c r="I1605" s="470"/>
      <c r="J1605" s="470"/>
      <c r="K1605" s="470"/>
      <c r="L1605" s="470"/>
      <c r="M1605" s="470"/>
      <c r="N1605" s="470"/>
      <c r="O1605" s="457"/>
      <c r="P1605" s="767">
        <f>MAX($P$5:P1604)+1</f>
        <v>300</v>
      </c>
      <c r="Q1605" s="80" t="s">
        <v>3243</v>
      </c>
    </row>
    <row r="1606" spans="2:17" ht="15.2" customHeight="1">
      <c r="B1606" s="766" t="s">
        <v>1402</v>
      </c>
      <c r="C1606" s="766"/>
      <c r="D1606" s="84"/>
      <c r="E1606" s="87">
        <v>1.03</v>
      </c>
      <c r="F1606" s="86" t="s">
        <v>1190</v>
      </c>
      <c r="G1606" s="470"/>
      <c r="H1606" s="470">
        <f>TRUNC(E1606*G1606,0)</f>
        <v>0</v>
      </c>
      <c r="I1606" s="470"/>
      <c r="J1606" s="470">
        <f>TRUNC(I1606*E1606,0)</f>
        <v>0</v>
      </c>
      <c r="K1606" s="470">
        <f>자재운반비!$T$41</f>
        <v>6436</v>
      </c>
      <c r="L1606" s="470">
        <f>TRUNC(K1606*E1606,0)</f>
        <v>6629</v>
      </c>
      <c r="M1606" s="470">
        <f t="shared" ref="M1606:N1609" si="376">G1606+I1606+K1606</f>
        <v>6436</v>
      </c>
      <c r="N1606" s="470">
        <f t="shared" si="376"/>
        <v>6629</v>
      </c>
      <c r="O1606" s="457"/>
      <c r="P1606" s="767"/>
    </row>
    <row r="1607" spans="2:17" ht="15.2" customHeight="1">
      <c r="B1607" s="766" t="s">
        <v>1395</v>
      </c>
      <c r="C1607" s="766"/>
      <c r="D1607" s="84" t="s">
        <v>1392</v>
      </c>
      <c r="E1607" s="88">
        <v>0.27600000000000002</v>
      </c>
      <c r="F1607" s="86" t="s">
        <v>453</v>
      </c>
      <c r="G1607" s="470">
        <f>중기사용료!$M$967</f>
        <v>7283</v>
      </c>
      <c r="H1607" s="470">
        <f>TRUNC(E1607*G1607,0)</f>
        <v>2010</v>
      </c>
      <c r="I1607" s="470">
        <f>중기사용료!$M$961</f>
        <v>27168</v>
      </c>
      <c r="J1607" s="470">
        <f>TRUNC(I1607*E1607,0)</f>
        <v>7498</v>
      </c>
      <c r="K1607" s="470">
        <f>중기사용료!$M$955</f>
        <v>37429</v>
      </c>
      <c r="L1607" s="470">
        <f>TRUNC(K1607*E1607,0)</f>
        <v>10330</v>
      </c>
      <c r="M1607" s="470">
        <f t="shared" si="376"/>
        <v>71880</v>
      </c>
      <c r="N1607" s="470">
        <f t="shared" si="376"/>
        <v>19838</v>
      </c>
      <c r="O1607" s="460">
        <f>중기사용료!$A$952</f>
        <v>51</v>
      </c>
      <c r="P1607" s="767"/>
    </row>
    <row r="1608" spans="2:17" ht="15.2" customHeight="1">
      <c r="B1608" s="766" t="s">
        <v>3785</v>
      </c>
      <c r="C1608" s="766"/>
      <c r="D1608" s="84"/>
      <c r="E1608" s="88">
        <v>0.124</v>
      </c>
      <c r="F1608" s="86" t="s">
        <v>1163</v>
      </c>
      <c r="G1608" s="470"/>
      <c r="H1608" s="470">
        <f>TRUNC(E1608*G1608,0)</f>
        <v>0</v>
      </c>
      <c r="I1608" s="470">
        <f>SUMIF('노임(2015)'!$B$4:$B$87,B1608,'노임(2015)'!$C$4:$C$87)+SUMIF('노임(2015)'!$E$4:$E$87,B1608,'노임(2015)'!$F$4:$F$87)</f>
        <v>136044</v>
      </c>
      <c r="J1608" s="470">
        <f>TRUNC(I1608*E1608,0)</f>
        <v>16869</v>
      </c>
      <c r="K1608" s="470"/>
      <c r="L1608" s="470">
        <f>TRUNC(K1608*E1608,0)</f>
        <v>0</v>
      </c>
      <c r="M1608" s="470">
        <f t="shared" si="376"/>
        <v>136044</v>
      </c>
      <c r="N1608" s="470">
        <f t="shared" si="376"/>
        <v>16869</v>
      </c>
      <c r="O1608" s="457"/>
      <c r="P1608" s="767"/>
    </row>
    <row r="1609" spans="2:17" ht="15.2" customHeight="1">
      <c r="B1609" s="766" t="s">
        <v>1162</v>
      </c>
      <c r="C1609" s="766"/>
      <c r="D1609" s="84"/>
      <c r="E1609" s="88">
        <v>0.52</v>
      </c>
      <c r="F1609" s="86" t="s">
        <v>1163</v>
      </c>
      <c r="G1609" s="470"/>
      <c r="H1609" s="470">
        <f>TRUNC(E1609*G1609,0)</f>
        <v>0</v>
      </c>
      <c r="I1609" s="470">
        <f>SUMIF('노임(2015)'!$B$4:$B$87,B1609,'노임(2015)'!$C$4:$C$87)+SUMIF('노임(2015)'!$E$4:$E$87,B1609,'노임(2015)'!$F$4:$F$87)</f>
        <v>89566</v>
      </c>
      <c r="J1609" s="470">
        <f>TRUNC(I1609*E1609,0)</f>
        <v>46574</v>
      </c>
      <c r="K1609" s="470"/>
      <c r="L1609" s="470">
        <f>TRUNC(K1609*E1609,0)</f>
        <v>0</v>
      </c>
      <c r="M1609" s="470">
        <f t="shared" si="376"/>
        <v>89566</v>
      </c>
      <c r="N1609" s="470">
        <f t="shared" si="376"/>
        <v>46574</v>
      </c>
      <c r="O1609" s="457"/>
      <c r="P1609" s="767"/>
    </row>
    <row r="1610" spans="2:17" ht="15.2" customHeight="1">
      <c r="B1610" s="766" t="s">
        <v>855</v>
      </c>
      <c r="C1610" s="766"/>
      <c r="D1610" s="84"/>
      <c r="E1610" s="87"/>
      <c r="F1610" s="86"/>
      <c r="G1610" s="470"/>
      <c r="H1610" s="470">
        <f>SUM(H1606:H1609)</f>
        <v>2010</v>
      </c>
      <c r="I1610" s="470"/>
      <c r="J1610" s="470">
        <f>SUM(J1606:J1609)</f>
        <v>70941</v>
      </c>
      <c r="K1610" s="470"/>
      <c r="L1610" s="470">
        <f>SUM(L1606:L1609)</f>
        <v>16959</v>
      </c>
      <c r="M1610" s="470"/>
      <c r="N1610" s="470">
        <f>SUM(N1606:N1609)</f>
        <v>89910</v>
      </c>
      <c r="O1610" s="457"/>
      <c r="P1610" s="767"/>
      <c r="Q1610" s="80" t="s">
        <v>3244</v>
      </c>
    </row>
    <row r="1611" spans="2:17" ht="15.2" customHeight="1">
      <c r="B1611" s="96">
        <f>P1611</f>
        <v>301</v>
      </c>
      <c r="C1611" s="770" t="s">
        <v>3748</v>
      </c>
      <c r="D1611" s="770"/>
      <c r="E1611" s="770"/>
      <c r="F1611" s="771"/>
      <c r="G1611" s="470"/>
      <c r="H1611" s="470"/>
      <c r="I1611" s="470"/>
      <c r="J1611" s="470"/>
      <c r="K1611" s="470"/>
      <c r="L1611" s="470"/>
      <c r="M1611" s="470"/>
      <c r="N1611" s="470"/>
      <c r="O1611" s="457"/>
      <c r="P1611" s="767">
        <f>MAX($P$5:P1610)+1</f>
        <v>301</v>
      </c>
      <c r="Q1611" s="80" t="s">
        <v>3243</v>
      </c>
    </row>
    <row r="1612" spans="2:17" ht="15.2" customHeight="1">
      <c r="B1612" s="766" t="s">
        <v>1402</v>
      </c>
      <c r="C1612" s="766"/>
      <c r="D1612" s="84"/>
      <c r="E1612" s="87">
        <v>1.03</v>
      </c>
      <c r="F1612" s="86" t="s">
        <v>1190</v>
      </c>
      <c r="G1612" s="470"/>
      <c r="H1612" s="470">
        <f>TRUNC(E1612*G1612,0)</f>
        <v>0</v>
      </c>
      <c r="I1612" s="470"/>
      <c r="J1612" s="470">
        <f>TRUNC(I1612*E1612,0)</f>
        <v>0</v>
      </c>
      <c r="K1612" s="470">
        <f>자재운반비!$T$42</f>
        <v>8045</v>
      </c>
      <c r="L1612" s="470">
        <f>TRUNC(K1612*E1612,0)</f>
        <v>8286</v>
      </c>
      <c r="M1612" s="470">
        <f t="shared" ref="M1612:N1615" si="377">G1612+I1612+K1612</f>
        <v>8045</v>
      </c>
      <c r="N1612" s="470">
        <f t="shared" si="377"/>
        <v>8286</v>
      </c>
      <c r="O1612" s="457"/>
      <c r="P1612" s="767"/>
    </row>
    <row r="1613" spans="2:17" ht="15.2" customHeight="1">
      <c r="B1613" s="766" t="s">
        <v>1395</v>
      </c>
      <c r="C1613" s="766"/>
      <c r="D1613" s="84" t="s">
        <v>1392</v>
      </c>
      <c r="E1613" s="88">
        <v>0.30399999999999999</v>
      </c>
      <c r="F1613" s="86" t="s">
        <v>453</v>
      </c>
      <c r="G1613" s="470">
        <f>중기사용료!$M$967</f>
        <v>7283</v>
      </c>
      <c r="H1613" s="470">
        <f>TRUNC(E1613*G1613,0)</f>
        <v>2214</v>
      </c>
      <c r="I1613" s="470">
        <f>중기사용료!$M$961</f>
        <v>27168</v>
      </c>
      <c r="J1613" s="470">
        <f>TRUNC(I1613*E1613,0)</f>
        <v>8259</v>
      </c>
      <c r="K1613" s="470">
        <f>중기사용료!$M$955</f>
        <v>37429</v>
      </c>
      <c r="L1613" s="470">
        <f>TRUNC(K1613*E1613,0)</f>
        <v>11378</v>
      </c>
      <c r="M1613" s="470">
        <f t="shared" si="377"/>
        <v>71880</v>
      </c>
      <c r="N1613" s="470">
        <f t="shared" si="377"/>
        <v>21851</v>
      </c>
      <c r="O1613" s="460">
        <f>중기사용료!$A$952</f>
        <v>51</v>
      </c>
      <c r="P1613" s="767"/>
    </row>
    <row r="1614" spans="2:17" ht="15.2" customHeight="1">
      <c r="B1614" s="766" t="s">
        <v>3785</v>
      </c>
      <c r="C1614" s="766"/>
      <c r="D1614" s="84"/>
      <c r="E1614" s="88">
        <v>0.14000000000000001</v>
      </c>
      <c r="F1614" s="86" t="s">
        <v>1163</v>
      </c>
      <c r="G1614" s="470"/>
      <c r="H1614" s="470">
        <f>TRUNC(E1614*G1614,0)</f>
        <v>0</v>
      </c>
      <c r="I1614" s="470">
        <f>SUMIF('노임(2015)'!$B$4:$B$87,B1614,'노임(2015)'!$C$4:$C$87)+SUMIF('노임(2015)'!$E$4:$E$87,B1614,'노임(2015)'!$F$4:$F$87)</f>
        <v>136044</v>
      </c>
      <c r="J1614" s="470">
        <f>TRUNC(I1614*E1614,0)</f>
        <v>19046</v>
      </c>
      <c r="K1614" s="470"/>
      <c r="L1614" s="470">
        <f>TRUNC(K1614*E1614,0)</f>
        <v>0</v>
      </c>
      <c r="M1614" s="470">
        <f t="shared" si="377"/>
        <v>136044</v>
      </c>
      <c r="N1614" s="470">
        <f t="shared" si="377"/>
        <v>19046</v>
      </c>
      <c r="O1614" s="457"/>
      <c r="P1614" s="767"/>
    </row>
    <row r="1615" spans="2:17" ht="15.2" customHeight="1">
      <c r="B1615" s="766" t="s">
        <v>1162</v>
      </c>
      <c r="C1615" s="766"/>
      <c r="D1615" s="84"/>
      <c r="E1615" s="88">
        <v>0.71199999999999997</v>
      </c>
      <c r="F1615" s="86" t="s">
        <v>1163</v>
      </c>
      <c r="G1615" s="470"/>
      <c r="H1615" s="470">
        <f>TRUNC(E1615*G1615,0)</f>
        <v>0</v>
      </c>
      <c r="I1615" s="470">
        <f>SUMIF('노임(2015)'!$B$4:$B$87,B1615,'노임(2015)'!$C$4:$C$87)+SUMIF('노임(2015)'!$E$4:$E$87,B1615,'노임(2015)'!$F$4:$F$87)</f>
        <v>89566</v>
      </c>
      <c r="J1615" s="470">
        <f>TRUNC(I1615*E1615,0)</f>
        <v>63770</v>
      </c>
      <c r="K1615" s="470"/>
      <c r="L1615" s="470">
        <f>TRUNC(K1615*E1615,0)</f>
        <v>0</v>
      </c>
      <c r="M1615" s="470">
        <f t="shared" si="377"/>
        <v>89566</v>
      </c>
      <c r="N1615" s="470">
        <f t="shared" si="377"/>
        <v>63770</v>
      </c>
      <c r="O1615" s="457"/>
      <c r="P1615" s="767"/>
    </row>
    <row r="1616" spans="2:17" ht="15.2" customHeight="1">
      <c r="B1616" s="766" t="s">
        <v>855</v>
      </c>
      <c r="C1616" s="766"/>
      <c r="D1616" s="84"/>
      <c r="E1616" s="87"/>
      <c r="F1616" s="86"/>
      <c r="G1616" s="470"/>
      <c r="H1616" s="470">
        <f>SUM(H1612:H1615)</f>
        <v>2214</v>
      </c>
      <c r="I1616" s="470"/>
      <c r="J1616" s="470">
        <f>SUM(J1612:J1615)</f>
        <v>91075</v>
      </c>
      <c r="K1616" s="470"/>
      <c r="L1616" s="470">
        <f>SUM(L1612:L1615)</f>
        <v>19664</v>
      </c>
      <c r="M1616" s="470"/>
      <c r="N1616" s="470">
        <f>SUM(N1612:N1615)</f>
        <v>112953</v>
      </c>
      <c r="O1616" s="457"/>
      <c r="P1616" s="767"/>
      <c r="Q1616" s="80" t="s">
        <v>3244</v>
      </c>
    </row>
    <row r="1617" spans="2:17" ht="15.2" customHeight="1">
      <c r="B1617" s="96">
        <f>P1617</f>
        <v>302</v>
      </c>
      <c r="C1617" s="770" t="s">
        <v>3749</v>
      </c>
      <c r="D1617" s="770"/>
      <c r="E1617" s="770"/>
      <c r="F1617" s="771"/>
      <c r="G1617" s="470"/>
      <c r="H1617" s="470"/>
      <c r="I1617" s="470"/>
      <c r="J1617" s="470"/>
      <c r="K1617" s="470"/>
      <c r="L1617" s="470"/>
      <c r="M1617" s="470"/>
      <c r="N1617" s="470"/>
      <c r="O1617" s="457"/>
      <c r="P1617" s="767">
        <f>MAX($P$5:P1616)+1</f>
        <v>302</v>
      </c>
      <c r="Q1617" s="80" t="s">
        <v>3243</v>
      </c>
    </row>
    <row r="1618" spans="2:17" ht="15.2" customHeight="1">
      <c r="B1618" s="766" t="s">
        <v>1402</v>
      </c>
      <c r="C1618" s="766"/>
      <c r="D1618" s="84"/>
      <c r="E1618" s="87">
        <v>1.03</v>
      </c>
      <c r="F1618" s="86" t="s">
        <v>1190</v>
      </c>
      <c r="G1618" s="470"/>
      <c r="H1618" s="470">
        <f>TRUNC(E1618*G1618,0)</f>
        <v>0</v>
      </c>
      <c r="I1618" s="470"/>
      <c r="J1618" s="470">
        <f>TRUNC(I1618*E1618,0)</f>
        <v>0</v>
      </c>
      <c r="K1618" s="470">
        <f>자재운반비!$T$44</f>
        <v>16090</v>
      </c>
      <c r="L1618" s="470">
        <f>TRUNC(K1618*E1618,0)</f>
        <v>16572</v>
      </c>
      <c r="M1618" s="470">
        <f t="shared" ref="M1618:N1621" si="378">G1618+I1618+K1618</f>
        <v>16090</v>
      </c>
      <c r="N1618" s="470">
        <f t="shared" si="378"/>
        <v>16572</v>
      </c>
      <c r="O1618" s="457"/>
      <c r="P1618" s="767"/>
    </row>
    <row r="1619" spans="2:17" ht="15.2" customHeight="1">
      <c r="B1619" s="766" t="s">
        <v>1395</v>
      </c>
      <c r="C1619" s="766"/>
      <c r="D1619" s="84" t="s">
        <v>1392</v>
      </c>
      <c r="E1619" s="88">
        <v>0.36</v>
      </c>
      <c r="F1619" s="86" t="s">
        <v>453</v>
      </c>
      <c r="G1619" s="470">
        <f>중기사용료!$M$967</f>
        <v>7283</v>
      </c>
      <c r="H1619" s="470">
        <f>TRUNC(E1619*G1619,0)</f>
        <v>2621</v>
      </c>
      <c r="I1619" s="470">
        <f>중기사용료!$M$961</f>
        <v>27168</v>
      </c>
      <c r="J1619" s="470">
        <f>TRUNC(I1619*E1619,0)</f>
        <v>9780</v>
      </c>
      <c r="K1619" s="470">
        <f>중기사용료!$M$955</f>
        <v>37429</v>
      </c>
      <c r="L1619" s="470">
        <f>TRUNC(K1619*E1619,0)</f>
        <v>13474</v>
      </c>
      <c r="M1619" s="470">
        <f t="shared" si="378"/>
        <v>71880</v>
      </c>
      <c r="N1619" s="470">
        <f t="shared" si="378"/>
        <v>25875</v>
      </c>
      <c r="O1619" s="460">
        <f>중기사용료!$A$952</f>
        <v>51</v>
      </c>
      <c r="P1619" s="767"/>
    </row>
    <row r="1620" spans="2:17" ht="15.2" customHeight="1">
      <c r="B1620" s="766" t="s">
        <v>3785</v>
      </c>
      <c r="C1620" s="766"/>
      <c r="D1620" s="84"/>
      <c r="E1620" s="88">
        <v>0.184</v>
      </c>
      <c r="F1620" s="86" t="s">
        <v>1163</v>
      </c>
      <c r="G1620" s="470"/>
      <c r="H1620" s="470">
        <f>TRUNC(E1620*G1620,0)</f>
        <v>0</v>
      </c>
      <c r="I1620" s="470">
        <f>SUMIF('노임(2015)'!$B$4:$B$87,B1620,'노임(2015)'!$C$4:$C$87)+SUMIF('노임(2015)'!$E$4:$E$87,B1620,'노임(2015)'!$F$4:$F$87)</f>
        <v>136044</v>
      </c>
      <c r="J1620" s="470">
        <f>TRUNC(I1620*E1620,0)</f>
        <v>25032</v>
      </c>
      <c r="K1620" s="470"/>
      <c r="L1620" s="470">
        <f>TRUNC(K1620*E1620,0)</f>
        <v>0</v>
      </c>
      <c r="M1620" s="470">
        <f t="shared" si="378"/>
        <v>136044</v>
      </c>
      <c r="N1620" s="470">
        <f t="shared" si="378"/>
        <v>25032</v>
      </c>
      <c r="O1620" s="457"/>
      <c r="P1620" s="767"/>
    </row>
    <row r="1621" spans="2:17" ht="15.2" customHeight="1">
      <c r="B1621" s="766" t="s">
        <v>1162</v>
      </c>
      <c r="C1621" s="766"/>
      <c r="D1621" s="84"/>
      <c r="E1621" s="88">
        <v>0.94</v>
      </c>
      <c r="F1621" s="86" t="s">
        <v>1163</v>
      </c>
      <c r="G1621" s="470"/>
      <c r="H1621" s="470">
        <f>TRUNC(E1621*G1621,0)</f>
        <v>0</v>
      </c>
      <c r="I1621" s="470">
        <f>SUMIF('노임(2015)'!$B$4:$B$87,B1621,'노임(2015)'!$C$4:$C$87)+SUMIF('노임(2015)'!$E$4:$E$87,B1621,'노임(2015)'!$F$4:$F$87)</f>
        <v>89566</v>
      </c>
      <c r="J1621" s="470">
        <f>TRUNC(I1621*E1621,0)</f>
        <v>84192</v>
      </c>
      <c r="K1621" s="470"/>
      <c r="L1621" s="470">
        <f>TRUNC(K1621*E1621,0)</f>
        <v>0</v>
      </c>
      <c r="M1621" s="470">
        <f t="shared" si="378"/>
        <v>89566</v>
      </c>
      <c r="N1621" s="470">
        <f t="shared" si="378"/>
        <v>84192</v>
      </c>
      <c r="O1621" s="457"/>
      <c r="P1621" s="767"/>
    </row>
    <row r="1622" spans="2:17" ht="15.2" customHeight="1">
      <c r="B1622" s="766" t="s">
        <v>855</v>
      </c>
      <c r="C1622" s="766"/>
      <c r="D1622" s="84"/>
      <c r="E1622" s="87"/>
      <c r="F1622" s="86"/>
      <c r="G1622" s="470"/>
      <c r="H1622" s="470">
        <f>SUM(H1618:H1621)</f>
        <v>2621</v>
      </c>
      <c r="I1622" s="470"/>
      <c r="J1622" s="470">
        <f>SUM(J1618:J1621)</f>
        <v>119004</v>
      </c>
      <c r="K1622" s="470"/>
      <c r="L1622" s="470">
        <f>SUM(L1618:L1621)</f>
        <v>30046</v>
      </c>
      <c r="M1622" s="470"/>
      <c r="N1622" s="470">
        <f>SUM(N1618:N1621)</f>
        <v>151671</v>
      </c>
      <c r="O1622" s="457"/>
      <c r="P1622" s="767"/>
      <c r="Q1622" s="80" t="s">
        <v>3244</v>
      </c>
    </row>
    <row r="1623" spans="2:17" ht="15.2" customHeight="1">
      <c r="B1623" s="96">
        <f>P1623</f>
        <v>303</v>
      </c>
      <c r="C1623" s="770" t="s">
        <v>3750</v>
      </c>
      <c r="D1623" s="770"/>
      <c r="E1623" s="770"/>
      <c r="F1623" s="771"/>
      <c r="G1623" s="470"/>
      <c r="H1623" s="470"/>
      <c r="I1623" s="470"/>
      <c r="J1623" s="470"/>
      <c r="K1623" s="470"/>
      <c r="L1623" s="470"/>
      <c r="M1623" s="470"/>
      <c r="N1623" s="470"/>
      <c r="O1623" s="457"/>
      <c r="P1623" s="767">
        <f>MAX($P$5:P1622)+1</f>
        <v>303</v>
      </c>
      <c r="Q1623" s="80" t="s">
        <v>3243</v>
      </c>
    </row>
    <row r="1624" spans="2:17" ht="15.2" customHeight="1">
      <c r="B1624" s="766" t="s">
        <v>1402</v>
      </c>
      <c r="C1624" s="766"/>
      <c r="D1624" s="84"/>
      <c r="E1624" s="87">
        <v>1.03</v>
      </c>
      <c r="F1624" s="86" t="s">
        <v>1190</v>
      </c>
      <c r="G1624" s="470"/>
      <c r="H1624" s="470">
        <f>TRUNC(E1624*G1624,0)</f>
        <v>0</v>
      </c>
      <c r="I1624" s="470"/>
      <c r="J1624" s="470">
        <f>TRUNC(I1624*E1624,0)</f>
        <v>0</v>
      </c>
      <c r="K1624" s="470">
        <f>자재운반비!$T$44</f>
        <v>16090</v>
      </c>
      <c r="L1624" s="470">
        <f>TRUNC(K1624*E1624,0)</f>
        <v>16572</v>
      </c>
      <c r="M1624" s="470">
        <f t="shared" ref="M1624:N1627" si="379">G1624+I1624+K1624</f>
        <v>16090</v>
      </c>
      <c r="N1624" s="470">
        <f t="shared" si="379"/>
        <v>16572</v>
      </c>
      <c r="O1624" s="457"/>
      <c r="P1624" s="767"/>
    </row>
    <row r="1625" spans="2:17" ht="15.2" customHeight="1">
      <c r="B1625" s="766" t="s">
        <v>1395</v>
      </c>
      <c r="C1625" s="766"/>
      <c r="D1625" s="84" t="s">
        <v>1392</v>
      </c>
      <c r="E1625" s="88">
        <v>0.44400000000000001</v>
      </c>
      <c r="F1625" s="86" t="s">
        <v>453</v>
      </c>
      <c r="G1625" s="470">
        <f>중기사용료!$M$967</f>
        <v>7283</v>
      </c>
      <c r="H1625" s="470">
        <f>TRUNC(E1625*G1625,0)</f>
        <v>3233</v>
      </c>
      <c r="I1625" s="470">
        <f>중기사용료!$M$961</f>
        <v>27168</v>
      </c>
      <c r="J1625" s="470">
        <f>TRUNC(I1625*E1625,0)</f>
        <v>12062</v>
      </c>
      <c r="K1625" s="470">
        <f>중기사용료!$M$955</f>
        <v>37429</v>
      </c>
      <c r="L1625" s="470">
        <f>TRUNC(K1625*E1625,0)</f>
        <v>16618</v>
      </c>
      <c r="M1625" s="470">
        <f t="shared" si="379"/>
        <v>71880</v>
      </c>
      <c r="N1625" s="470">
        <f t="shared" si="379"/>
        <v>31913</v>
      </c>
      <c r="O1625" s="460">
        <f>중기사용료!$A$952</f>
        <v>51</v>
      </c>
      <c r="P1625" s="767"/>
    </row>
    <row r="1626" spans="2:17" ht="15.2" customHeight="1">
      <c r="B1626" s="766" t="s">
        <v>3785</v>
      </c>
      <c r="C1626" s="766"/>
      <c r="D1626" s="84"/>
      <c r="E1626" s="88">
        <v>0.25600000000000001</v>
      </c>
      <c r="F1626" s="86" t="s">
        <v>1163</v>
      </c>
      <c r="G1626" s="470"/>
      <c r="H1626" s="470">
        <f>TRUNC(E1626*G1626,0)</f>
        <v>0</v>
      </c>
      <c r="I1626" s="470">
        <f>SUMIF('노임(2015)'!$B$4:$B$87,B1626,'노임(2015)'!$C$4:$C$87)+SUMIF('노임(2015)'!$E$4:$E$87,B1626,'노임(2015)'!$F$4:$F$87)</f>
        <v>136044</v>
      </c>
      <c r="J1626" s="470">
        <f>TRUNC(I1626*E1626,0)</f>
        <v>34827</v>
      </c>
      <c r="K1626" s="470"/>
      <c r="L1626" s="470">
        <f>TRUNC(K1626*E1626,0)</f>
        <v>0</v>
      </c>
      <c r="M1626" s="470">
        <f t="shared" si="379"/>
        <v>136044</v>
      </c>
      <c r="N1626" s="470">
        <f t="shared" si="379"/>
        <v>34827</v>
      </c>
      <c r="O1626" s="457"/>
      <c r="P1626" s="767"/>
    </row>
    <row r="1627" spans="2:17" ht="15.2" customHeight="1">
      <c r="B1627" s="766" t="s">
        <v>1162</v>
      </c>
      <c r="C1627" s="766"/>
      <c r="D1627" s="84"/>
      <c r="E1627" s="88">
        <v>1.248</v>
      </c>
      <c r="F1627" s="86" t="s">
        <v>1163</v>
      </c>
      <c r="G1627" s="470"/>
      <c r="H1627" s="470">
        <f>TRUNC(E1627*G1627,0)</f>
        <v>0</v>
      </c>
      <c r="I1627" s="470">
        <f>SUMIF('노임(2015)'!$B$4:$B$87,B1627,'노임(2015)'!$C$4:$C$87)+SUMIF('노임(2015)'!$E$4:$E$87,B1627,'노임(2015)'!$F$4:$F$87)</f>
        <v>89566</v>
      </c>
      <c r="J1627" s="470">
        <f>TRUNC(I1627*E1627,0)</f>
        <v>111778</v>
      </c>
      <c r="K1627" s="470"/>
      <c r="L1627" s="470">
        <f>TRUNC(K1627*E1627,0)</f>
        <v>0</v>
      </c>
      <c r="M1627" s="470">
        <f t="shared" si="379"/>
        <v>89566</v>
      </c>
      <c r="N1627" s="470">
        <f t="shared" si="379"/>
        <v>111778</v>
      </c>
      <c r="O1627" s="457"/>
      <c r="P1627" s="767"/>
    </row>
    <row r="1628" spans="2:17" ht="15.2" customHeight="1">
      <c r="B1628" s="766" t="s">
        <v>855</v>
      </c>
      <c r="C1628" s="766"/>
      <c r="D1628" s="84"/>
      <c r="E1628" s="87"/>
      <c r="F1628" s="86"/>
      <c r="G1628" s="470"/>
      <c r="H1628" s="470">
        <f>SUM(H1624:H1627)</f>
        <v>3233</v>
      </c>
      <c r="I1628" s="470"/>
      <c r="J1628" s="470">
        <f>SUM(J1624:J1627)</f>
        <v>158667</v>
      </c>
      <c r="K1628" s="470"/>
      <c r="L1628" s="470">
        <f>SUM(L1624:L1627)</f>
        <v>33190</v>
      </c>
      <c r="M1628" s="470"/>
      <c r="N1628" s="470">
        <f>SUM(N1624:N1627)</f>
        <v>195090</v>
      </c>
      <c r="O1628" s="457"/>
      <c r="P1628" s="767"/>
      <c r="Q1628" s="80" t="s">
        <v>3244</v>
      </c>
    </row>
    <row r="1629" spans="2:17" ht="15.2" customHeight="1">
      <c r="B1629" s="96">
        <f>P1629</f>
        <v>304</v>
      </c>
      <c r="C1629" s="770" t="s">
        <v>1985</v>
      </c>
      <c r="D1629" s="770"/>
      <c r="E1629" s="770"/>
      <c r="F1629" s="771"/>
      <c r="G1629" s="470"/>
      <c r="H1629" s="470"/>
      <c r="I1629" s="470"/>
      <c r="J1629" s="470"/>
      <c r="K1629" s="470"/>
      <c r="L1629" s="470"/>
      <c r="M1629" s="470"/>
      <c r="N1629" s="470"/>
      <c r="O1629" s="457"/>
      <c r="P1629" s="767">
        <f>MAX($P$5:P1628)+1</f>
        <v>304</v>
      </c>
      <c r="Q1629" s="80" t="s">
        <v>3243</v>
      </c>
    </row>
    <row r="1630" spans="2:17" ht="15.2" customHeight="1">
      <c r="B1630" s="766" t="s">
        <v>1986</v>
      </c>
      <c r="C1630" s="766"/>
      <c r="D1630" s="84" t="s">
        <v>1701</v>
      </c>
      <c r="E1630" s="87">
        <v>1</v>
      </c>
      <c r="F1630" s="86" t="s">
        <v>1190</v>
      </c>
      <c r="G1630" s="470"/>
      <c r="H1630" s="470">
        <f>TRUNC(E1630*G1630,0)</f>
        <v>0</v>
      </c>
      <c r="I1630" s="470"/>
      <c r="J1630" s="470">
        <f>TRUNC(I1630*E1630,0)</f>
        <v>0</v>
      </c>
      <c r="K1630" s="470"/>
      <c r="L1630" s="470">
        <f>TRUNC(K1630*E1630,0)</f>
        <v>0</v>
      </c>
      <c r="M1630" s="470">
        <f t="shared" ref="M1630:N1633" si="380">G1630+I1630+K1630</f>
        <v>0</v>
      </c>
      <c r="N1630" s="470">
        <f t="shared" si="380"/>
        <v>0</v>
      </c>
      <c r="O1630" s="457"/>
      <c r="P1630" s="767"/>
    </row>
    <row r="1631" spans="2:17" ht="15.2" customHeight="1">
      <c r="B1631" s="766" t="s">
        <v>3785</v>
      </c>
      <c r="C1631" s="766"/>
      <c r="D1631" s="84"/>
      <c r="E1631" s="88">
        <v>5.6000000000000001E-2</v>
      </c>
      <c r="F1631" s="86" t="s">
        <v>1163</v>
      </c>
      <c r="G1631" s="470"/>
      <c r="H1631" s="470">
        <f>TRUNC(E1631*G1631,0)</f>
        <v>0</v>
      </c>
      <c r="I1631" s="470">
        <f>SUMIF('노임(2015)'!$B$4:$B$87,B1631,'노임(2015)'!$C$4:$C$87)+SUMIF('노임(2015)'!$E$4:$E$87,B1631,'노임(2015)'!$F$4:$F$87)</f>
        <v>136044</v>
      </c>
      <c r="J1631" s="470">
        <f>TRUNC(I1631*E1631,0)</f>
        <v>7618</v>
      </c>
      <c r="K1631" s="470"/>
      <c r="L1631" s="470">
        <f>TRUNC(K1631*E1631,0)</f>
        <v>0</v>
      </c>
      <c r="M1631" s="470">
        <f t="shared" si="380"/>
        <v>136044</v>
      </c>
      <c r="N1631" s="470">
        <f t="shared" si="380"/>
        <v>7618</v>
      </c>
      <c r="O1631" s="457"/>
      <c r="P1631" s="767"/>
    </row>
    <row r="1632" spans="2:17" ht="15.2" customHeight="1">
      <c r="B1632" s="766" t="s">
        <v>1162</v>
      </c>
      <c r="C1632" s="766"/>
      <c r="D1632" s="84"/>
      <c r="E1632" s="88">
        <v>0.10299999999999999</v>
      </c>
      <c r="F1632" s="86" t="s">
        <v>1163</v>
      </c>
      <c r="G1632" s="470"/>
      <c r="H1632" s="470">
        <f>TRUNC(E1632*G1632,0)</f>
        <v>0</v>
      </c>
      <c r="I1632" s="470">
        <f>SUMIF('노임(2015)'!$B$4:$B$87,B1632,'노임(2015)'!$C$4:$C$87)+SUMIF('노임(2015)'!$E$4:$E$87,B1632,'노임(2015)'!$F$4:$F$87)</f>
        <v>89566</v>
      </c>
      <c r="J1632" s="470">
        <f>TRUNC(I1632*E1632,0)</f>
        <v>9225</v>
      </c>
      <c r="K1632" s="470"/>
      <c r="L1632" s="470">
        <f>TRUNC(K1632*E1632,0)</f>
        <v>0</v>
      </c>
      <c r="M1632" s="470">
        <f t="shared" si="380"/>
        <v>89566</v>
      </c>
      <c r="N1632" s="470">
        <f t="shared" si="380"/>
        <v>9225</v>
      </c>
      <c r="O1632" s="457"/>
      <c r="P1632" s="767"/>
    </row>
    <row r="1633" spans="2:17" ht="15.2" customHeight="1">
      <c r="B1633" s="766" t="s">
        <v>1702</v>
      </c>
      <c r="C1633" s="766"/>
      <c r="D1633" s="84" t="s">
        <v>861</v>
      </c>
      <c r="E1633" s="87">
        <v>0.02</v>
      </c>
      <c r="F1633" s="86" t="s">
        <v>1163</v>
      </c>
      <c r="G1633" s="470">
        <f>TRUNC(E1631*I1631+E1632*I1632)</f>
        <v>16843</v>
      </c>
      <c r="H1633" s="470">
        <f>TRUNC(E1633*G1633,0)</f>
        <v>336</v>
      </c>
      <c r="I1633" s="470"/>
      <c r="J1633" s="470">
        <f>TRUNC(I1633*E1633,0)</f>
        <v>0</v>
      </c>
      <c r="K1633" s="470"/>
      <c r="L1633" s="470">
        <f>TRUNC(K1633*E1633,0)</f>
        <v>0</v>
      </c>
      <c r="M1633" s="470">
        <f t="shared" si="380"/>
        <v>16843</v>
      </c>
      <c r="N1633" s="470">
        <f t="shared" si="380"/>
        <v>336</v>
      </c>
      <c r="O1633" s="457"/>
      <c r="P1633" s="767"/>
    </row>
    <row r="1634" spans="2:17" ht="15.2" customHeight="1">
      <c r="B1634" s="766" t="s">
        <v>855</v>
      </c>
      <c r="C1634" s="766"/>
      <c r="D1634" s="84"/>
      <c r="E1634" s="87"/>
      <c r="F1634" s="86"/>
      <c r="G1634" s="470"/>
      <c r="H1634" s="470">
        <f>SUM(H1630:H1633)</f>
        <v>336</v>
      </c>
      <c r="I1634" s="470"/>
      <c r="J1634" s="470">
        <f>SUM(J1630:J1633)</f>
        <v>16843</v>
      </c>
      <c r="K1634" s="470"/>
      <c r="L1634" s="470">
        <f>SUM(L1630:L1633)</f>
        <v>0</v>
      </c>
      <c r="M1634" s="470"/>
      <c r="N1634" s="470">
        <f>SUM(N1630:N1633)</f>
        <v>17179</v>
      </c>
      <c r="O1634" s="457"/>
      <c r="P1634" s="767"/>
      <c r="Q1634" s="80" t="s">
        <v>3244</v>
      </c>
    </row>
    <row r="1635" spans="2:17" ht="15.2" customHeight="1">
      <c r="B1635" s="96">
        <f>P1635</f>
        <v>305</v>
      </c>
      <c r="C1635" s="770" t="s">
        <v>1987</v>
      </c>
      <c r="D1635" s="770"/>
      <c r="E1635" s="770"/>
      <c r="F1635" s="771"/>
      <c r="G1635" s="470"/>
      <c r="H1635" s="470"/>
      <c r="I1635" s="470"/>
      <c r="J1635" s="470"/>
      <c r="K1635" s="470"/>
      <c r="L1635" s="470"/>
      <c r="M1635" s="470"/>
      <c r="N1635" s="470"/>
      <c r="O1635" s="457"/>
      <c r="P1635" s="767">
        <f>MAX($P$5:P1634)+1</f>
        <v>305</v>
      </c>
      <c r="Q1635" s="80" t="s">
        <v>3243</v>
      </c>
    </row>
    <row r="1636" spans="2:17" ht="15.2" customHeight="1">
      <c r="B1636" s="766" t="s">
        <v>1986</v>
      </c>
      <c r="C1636" s="766"/>
      <c r="D1636" s="84" t="s">
        <v>1354</v>
      </c>
      <c r="E1636" s="87">
        <v>1</v>
      </c>
      <c r="F1636" s="86" t="s">
        <v>1190</v>
      </c>
      <c r="G1636" s="470"/>
      <c r="H1636" s="470">
        <f>TRUNC(E1636*G1636,0)</f>
        <v>0</v>
      </c>
      <c r="I1636" s="470"/>
      <c r="J1636" s="470">
        <f>TRUNC(I1636*E1636,0)</f>
        <v>0</v>
      </c>
      <c r="K1636" s="470"/>
      <c r="L1636" s="470">
        <f>TRUNC(K1636*E1636,0)</f>
        <v>0</v>
      </c>
      <c r="M1636" s="470">
        <f t="shared" ref="M1636:N1640" si="381">G1636+I1636+K1636</f>
        <v>0</v>
      </c>
      <c r="N1636" s="470">
        <f t="shared" si="381"/>
        <v>0</v>
      </c>
      <c r="O1636" s="457"/>
      <c r="P1636" s="767"/>
    </row>
    <row r="1637" spans="2:17" ht="15.2" customHeight="1">
      <c r="B1637" s="766" t="s">
        <v>3785</v>
      </c>
      <c r="C1637" s="766"/>
      <c r="D1637" s="84"/>
      <c r="E1637" s="88">
        <v>7.1999999999999995E-2</v>
      </c>
      <c r="F1637" s="86" t="s">
        <v>1163</v>
      </c>
      <c r="G1637" s="470"/>
      <c r="H1637" s="470">
        <f>TRUNC(E1637*G1637,0)</f>
        <v>0</v>
      </c>
      <c r="I1637" s="470">
        <f>SUMIF('노임(2015)'!$B$4:$B$87,B1637,'노임(2015)'!$C$4:$C$87)+SUMIF('노임(2015)'!$E$4:$E$87,B1637,'노임(2015)'!$F$4:$F$87)</f>
        <v>136044</v>
      </c>
      <c r="J1637" s="470">
        <f>TRUNC(I1637*E1637,0)</f>
        <v>9795</v>
      </c>
      <c r="K1637" s="470"/>
      <c r="L1637" s="470">
        <f>TRUNC(K1637*E1637,0)</f>
        <v>0</v>
      </c>
      <c r="M1637" s="470">
        <f t="shared" si="381"/>
        <v>136044</v>
      </c>
      <c r="N1637" s="470">
        <f t="shared" si="381"/>
        <v>9795</v>
      </c>
      <c r="O1637" s="457"/>
      <c r="P1637" s="767"/>
    </row>
    <row r="1638" spans="2:17" ht="15.2" customHeight="1">
      <c r="B1638" s="766" t="s">
        <v>1395</v>
      </c>
      <c r="C1638" s="766"/>
      <c r="D1638" s="84" t="s">
        <v>2434</v>
      </c>
      <c r="E1638" s="87">
        <v>0.2</v>
      </c>
      <c r="F1638" s="86" t="s">
        <v>453</v>
      </c>
      <c r="G1638" s="470">
        <f>중기사용료!$M$948</f>
        <v>5888</v>
      </c>
      <c r="H1638" s="470">
        <f>TRUNC(E1638*G1638,0)</f>
        <v>1177</v>
      </c>
      <c r="I1638" s="470">
        <f>중기사용료!$M$942</f>
        <v>27168</v>
      </c>
      <c r="J1638" s="470">
        <f>TRUNC(I1638*E1638,0)</f>
        <v>5433</v>
      </c>
      <c r="K1638" s="470">
        <f>중기사용료!$M$936</f>
        <v>25355</v>
      </c>
      <c r="L1638" s="470">
        <f>TRUNC(K1638*E1638,0)</f>
        <v>5071</v>
      </c>
      <c r="M1638" s="470">
        <f t="shared" si="381"/>
        <v>58411</v>
      </c>
      <c r="N1638" s="470">
        <f t="shared" si="381"/>
        <v>11681</v>
      </c>
      <c r="O1638" s="460">
        <f>중기사용료!$A$933</f>
        <v>50</v>
      </c>
      <c r="P1638" s="767"/>
    </row>
    <row r="1639" spans="2:17" ht="15.2" customHeight="1">
      <c r="B1639" s="766" t="s">
        <v>1162</v>
      </c>
      <c r="C1639" s="766"/>
      <c r="D1639" s="84"/>
      <c r="E1639" s="88">
        <v>0.17599999999999999</v>
      </c>
      <c r="F1639" s="86" t="s">
        <v>1163</v>
      </c>
      <c r="G1639" s="470"/>
      <c r="H1639" s="470">
        <f>TRUNC(E1639*G1639,0)</f>
        <v>0</v>
      </c>
      <c r="I1639" s="470">
        <f>SUMIF('노임(2015)'!$B$4:$B$87,B1639,'노임(2015)'!$C$4:$C$87)+SUMIF('노임(2015)'!$E$4:$E$87,B1639,'노임(2015)'!$F$4:$F$87)</f>
        <v>89566</v>
      </c>
      <c r="J1639" s="470">
        <f>TRUNC(I1639*E1639,0)</f>
        <v>15763</v>
      </c>
      <c r="K1639" s="470"/>
      <c r="L1639" s="470">
        <f>TRUNC(K1639*E1639,0)</f>
        <v>0</v>
      </c>
      <c r="M1639" s="470">
        <f t="shared" si="381"/>
        <v>89566</v>
      </c>
      <c r="N1639" s="470">
        <f t="shared" si="381"/>
        <v>15763</v>
      </c>
      <c r="O1639" s="457"/>
      <c r="P1639" s="767"/>
    </row>
    <row r="1640" spans="2:17" ht="15.2" customHeight="1">
      <c r="B1640" s="766" t="s">
        <v>1702</v>
      </c>
      <c r="C1640" s="766"/>
      <c r="D1640" s="84" t="s">
        <v>861</v>
      </c>
      <c r="E1640" s="87">
        <v>0.02</v>
      </c>
      <c r="F1640" s="86" t="s">
        <v>1163</v>
      </c>
      <c r="G1640" s="470">
        <f>TRUNC(E1637*I1637+E1638*I1638+E1639*I1639)</f>
        <v>30992</v>
      </c>
      <c r="H1640" s="470">
        <f>TRUNC(E1640*G1640,0)</f>
        <v>619</v>
      </c>
      <c r="I1640" s="470"/>
      <c r="J1640" s="470">
        <f>TRUNC(I1640*E1640,0)</f>
        <v>0</v>
      </c>
      <c r="K1640" s="470"/>
      <c r="L1640" s="470">
        <f>TRUNC(K1640*E1640,0)</f>
        <v>0</v>
      </c>
      <c r="M1640" s="470">
        <f t="shared" si="381"/>
        <v>30992</v>
      </c>
      <c r="N1640" s="470">
        <f t="shared" si="381"/>
        <v>619</v>
      </c>
      <c r="O1640" s="457"/>
      <c r="P1640" s="767"/>
    </row>
    <row r="1641" spans="2:17" ht="15.2" customHeight="1">
      <c r="B1641" s="766" t="s">
        <v>855</v>
      </c>
      <c r="C1641" s="766"/>
      <c r="D1641" s="84"/>
      <c r="E1641" s="87"/>
      <c r="F1641" s="86"/>
      <c r="G1641" s="470"/>
      <c r="H1641" s="470">
        <f>SUM(H1636:H1640)</f>
        <v>1796</v>
      </c>
      <c r="I1641" s="470"/>
      <c r="J1641" s="470">
        <f>SUM(J1636:J1640)</f>
        <v>30991</v>
      </c>
      <c r="K1641" s="470"/>
      <c r="L1641" s="470">
        <f>SUM(L1636:L1640)</f>
        <v>5071</v>
      </c>
      <c r="M1641" s="470"/>
      <c r="N1641" s="470">
        <f>SUM(N1636:N1640)</f>
        <v>37858</v>
      </c>
      <c r="O1641" s="457"/>
      <c r="P1641" s="767"/>
      <c r="Q1641" s="80" t="s">
        <v>3244</v>
      </c>
    </row>
    <row r="1642" spans="2:17" ht="15.2" customHeight="1">
      <c r="B1642" s="96">
        <f>P1642</f>
        <v>306</v>
      </c>
      <c r="C1642" s="770" t="s">
        <v>3752</v>
      </c>
      <c r="D1642" s="770"/>
      <c r="E1642" s="770"/>
      <c r="F1642" s="771"/>
      <c r="G1642" s="470"/>
      <c r="H1642" s="470"/>
      <c r="I1642" s="470"/>
      <c r="J1642" s="470"/>
      <c r="K1642" s="470"/>
      <c r="L1642" s="470"/>
      <c r="M1642" s="470"/>
      <c r="N1642" s="470"/>
      <c r="O1642" s="457"/>
      <c r="P1642" s="767">
        <f>MAX($P$5:P1641)+1</f>
        <v>306</v>
      </c>
      <c r="Q1642" s="80" t="s">
        <v>3243</v>
      </c>
    </row>
    <row r="1643" spans="2:17" ht="15.2" customHeight="1">
      <c r="B1643" s="766" t="s">
        <v>1355</v>
      </c>
      <c r="C1643" s="766"/>
      <c r="D1643" s="84" t="s">
        <v>140</v>
      </c>
      <c r="E1643" s="88">
        <v>0.17499999999999999</v>
      </c>
      <c r="F1643" s="86" t="s">
        <v>1168</v>
      </c>
      <c r="G1643" s="470">
        <f>사급자재!$M$15</f>
        <v>23000</v>
      </c>
      <c r="H1643" s="470">
        <f>TRUNC(E1643*G1643,0)</f>
        <v>4025</v>
      </c>
      <c r="I1643" s="470"/>
      <c r="J1643" s="470">
        <f>TRUNC(I1643*E1643,0)</f>
        <v>0</v>
      </c>
      <c r="K1643" s="470"/>
      <c r="L1643" s="470">
        <f>TRUNC(K1643*E1643,0)</f>
        <v>0</v>
      </c>
      <c r="M1643" s="470">
        <f t="shared" ref="M1643:N1645" si="382">G1643+I1643+K1643</f>
        <v>23000</v>
      </c>
      <c r="N1643" s="470">
        <f t="shared" si="382"/>
        <v>4025</v>
      </c>
      <c r="O1643" s="457"/>
      <c r="P1643" s="767"/>
    </row>
    <row r="1644" spans="2:17" ht="15.2" customHeight="1">
      <c r="B1644" s="766" t="s">
        <v>1165</v>
      </c>
      <c r="C1644" s="766"/>
      <c r="D1644" s="84"/>
      <c r="E1644" s="88">
        <v>1.0999999999999999E-2</v>
      </c>
      <c r="F1644" s="86" t="s">
        <v>1163</v>
      </c>
      <c r="G1644" s="470"/>
      <c r="H1644" s="470">
        <f>TRUNC(E1644*G1644,0)</f>
        <v>0</v>
      </c>
      <c r="I1644" s="470">
        <f>SUMIF('노임(2015)'!$B$4:$B$87,B1644,'노임(2015)'!$C$4:$C$87)+SUMIF('노임(2015)'!$E$4:$E$87,B1644,'노임(2015)'!$F$4:$F$87)</f>
        <v>111771</v>
      </c>
      <c r="J1644" s="470">
        <f>TRUNC(I1644*E1644,0)</f>
        <v>1229</v>
      </c>
      <c r="K1644" s="470"/>
      <c r="L1644" s="470">
        <f>TRUNC(K1644*E1644,0)</f>
        <v>0</v>
      </c>
      <c r="M1644" s="470">
        <f t="shared" si="382"/>
        <v>111771</v>
      </c>
      <c r="N1644" s="470">
        <f t="shared" si="382"/>
        <v>1229</v>
      </c>
      <c r="O1644" s="457"/>
      <c r="P1644" s="767"/>
    </row>
    <row r="1645" spans="2:17" ht="15.2" customHeight="1">
      <c r="B1645" s="766" t="s">
        <v>1162</v>
      </c>
      <c r="C1645" s="766"/>
      <c r="D1645" s="84"/>
      <c r="E1645" s="97">
        <v>5.7200000000000001E-2</v>
      </c>
      <c r="F1645" s="86" t="s">
        <v>1163</v>
      </c>
      <c r="G1645" s="470"/>
      <c r="H1645" s="470">
        <f>TRUNC(E1645*G1645,0)</f>
        <v>0</v>
      </c>
      <c r="I1645" s="470">
        <f>SUMIF('노임(2015)'!$B$4:$B$87,B1645,'노임(2015)'!$C$4:$C$87)+SUMIF('노임(2015)'!$E$4:$E$87,B1645,'노임(2015)'!$F$4:$F$87)</f>
        <v>89566</v>
      </c>
      <c r="J1645" s="470">
        <f>TRUNC(I1645*E1645,0)</f>
        <v>5123</v>
      </c>
      <c r="K1645" s="470"/>
      <c r="L1645" s="470">
        <f>TRUNC(K1645*E1645,0)</f>
        <v>0</v>
      </c>
      <c r="M1645" s="470">
        <f t="shared" si="382"/>
        <v>89566</v>
      </c>
      <c r="N1645" s="470">
        <f t="shared" si="382"/>
        <v>5123</v>
      </c>
      <c r="O1645" s="457"/>
      <c r="P1645" s="767"/>
    </row>
    <row r="1646" spans="2:17" ht="15.2" customHeight="1">
      <c r="B1646" s="766" t="s">
        <v>855</v>
      </c>
      <c r="C1646" s="766"/>
      <c r="D1646" s="84"/>
      <c r="E1646" s="87"/>
      <c r="F1646" s="86"/>
      <c r="G1646" s="470"/>
      <c r="H1646" s="470">
        <f>SUM(H1643:H1645)</f>
        <v>4025</v>
      </c>
      <c r="I1646" s="470"/>
      <c r="J1646" s="470">
        <f>SUM(J1643:J1645)</f>
        <v>6352</v>
      </c>
      <c r="K1646" s="470"/>
      <c r="L1646" s="470">
        <f>SUM(L1643:L1645)</f>
        <v>0</v>
      </c>
      <c r="M1646" s="470"/>
      <c r="N1646" s="470">
        <f>SUM(N1643:N1645)</f>
        <v>10377</v>
      </c>
      <c r="O1646" s="457"/>
      <c r="P1646" s="767"/>
      <c r="Q1646" s="80" t="s">
        <v>3244</v>
      </c>
    </row>
    <row r="1647" spans="2:17" ht="15.2" customHeight="1">
      <c r="B1647" s="96">
        <f>P1647</f>
        <v>307</v>
      </c>
      <c r="C1647" s="770" t="s">
        <v>3751</v>
      </c>
      <c r="D1647" s="770"/>
      <c r="E1647" s="770"/>
      <c r="F1647" s="771"/>
      <c r="G1647" s="470"/>
      <c r="H1647" s="470"/>
      <c r="I1647" s="470"/>
      <c r="J1647" s="470"/>
      <c r="K1647" s="470"/>
      <c r="L1647" s="470"/>
      <c r="M1647" s="470"/>
      <c r="N1647" s="470"/>
      <c r="O1647" s="457"/>
      <c r="P1647" s="767">
        <f>MAX($P$5:P1646)+1</f>
        <v>307</v>
      </c>
      <c r="Q1647" s="80" t="s">
        <v>3243</v>
      </c>
    </row>
    <row r="1648" spans="2:17" ht="15.2" customHeight="1">
      <c r="B1648" s="766" t="s">
        <v>3753</v>
      </c>
      <c r="C1648" s="766"/>
      <c r="D1648" s="84" t="s">
        <v>140</v>
      </c>
      <c r="E1648" s="88">
        <v>0.17499999999999999</v>
      </c>
      <c r="F1648" s="608" t="s">
        <v>1168</v>
      </c>
      <c r="G1648" s="470">
        <f>사급자재!$M$15</f>
        <v>23000</v>
      </c>
      <c r="H1648" s="470">
        <f>TRUNC(E1648*G1648,0)</f>
        <v>4025</v>
      </c>
      <c r="I1648" s="470"/>
      <c r="J1648" s="470">
        <f>TRUNC(I1648*E1648,0)</f>
        <v>0</v>
      </c>
      <c r="K1648" s="470"/>
      <c r="L1648" s="470">
        <f>TRUNC(K1648*E1648,0)</f>
        <v>0</v>
      </c>
      <c r="M1648" s="470">
        <f t="shared" ref="M1648:N1651" si="383">G1648+I1648+K1648</f>
        <v>23000</v>
      </c>
      <c r="N1648" s="470">
        <f t="shared" si="383"/>
        <v>4025</v>
      </c>
      <c r="O1648" s="457"/>
      <c r="P1648" s="767"/>
    </row>
    <row r="1649" spans="2:17" ht="15.2" customHeight="1">
      <c r="B1649" s="766" t="s">
        <v>1034</v>
      </c>
      <c r="C1649" s="766"/>
      <c r="D1649" s="84" t="s">
        <v>156</v>
      </c>
      <c r="E1649" s="88">
        <f>0.86/10*0.11</f>
        <v>9.4599999999999997E-3</v>
      </c>
      <c r="F1649" s="608" t="s">
        <v>453</v>
      </c>
      <c r="G1649" s="470">
        <f>중기사용료!$M$701</f>
        <v>2771</v>
      </c>
      <c r="H1649" s="470">
        <f>TRUNC(E1649*G1649,0)</f>
        <v>26</v>
      </c>
      <c r="I1649" s="470">
        <f>중기사용료!$M$695</f>
        <v>27168</v>
      </c>
      <c r="J1649" s="470">
        <f>TRUNC(I1649*E1649,0)</f>
        <v>257</v>
      </c>
      <c r="K1649" s="470">
        <f>중기사용료!$M$689</f>
        <v>1563</v>
      </c>
      <c r="L1649" s="470">
        <f>TRUNC(K1649*E1649,0)</f>
        <v>14</v>
      </c>
      <c r="M1649" s="470">
        <f t="shared" si="383"/>
        <v>31502</v>
      </c>
      <c r="N1649" s="470">
        <f t="shared" si="383"/>
        <v>297</v>
      </c>
      <c r="O1649" s="460">
        <f>중기사용료!$A$686</f>
        <v>37</v>
      </c>
      <c r="P1649" s="767"/>
    </row>
    <row r="1650" spans="2:17" ht="15.2" customHeight="1">
      <c r="B1650" s="766" t="s">
        <v>89</v>
      </c>
      <c r="C1650" s="766"/>
      <c r="D1650" s="84" t="s">
        <v>1016</v>
      </c>
      <c r="E1650" s="88">
        <f>0.7/10*0.11</f>
        <v>7.6999999999999994E-3</v>
      </c>
      <c r="F1650" s="608" t="s">
        <v>453</v>
      </c>
      <c r="G1650" s="470">
        <f>중기사용료!$M$93</f>
        <v>6745</v>
      </c>
      <c r="H1650" s="470">
        <f>TRUNC(E1650*G1650,0)</f>
        <v>51</v>
      </c>
      <c r="I1650" s="470">
        <f>중기사용료!$M$87</f>
        <v>27168</v>
      </c>
      <c r="J1650" s="470">
        <f>TRUNC(I1650*E1650,0)</f>
        <v>209</v>
      </c>
      <c r="K1650" s="470">
        <f>중기사용료!$M$81</f>
        <v>11251</v>
      </c>
      <c r="L1650" s="470">
        <f>TRUNC(K1650*E1650,0)</f>
        <v>86</v>
      </c>
      <c r="M1650" s="470">
        <f t="shared" si="383"/>
        <v>45164</v>
      </c>
      <c r="N1650" s="470">
        <f t="shared" si="383"/>
        <v>346</v>
      </c>
      <c r="O1650" s="460">
        <f>중기사용료!$A$78</f>
        <v>5</v>
      </c>
      <c r="P1650" s="767"/>
    </row>
    <row r="1651" spans="2:17" ht="15.2" customHeight="1">
      <c r="B1651" s="766" t="s">
        <v>1162</v>
      </c>
      <c r="C1651" s="766"/>
      <c r="D1651" s="84"/>
      <c r="E1651" s="88">
        <f>0.18/10*0.11</f>
        <v>1.98E-3</v>
      </c>
      <c r="F1651" s="608" t="s">
        <v>1163</v>
      </c>
      <c r="G1651" s="470"/>
      <c r="H1651" s="470">
        <f>TRUNC(E1651*G1651,0)</f>
        <v>0</v>
      </c>
      <c r="I1651" s="470">
        <f>SUMIF('노임(2015)'!$B$4:$B$87,B1651,'노임(2015)'!$C$4:$C$87)+SUMIF('노임(2015)'!$E$4:$E$87,B1651,'노임(2015)'!$F$4:$F$87)</f>
        <v>89566</v>
      </c>
      <c r="J1651" s="470">
        <f>TRUNC(I1651*E1651,0)</f>
        <v>177</v>
      </c>
      <c r="K1651" s="470"/>
      <c r="L1651" s="470">
        <f>TRUNC(K1651*E1651,0)</f>
        <v>0</v>
      </c>
      <c r="M1651" s="470">
        <f t="shared" si="383"/>
        <v>89566</v>
      </c>
      <c r="N1651" s="470">
        <f t="shared" si="383"/>
        <v>177</v>
      </c>
      <c r="O1651" s="457"/>
      <c r="P1651" s="767"/>
    </row>
    <row r="1652" spans="2:17" ht="15.2" customHeight="1">
      <c r="B1652" s="766" t="s">
        <v>855</v>
      </c>
      <c r="C1652" s="766"/>
      <c r="D1652" s="84"/>
      <c r="E1652" s="87"/>
      <c r="F1652" s="86"/>
      <c r="G1652" s="470"/>
      <c r="H1652" s="470">
        <f>SUM(H1648:H1651)</f>
        <v>4102</v>
      </c>
      <c r="I1652" s="470"/>
      <c r="J1652" s="470">
        <f>SUM(J1648:J1651)</f>
        <v>643</v>
      </c>
      <c r="K1652" s="470"/>
      <c r="L1652" s="470">
        <f>SUM(L1648:L1651)</f>
        <v>100</v>
      </c>
      <c r="M1652" s="470"/>
      <c r="N1652" s="470">
        <f>SUM(N1648:N1651)</f>
        <v>4845</v>
      </c>
      <c r="O1652" s="457"/>
      <c r="P1652" s="767"/>
      <c r="Q1652" s="80" t="s">
        <v>1164</v>
      </c>
    </row>
    <row r="1653" spans="2:17" ht="15.2" customHeight="1">
      <c r="B1653" s="96">
        <f>P1653</f>
        <v>308</v>
      </c>
      <c r="C1653" s="770" t="s">
        <v>1988</v>
      </c>
      <c r="D1653" s="770"/>
      <c r="E1653" s="770"/>
      <c r="F1653" s="771"/>
      <c r="G1653" s="470"/>
      <c r="H1653" s="470"/>
      <c r="I1653" s="470"/>
      <c r="J1653" s="470"/>
      <c r="K1653" s="470"/>
      <c r="L1653" s="470"/>
      <c r="M1653" s="470"/>
      <c r="N1653" s="470"/>
      <c r="O1653" s="457"/>
      <c r="P1653" s="767">
        <f>MAX($P$5:P1652)+1</f>
        <v>308</v>
      </c>
      <c r="Q1653" s="80" t="s">
        <v>3243</v>
      </c>
    </row>
    <row r="1654" spans="2:17" ht="15.2" customHeight="1">
      <c r="B1654" s="766" t="s">
        <v>3753</v>
      </c>
      <c r="C1654" s="766"/>
      <c r="D1654" s="84" t="s">
        <v>140</v>
      </c>
      <c r="E1654" s="88">
        <v>0.30599999999999999</v>
      </c>
      <c r="F1654" s="608" t="s">
        <v>1168</v>
      </c>
      <c r="G1654" s="470">
        <f>사급자재!$M$15</f>
        <v>23000</v>
      </c>
      <c r="H1654" s="470">
        <f>TRUNC(E1654*G1654,0)</f>
        <v>7038</v>
      </c>
      <c r="I1654" s="470"/>
      <c r="J1654" s="470">
        <f>TRUNC(I1654*E1654,0)</f>
        <v>0</v>
      </c>
      <c r="K1654" s="470"/>
      <c r="L1654" s="470">
        <f>TRUNC(K1654*E1654,0)</f>
        <v>0</v>
      </c>
      <c r="M1654" s="470">
        <f t="shared" ref="M1654:N1657" si="384">G1654+I1654+K1654</f>
        <v>23000</v>
      </c>
      <c r="N1654" s="470">
        <f t="shared" si="384"/>
        <v>7038</v>
      </c>
      <c r="O1654" s="457"/>
      <c r="P1654" s="767"/>
    </row>
    <row r="1655" spans="2:17" ht="15.2" customHeight="1">
      <c r="B1655" s="766" t="s">
        <v>1034</v>
      </c>
      <c r="C1655" s="766"/>
      <c r="D1655" s="84" t="s">
        <v>156</v>
      </c>
      <c r="E1655" s="97">
        <f>0.86/10*0.195</f>
        <v>1.677E-2</v>
      </c>
      <c r="F1655" s="608" t="s">
        <v>453</v>
      </c>
      <c r="G1655" s="470">
        <f>중기사용료!$M$701</f>
        <v>2771</v>
      </c>
      <c r="H1655" s="470">
        <f>TRUNC(E1655*G1655,0)</f>
        <v>46</v>
      </c>
      <c r="I1655" s="470">
        <f>중기사용료!$M$695</f>
        <v>27168</v>
      </c>
      <c r="J1655" s="470">
        <f>TRUNC(I1655*E1655,0)</f>
        <v>455</v>
      </c>
      <c r="K1655" s="470">
        <f>중기사용료!$M$689</f>
        <v>1563</v>
      </c>
      <c r="L1655" s="470">
        <f>TRUNC(K1655*E1655,0)</f>
        <v>26</v>
      </c>
      <c r="M1655" s="470">
        <f t="shared" si="384"/>
        <v>31502</v>
      </c>
      <c r="N1655" s="470">
        <f t="shared" si="384"/>
        <v>527</v>
      </c>
      <c r="O1655" s="460">
        <f>중기사용료!$A$686</f>
        <v>37</v>
      </c>
      <c r="P1655" s="767"/>
    </row>
    <row r="1656" spans="2:17" ht="15.2" customHeight="1">
      <c r="B1656" s="766" t="s">
        <v>89</v>
      </c>
      <c r="C1656" s="766"/>
      <c r="D1656" s="84" t="s">
        <v>1016</v>
      </c>
      <c r="E1656" s="97">
        <f>0.7/10*0.195</f>
        <v>1.3649999999999999E-2</v>
      </c>
      <c r="F1656" s="608" t="s">
        <v>453</v>
      </c>
      <c r="G1656" s="470">
        <f>중기사용료!$M$93</f>
        <v>6745</v>
      </c>
      <c r="H1656" s="470">
        <f>TRUNC(E1656*G1656,0)</f>
        <v>92</v>
      </c>
      <c r="I1656" s="470">
        <f>중기사용료!$M$87</f>
        <v>27168</v>
      </c>
      <c r="J1656" s="470">
        <f>TRUNC(I1656*E1656,0)</f>
        <v>370</v>
      </c>
      <c r="K1656" s="470">
        <f>중기사용료!$M$81</f>
        <v>11251</v>
      </c>
      <c r="L1656" s="470">
        <f>TRUNC(K1656*E1656,0)</f>
        <v>153</v>
      </c>
      <c r="M1656" s="470">
        <f t="shared" si="384"/>
        <v>45164</v>
      </c>
      <c r="N1656" s="470">
        <f t="shared" si="384"/>
        <v>615</v>
      </c>
      <c r="O1656" s="460">
        <f>중기사용료!$A$78</f>
        <v>5</v>
      </c>
      <c r="P1656" s="767"/>
    </row>
    <row r="1657" spans="2:17" ht="15.2" customHeight="1">
      <c r="B1657" s="766" t="s">
        <v>1162</v>
      </c>
      <c r="C1657" s="766"/>
      <c r="D1657" s="84"/>
      <c r="E1657" s="97">
        <f>0.18/10*0.195</f>
        <v>3.5099999999999997E-3</v>
      </c>
      <c r="F1657" s="608" t="s">
        <v>1163</v>
      </c>
      <c r="G1657" s="470"/>
      <c r="H1657" s="470">
        <f>TRUNC(E1657*G1657,0)</f>
        <v>0</v>
      </c>
      <c r="I1657" s="470">
        <f>SUMIF('노임(2015)'!$B$4:$B$87,B1657,'노임(2015)'!$C$4:$C$87)+SUMIF('노임(2015)'!$E$4:$E$87,B1657,'노임(2015)'!$F$4:$F$87)</f>
        <v>89566</v>
      </c>
      <c r="J1657" s="470">
        <f>TRUNC(I1657*E1657,0)</f>
        <v>314</v>
      </c>
      <c r="K1657" s="470"/>
      <c r="L1657" s="470">
        <f>TRUNC(K1657*E1657,0)</f>
        <v>0</v>
      </c>
      <c r="M1657" s="470">
        <f t="shared" si="384"/>
        <v>89566</v>
      </c>
      <c r="N1657" s="470">
        <f t="shared" si="384"/>
        <v>314</v>
      </c>
      <c r="O1657" s="457"/>
      <c r="P1657" s="767"/>
    </row>
    <row r="1658" spans="2:17" ht="15.2" customHeight="1">
      <c r="B1658" s="766" t="s">
        <v>855</v>
      </c>
      <c r="C1658" s="766"/>
      <c r="D1658" s="84"/>
      <c r="E1658" s="87"/>
      <c r="F1658" s="86"/>
      <c r="G1658" s="470"/>
      <c r="H1658" s="470">
        <f>SUM(H1654:H1657)</f>
        <v>7176</v>
      </c>
      <c r="I1658" s="470"/>
      <c r="J1658" s="470">
        <f>SUM(J1654:J1657)</f>
        <v>1139</v>
      </c>
      <c r="K1658" s="470"/>
      <c r="L1658" s="470">
        <f>SUM(L1654:L1657)</f>
        <v>179</v>
      </c>
      <c r="M1658" s="470"/>
      <c r="N1658" s="470">
        <f>SUM(N1654:N1657)</f>
        <v>8494</v>
      </c>
      <c r="O1658" s="457"/>
      <c r="P1658" s="767"/>
      <c r="Q1658" s="80" t="s">
        <v>1164</v>
      </c>
    </row>
    <row r="1659" spans="2:17" ht="15.2" customHeight="1">
      <c r="B1659" s="96">
        <f>P1659</f>
        <v>309</v>
      </c>
      <c r="C1659" s="770" t="s">
        <v>3754</v>
      </c>
      <c r="D1659" s="770"/>
      <c r="E1659" s="770"/>
      <c r="F1659" s="771"/>
      <c r="G1659" s="470"/>
      <c r="H1659" s="470"/>
      <c r="I1659" s="470"/>
      <c r="J1659" s="470"/>
      <c r="K1659" s="470"/>
      <c r="L1659" s="470"/>
      <c r="M1659" s="470"/>
      <c r="N1659" s="470"/>
      <c r="O1659" s="457"/>
      <c r="P1659" s="767">
        <f>MAX($P$5:P1658)+1</f>
        <v>309</v>
      </c>
      <c r="Q1659" s="80" t="s">
        <v>3243</v>
      </c>
    </row>
    <row r="1660" spans="2:17" ht="15.2" customHeight="1">
      <c r="B1660" s="766" t="s">
        <v>3753</v>
      </c>
      <c r="C1660" s="766"/>
      <c r="D1660" s="84" t="s">
        <v>140</v>
      </c>
      <c r="E1660" s="97">
        <v>0.34300000000000003</v>
      </c>
      <c r="F1660" s="608" t="s">
        <v>1168</v>
      </c>
      <c r="G1660" s="470">
        <f>사급자재!$M$15</f>
        <v>23000</v>
      </c>
      <c r="H1660" s="470">
        <f>TRUNC(E1660*G1660,0)</f>
        <v>7889</v>
      </c>
      <c r="I1660" s="470"/>
      <c r="J1660" s="470">
        <f>TRUNC(I1660*E1660,0)</f>
        <v>0</v>
      </c>
      <c r="K1660" s="470"/>
      <c r="L1660" s="470">
        <f>TRUNC(K1660*E1660,0)</f>
        <v>0</v>
      </c>
      <c r="M1660" s="470">
        <f t="shared" ref="M1660:N1663" si="385">G1660+I1660+K1660</f>
        <v>23000</v>
      </c>
      <c r="N1660" s="470">
        <f t="shared" si="385"/>
        <v>7889</v>
      </c>
      <c r="O1660" s="457"/>
      <c r="P1660" s="767"/>
    </row>
    <row r="1661" spans="2:17" ht="15.2" customHeight="1">
      <c r="B1661" s="766" t="s">
        <v>1034</v>
      </c>
      <c r="C1661" s="766"/>
      <c r="D1661" s="84" t="s">
        <v>156</v>
      </c>
      <c r="E1661" s="97">
        <f>0.86/10*0.21</f>
        <v>1.8059999999999996E-2</v>
      </c>
      <c r="F1661" s="608" t="s">
        <v>453</v>
      </c>
      <c r="G1661" s="470">
        <f>중기사용료!$M$701</f>
        <v>2771</v>
      </c>
      <c r="H1661" s="470">
        <f>TRUNC(E1661*G1661,0)</f>
        <v>50</v>
      </c>
      <c r="I1661" s="470">
        <f>중기사용료!$M$695</f>
        <v>27168</v>
      </c>
      <c r="J1661" s="470">
        <f>TRUNC(I1661*E1661,0)</f>
        <v>490</v>
      </c>
      <c r="K1661" s="470">
        <f>중기사용료!$M$689</f>
        <v>1563</v>
      </c>
      <c r="L1661" s="470">
        <f>TRUNC(K1661*E1661,0)</f>
        <v>28</v>
      </c>
      <c r="M1661" s="470">
        <f t="shared" si="385"/>
        <v>31502</v>
      </c>
      <c r="N1661" s="470">
        <f t="shared" si="385"/>
        <v>568</v>
      </c>
      <c r="O1661" s="460">
        <f>중기사용료!$A$686</f>
        <v>37</v>
      </c>
      <c r="P1661" s="767"/>
    </row>
    <row r="1662" spans="2:17" ht="15.2" customHeight="1">
      <c r="B1662" s="766" t="s">
        <v>89</v>
      </c>
      <c r="C1662" s="766"/>
      <c r="D1662" s="84" t="s">
        <v>1016</v>
      </c>
      <c r="E1662" s="97">
        <f>0.7/10*0.21</f>
        <v>1.4699999999999998E-2</v>
      </c>
      <c r="F1662" s="608" t="s">
        <v>453</v>
      </c>
      <c r="G1662" s="470">
        <f>중기사용료!$M$93</f>
        <v>6745</v>
      </c>
      <c r="H1662" s="470">
        <f>TRUNC(E1662*G1662,0)</f>
        <v>99</v>
      </c>
      <c r="I1662" s="470">
        <f>중기사용료!$M$87</f>
        <v>27168</v>
      </c>
      <c r="J1662" s="470">
        <f>TRUNC(I1662*E1662,0)</f>
        <v>399</v>
      </c>
      <c r="K1662" s="470">
        <f>중기사용료!$M$81</f>
        <v>11251</v>
      </c>
      <c r="L1662" s="470">
        <f>TRUNC(K1662*E1662,0)</f>
        <v>165</v>
      </c>
      <c r="M1662" s="470">
        <f t="shared" si="385"/>
        <v>45164</v>
      </c>
      <c r="N1662" s="470">
        <f t="shared" si="385"/>
        <v>663</v>
      </c>
      <c r="O1662" s="460">
        <f>중기사용료!$A$78</f>
        <v>5</v>
      </c>
      <c r="P1662" s="767"/>
    </row>
    <row r="1663" spans="2:17" ht="15.2" customHeight="1">
      <c r="B1663" s="766" t="s">
        <v>1162</v>
      </c>
      <c r="C1663" s="766"/>
      <c r="D1663" s="84"/>
      <c r="E1663" s="97">
        <f>0.18/10*0.21</f>
        <v>3.7799999999999995E-3</v>
      </c>
      <c r="F1663" s="608" t="s">
        <v>1163</v>
      </c>
      <c r="G1663" s="470"/>
      <c r="H1663" s="470">
        <f>TRUNC(E1663*G1663,0)</f>
        <v>0</v>
      </c>
      <c r="I1663" s="470">
        <f>SUMIF('노임(2015)'!$B$4:$B$87,B1663,'노임(2015)'!$C$4:$C$87)+SUMIF('노임(2015)'!$E$4:$E$87,B1663,'노임(2015)'!$F$4:$F$87)</f>
        <v>89566</v>
      </c>
      <c r="J1663" s="470">
        <f>TRUNC(I1663*E1663,0)</f>
        <v>338</v>
      </c>
      <c r="K1663" s="470"/>
      <c r="L1663" s="470">
        <f>TRUNC(K1663*E1663,0)</f>
        <v>0</v>
      </c>
      <c r="M1663" s="470">
        <f t="shared" si="385"/>
        <v>89566</v>
      </c>
      <c r="N1663" s="470">
        <f t="shared" si="385"/>
        <v>338</v>
      </c>
      <c r="O1663" s="457"/>
      <c r="P1663" s="767"/>
    </row>
    <row r="1664" spans="2:17" ht="15.2" customHeight="1">
      <c r="B1664" s="766" t="s">
        <v>855</v>
      </c>
      <c r="C1664" s="766"/>
      <c r="D1664" s="84"/>
      <c r="E1664" s="87"/>
      <c r="F1664" s="86"/>
      <c r="G1664" s="470"/>
      <c r="H1664" s="470">
        <f>SUM(H1660:H1663)</f>
        <v>8038</v>
      </c>
      <c r="I1664" s="470"/>
      <c r="J1664" s="470">
        <f>SUM(J1660:J1663)</f>
        <v>1227</v>
      </c>
      <c r="K1664" s="470"/>
      <c r="L1664" s="470">
        <f>SUM(L1660:L1663)</f>
        <v>193</v>
      </c>
      <c r="M1664" s="470"/>
      <c r="N1664" s="470">
        <f>SUM(N1660:N1663)</f>
        <v>9458</v>
      </c>
      <c r="O1664" s="457"/>
      <c r="P1664" s="767"/>
      <c r="Q1664" s="80" t="s">
        <v>1164</v>
      </c>
    </row>
    <row r="1665" spans="2:17" ht="15.2" customHeight="1">
      <c r="B1665" s="96">
        <f>P1665</f>
        <v>310</v>
      </c>
      <c r="C1665" s="770" t="s">
        <v>3756</v>
      </c>
      <c r="D1665" s="770"/>
      <c r="E1665" s="770"/>
      <c r="F1665" s="771"/>
      <c r="G1665" s="470"/>
      <c r="H1665" s="470"/>
      <c r="I1665" s="470"/>
      <c r="J1665" s="470"/>
      <c r="K1665" s="470"/>
      <c r="L1665" s="470"/>
      <c r="M1665" s="470"/>
      <c r="N1665" s="470"/>
      <c r="O1665" s="457"/>
      <c r="P1665" s="767">
        <f>MAX($P$5:P1664)+1</f>
        <v>310</v>
      </c>
      <c r="Q1665" s="80" t="s">
        <v>3243</v>
      </c>
    </row>
    <row r="1666" spans="2:17" ht="15.2" customHeight="1">
      <c r="B1666" s="766" t="s">
        <v>3753</v>
      </c>
      <c r="C1666" s="766"/>
      <c r="D1666" s="84" t="s">
        <v>140</v>
      </c>
      <c r="E1666" s="97">
        <v>0.49299999999999999</v>
      </c>
      <c r="F1666" s="608" t="s">
        <v>1168</v>
      </c>
      <c r="G1666" s="470">
        <f>사급자재!$M$15</f>
        <v>23000</v>
      </c>
      <c r="H1666" s="470">
        <f>TRUNC(E1666*G1666,0)</f>
        <v>11339</v>
      </c>
      <c r="I1666" s="470"/>
      <c r="J1666" s="470">
        <f>TRUNC(I1666*E1666,0)</f>
        <v>0</v>
      </c>
      <c r="K1666" s="470"/>
      <c r="L1666" s="470">
        <f>TRUNC(K1666*E1666,0)</f>
        <v>0</v>
      </c>
      <c r="M1666" s="470">
        <f t="shared" ref="M1666:N1669" si="386">G1666+I1666+K1666</f>
        <v>23000</v>
      </c>
      <c r="N1666" s="470">
        <f t="shared" si="386"/>
        <v>11339</v>
      </c>
      <c r="O1666" s="457"/>
      <c r="P1666" s="767"/>
    </row>
    <row r="1667" spans="2:17" ht="15.2" customHeight="1">
      <c r="B1667" s="766" t="s">
        <v>1034</v>
      </c>
      <c r="C1667" s="766"/>
      <c r="D1667" s="84" t="s">
        <v>156</v>
      </c>
      <c r="E1667" s="97">
        <f>0.86/10*0.3</f>
        <v>2.5799999999999997E-2</v>
      </c>
      <c r="F1667" s="608" t="s">
        <v>453</v>
      </c>
      <c r="G1667" s="470">
        <f>중기사용료!$M$701</f>
        <v>2771</v>
      </c>
      <c r="H1667" s="470">
        <f>TRUNC(E1667*G1667,0)</f>
        <v>71</v>
      </c>
      <c r="I1667" s="470">
        <f>중기사용료!$M$695</f>
        <v>27168</v>
      </c>
      <c r="J1667" s="470">
        <f>TRUNC(I1667*E1667,0)</f>
        <v>700</v>
      </c>
      <c r="K1667" s="470">
        <f>중기사용료!$M$689</f>
        <v>1563</v>
      </c>
      <c r="L1667" s="470">
        <f>TRUNC(K1667*E1667,0)</f>
        <v>40</v>
      </c>
      <c r="M1667" s="470">
        <f t="shared" si="386"/>
        <v>31502</v>
      </c>
      <c r="N1667" s="470">
        <f t="shared" si="386"/>
        <v>811</v>
      </c>
      <c r="O1667" s="460">
        <f>중기사용료!$A$686</f>
        <v>37</v>
      </c>
      <c r="P1667" s="767"/>
    </row>
    <row r="1668" spans="2:17" ht="15.2" customHeight="1">
      <c r="B1668" s="766" t="s">
        <v>89</v>
      </c>
      <c r="C1668" s="766"/>
      <c r="D1668" s="84" t="s">
        <v>1016</v>
      </c>
      <c r="E1668" s="97">
        <f>0.7/10*0.3</f>
        <v>2.0999999999999998E-2</v>
      </c>
      <c r="F1668" s="608" t="s">
        <v>453</v>
      </c>
      <c r="G1668" s="470">
        <f>중기사용료!$M$93</f>
        <v>6745</v>
      </c>
      <c r="H1668" s="470">
        <f>TRUNC(E1668*G1668,0)</f>
        <v>141</v>
      </c>
      <c r="I1668" s="470">
        <f>중기사용료!$M$87</f>
        <v>27168</v>
      </c>
      <c r="J1668" s="470">
        <f>TRUNC(I1668*E1668,0)</f>
        <v>570</v>
      </c>
      <c r="K1668" s="470">
        <f>중기사용료!$M$81</f>
        <v>11251</v>
      </c>
      <c r="L1668" s="470">
        <f>TRUNC(K1668*E1668,0)</f>
        <v>236</v>
      </c>
      <c r="M1668" s="470">
        <f t="shared" si="386"/>
        <v>45164</v>
      </c>
      <c r="N1668" s="470">
        <f t="shared" si="386"/>
        <v>947</v>
      </c>
      <c r="O1668" s="460">
        <f>중기사용료!$A$78</f>
        <v>5</v>
      </c>
      <c r="P1668" s="767"/>
    </row>
    <row r="1669" spans="2:17" ht="15.2" customHeight="1">
      <c r="B1669" s="766" t="s">
        <v>1162</v>
      </c>
      <c r="C1669" s="766"/>
      <c r="D1669" s="84"/>
      <c r="E1669" s="97">
        <f>0.18/10*0.3</f>
        <v>5.3999999999999994E-3</v>
      </c>
      <c r="F1669" s="608" t="s">
        <v>1163</v>
      </c>
      <c r="G1669" s="470"/>
      <c r="H1669" s="470">
        <f>TRUNC(E1669*G1669,0)</f>
        <v>0</v>
      </c>
      <c r="I1669" s="470">
        <f>SUMIF('노임(2015)'!$B$4:$B$87,B1669,'노임(2015)'!$C$4:$C$87)+SUMIF('노임(2015)'!$E$4:$E$87,B1669,'노임(2015)'!$F$4:$F$87)</f>
        <v>89566</v>
      </c>
      <c r="J1669" s="470">
        <f>TRUNC(I1669*E1669,0)</f>
        <v>483</v>
      </c>
      <c r="K1669" s="470"/>
      <c r="L1669" s="470">
        <f>TRUNC(K1669*E1669,0)</f>
        <v>0</v>
      </c>
      <c r="M1669" s="470">
        <f t="shared" si="386"/>
        <v>89566</v>
      </c>
      <c r="N1669" s="470">
        <f t="shared" si="386"/>
        <v>483</v>
      </c>
      <c r="O1669" s="457"/>
      <c r="P1669" s="767"/>
    </row>
    <row r="1670" spans="2:17" ht="15.2" customHeight="1">
      <c r="B1670" s="766" t="s">
        <v>855</v>
      </c>
      <c r="C1670" s="766"/>
      <c r="D1670" s="84"/>
      <c r="E1670" s="87"/>
      <c r="F1670" s="86"/>
      <c r="G1670" s="470"/>
      <c r="H1670" s="470">
        <f>SUM(H1666:H1669)</f>
        <v>11551</v>
      </c>
      <c r="I1670" s="470"/>
      <c r="J1670" s="470">
        <f>SUM(J1666:J1669)</f>
        <v>1753</v>
      </c>
      <c r="K1670" s="470"/>
      <c r="L1670" s="470">
        <f>SUM(L1666:L1669)</f>
        <v>276</v>
      </c>
      <c r="M1670" s="470"/>
      <c r="N1670" s="470">
        <f>SUM(N1666:N1669)</f>
        <v>13580</v>
      </c>
      <c r="O1670" s="457"/>
      <c r="P1670" s="767"/>
      <c r="Q1670" s="80" t="s">
        <v>1164</v>
      </c>
    </row>
    <row r="1671" spans="2:17" ht="15.2" customHeight="1">
      <c r="B1671" s="96">
        <f>P1671</f>
        <v>311</v>
      </c>
      <c r="C1671" s="770" t="s">
        <v>3755</v>
      </c>
      <c r="D1671" s="770"/>
      <c r="E1671" s="770"/>
      <c r="F1671" s="771"/>
      <c r="G1671" s="470"/>
      <c r="H1671" s="470"/>
      <c r="I1671" s="470"/>
      <c r="J1671" s="470"/>
      <c r="K1671" s="470"/>
      <c r="L1671" s="470"/>
      <c r="M1671" s="470"/>
      <c r="N1671" s="470"/>
      <c r="O1671" s="457"/>
      <c r="P1671" s="767">
        <f>MAX($P$5:P1670)+1</f>
        <v>311</v>
      </c>
      <c r="Q1671" s="80" t="s">
        <v>3243</v>
      </c>
    </row>
    <row r="1672" spans="2:17" ht="15.2" customHeight="1">
      <c r="B1672" s="766" t="s">
        <v>3753</v>
      </c>
      <c r="C1672" s="766"/>
      <c r="D1672" s="84" t="s">
        <v>140</v>
      </c>
      <c r="E1672" s="97">
        <v>0.54100000000000004</v>
      </c>
      <c r="F1672" s="608" t="s">
        <v>1168</v>
      </c>
      <c r="G1672" s="470">
        <f>사급자재!$M$15</f>
        <v>23000</v>
      </c>
      <c r="H1672" s="470">
        <f>TRUNC(E1672*G1672,0)</f>
        <v>12443</v>
      </c>
      <c r="I1672" s="470"/>
      <c r="J1672" s="470">
        <f>TRUNC(I1672*E1672,0)</f>
        <v>0</v>
      </c>
      <c r="K1672" s="470"/>
      <c r="L1672" s="470">
        <f>TRUNC(K1672*E1672,0)</f>
        <v>0</v>
      </c>
      <c r="M1672" s="470">
        <f t="shared" ref="M1672:N1675" si="387">G1672+I1672+K1672</f>
        <v>23000</v>
      </c>
      <c r="N1672" s="470">
        <f t="shared" si="387"/>
        <v>12443</v>
      </c>
      <c r="O1672" s="457"/>
      <c r="P1672" s="767"/>
    </row>
    <row r="1673" spans="2:17" ht="15.2" customHeight="1">
      <c r="B1673" s="766" t="s">
        <v>1034</v>
      </c>
      <c r="C1673" s="766"/>
      <c r="D1673" s="84" t="s">
        <v>156</v>
      </c>
      <c r="E1673" s="97">
        <f>0.86/10*0.33</f>
        <v>2.8379999999999999E-2</v>
      </c>
      <c r="F1673" s="608" t="s">
        <v>453</v>
      </c>
      <c r="G1673" s="470">
        <f>중기사용료!$M$701</f>
        <v>2771</v>
      </c>
      <c r="H1673" s="470">
        <f>TRUNC(E1673*G1673,0)</f>
        <v>78</v>
      </c>
      <c r="I1673" s="470">
        <f>중기사용료!$M$695</f>
        <v>27168</v>
      </c>
      <c r="J1673" s="470">
        <f>TRUNC(I1673*E1673,0)</f>
        <v>771</v>
      </c>
      <c r="K1673" s="470">
        <f>중기사용료!$M$689</f>
        <v>1563</v>
      </c>
      <c r="L1673" s="470">
        <f>TRUNC(K1673*E1673,0)</f>
        <v>44</v>
      </c>
      <c r="M1673" s="470">
        <f t="shared" si="387"/>
        <v>31502</v>
      </c>
      <c r="N1673" s="470">
        <f t="shared" si="387"/>
        <v>893</v>
      </c>
      <c r="O1673" s="460">
        <f>중기사용료!$A$686</f>
        <v>37</v>
      </c>
      <c r="P1673" s="767"/>
    </row>
    <row r="1674" spans="2:17" ht="15.2" customHeight="1">
      <c r="B1674" s="766" t="s">
        <v>89</v>
      </c>
      <c r="C1674" s="766"/>
      <c r="D1674" s="84" t="s">
        <v>1016</v>
      </c>
      <c r="E1674" s="97">
        <f>0.7/10*0.33</f>
        <v>2.3099999999999999E-2</v>
      </c>
      <c r="F1674" s="608" t="s">
        <v>453</v>
      </c>
      <c r="G1674" s="470">
        <f>중기사용료!$M$93</f>
        <v>6745</v>
      </c>
      <c r="H1674" s="470">
        <f>TRUNC(E1674*G1674,0)</f>
        <v>155</v>
      </c>
      <c r="I1674" s="470">
        <f>중기사용료!$M$87</f>
        <v>27168</v>
      </c>
      <c r="J1674" s="470">
        <f>TRUNC(I1674*E1674,0)</f>
        <v>627</v>
      </c>
      <c r="K1674" s="470">
        <f>중기사용료!$M$81</f>
        <v>11251</v>
      </c>
      <c r="L1674" s="470">
        <f>TRUNC(K1674*E1674,0)</f>
        <v>259</v>
      </c>
      <c r="M1674" s="470">
        <f t="shared" si="387"/>
        <v>45164</v>
      </c>
      <c r="N1674" s="470">
        <f t="shared" si="387"/>
        <v>1041</v>
      </c>
      <c r="O1674" s="460">
        <f>중기사용료!$A$78</f>
        <v>5</v>
      </c>
      <c r="P1674" s="767"/>
    </row>
    <row r="1675" spans="2:17" ht="15.2" customHeight="1">
      <c r="B1675" s="766" t="s">
        <v>1162</v>
      </c>
      <c r="C1675" s="766"/>
      <c r="D1675" s="84"/>
      <c r="E1675" s="97">
        <f>0.18/10*0.33</f>
        <v>5.94E-3</v>
      </c>
      <c r="F1675" s="608" t="s">
        <v>1163</v>
      </c>
      <c r="G1675" s="470"/>
      <c r="H1675" s="470">
        <f>TRUNC(E1675*G1675,0)</f>
        <v>0</v>
      </c>
      <c r="I1675" s="470">
        <f>SUMIF('노임(2015)'!$B$4:$B$87,B1675,'노임(2015)'!$C$4:$C$87)+SUMIF('노임(2015)'!$E$4:$E$87,B1675,'노임(2015)'!$F$4:$F$87)</f>
        <v>89566</v>
      </c>
      <c r="J1675" s="470">
        <f>TRUNC(I1675*E1675,0)</f>
        <v>532</v>
      </c>
      <c r="K1675" s="470"/>
      <c r="L1675" s="470">
        <f>TRUNC(K1675*E1675,0)</f>
        <v>0</v>
      </c>
      <c r="M1675" s="470">
        <f t="shared" si="387"/>
        <v>89566</v>
      </c>
      <c r="N1675" s="470">
        <f t="shared" si="387"/>
        <v>532</v>
      </c>
      <c r="O1675" s="457"/>
      <c r="P1675" s="767"/>
    </row>
    <row r="1676" spans="2:17" ht="15.2" customHeight="1">
      <c r="B1676" s="766" t="s">
        <v>855</v>
      </c>
      <c r="C1676" s="766"/>
      <c r="D1676" s="84"/>
      <c r="E1676" s="87"/>
      <c r="F1676" s="86"/>
      <c r="G1676" s="470"/>
      <c r="H1676" s="470">
        <f>SUM(H1672:H1675)</f>
        <v>12676</v>
      </c>
      <c r="I1676" s="470"/>
      <c r="J1676" s="470">
        <f>SUM(J1672:J1675)</f>
        <v>1930</v>
      </c>
      <c r="K1676" s="470"/>
      <c r="L1676" s="470">
        <f>SUM(L1672:L1675)</f>
        <v>303</v>
      </c>
      <c r="M1676" s="470"/>
      <c r="N1676" s="470">
        <f>SUM(N1672:N1675)</f>
        <v>14909</v>
      </c>
      <c r="O1676" s="457"/>
      <c r="P1676" s="767"/>
      <c r="Q1676" s="80" t="s">
        <v>1164</v>
      </c>
    </row>
    <row r="1677" spans="2:17" ht="15.2" customHeight="1">
      <c r="B1677" s="96">
        <f>P1677</f>
        <v>312</v>
      </c>
      <c r="C1677" s="770" t="s">
        <v>3757</v>
      </c>
      <c r="D1677" s="770"/>
      <c r="E1677" s="770"/>
      <c r="F1677" s="771"/>
      <c r="G1677" s="470"/>
      <c r="H1677" s="470"/>
      <c r="I1677" s="470"/>
      <c r="J1677" s="470"/>
      <c r="K1677" s="470"/>
      <c r="L1677" s="470"/>
      <c r="M1677" s="470"/>
      <c r="N1677" s="470"/>
      <c r="O1677" s="457"/>
      <c r="P1677" s="767">
        <f>MAX($P$5:P1676)+1</f>
        <v>312</v>
      </c>
      <c r="Q1677" s="80" t="s">
        <v>3243</v>
      </c>
    </row>
    <row r="1678" spans="2:17" ht="15.2" customHeight="1">
      <c r="B1678" s="766" t="s">
        <v>3753</v>
      </c>
      <c r="C1678" s="766"/>
      <c r="D1678" s="84" t="s">
        <v>140</v>
      </c>
      <c r="E1678" s="97">
        <v>0.58899999999999997</v>
      </c>
      <c r="F1678" s="608" t="s">
        <v>1168</v>
      </c>
      <c r="G1678" s="470">
        <f>사급자재!$M$15</f>
        <v>23000</v>
      </c>
      <c r="H1678" s="470">
        <f>TRUNC(E1678*G1678,0)</f>
        <v>13547</v>
      </c>
      <c r="I1678" s="470"/>
      <c r="J1678" s="470">
        <f>TRUNC(I1678*E1678,0)</f>
        <v>0</v>
      </c>
      <c r="K1678" s="470"/>
      <c r="L1678" s="470">
        <f>TRUNC(K1678*E1678,0)</f>
        <v>0</v>
      </c>
      <c r="M1678" s="470">
        <f t="shared" ref="M1678:N1681" si="388">G1678+I1678+K1678</f>
        <v>23000</v>
      </c>
      <c r="N1678" s="470">
        <f t="shared" si="388"/>
        <v>13547</v>
      </c>
      <c r="O1678" s="457"/>
      <c r="P1678" s="767"/>
    </row>
    <row r="1679" spans="2:17" ht="15.2" customHeight="1">
      <c r="B1679" s="766" t="s">
        <v>1034</v>
      </c>
      <c r="C1679" s="766"/>
      <c r="D1679" s="84" t="s">
        <v>156</v>
      </c>
      <c r="E1679" s="97">
        <f>0.86/10*0.34</f>
        <v>2.9239999999999999E-2</v>
      </c>
      <c r="F1679" s="608" t="s">
        <v>453</v>
      </c>
      <c r="G1679" s="470">
        <f>중기사용료!$M$701</f>
        <v>2771</v>
      </c>
      <c r="H1679" s="470">
        <f>TRUNC(E1679*G1679,0)</f>
        <v>81</v>
      </c>
      <c r="I1679" s="470">
        <f>중기사용료!$M$695</f>
        <v>27168</v>
      </c>
      <c r="J1679" s="470">
        <f>TRUNC(I1679*E1679,0)</f>
        <v>794</v>
      </c>
      <c r="K1679" s="470">
        <f>중기사용료!$M$689</f>
        <v>1563</v>
      </c>
      <c r="L1679" s="470">
        <f>TRUNC(K1679*E1679,0)</f>
        <v>45</v>
      </c>
      <c r="M1679" s="470">
        <f t="shared" si="388"/>
        <v>31502</v>
      </c>
      <c r="N1679" s="470">
        <f t="shared" si="388"/>
        <v>920</v>
      </c>
      <c r="O1679" s="460">
        <f>중기사용료!$A$686</f>
        <v>37</v>
      </c>
      <c r="P1679" s="767"/>
    </row>
    <row r="1680" spans="2:17" ht="15.2" customHeight="1">
      <c r="B1680" s="766" t="s">
        <v>89</v>
      </c>
      <c r="C1680" s="766"/>
      <c r="D1680" s="84" t="s">
        <v>1016</v>
      </c>
      <c r="E1680" s="97">
        <f>0.7/10*0.34</f>
        <v>2.3799999999999998E-2</v>
      </c>
      <c r="F1680" s="608" t="s">
        <v>453</v>
      </c>
      <c r="G1680" s="470">
        <f>중기사용료!$M$93</f>
        <v>6745</v>
      </c>
      <c r="H1680" s="470">
        <f>TRUNC(E1680*G1680,0)</f>
        <v>160</v>
      </c>
      <c r="I1680" s="470">
        <f>중기사용료!$M$87</f>
        <v>27168</v>
      </c>
      <c r="J1680" s="470">
        <f>TRUNC(I1680*E1680,0)</f>
        <v>646</v>
      </c>
      <c r="K1680" s="470">
        <f>중기사용료!$M$81</f>
        <v>11251</v>
      </c>
      <c r="L1680" s="470">
        <f>TRUNC(K1680*E1680,0)</f>
        <v>267</v>
      </c>
      <c r="M1680" s="470">
        <f t="shared" si="388"/>
        <v>45164</v>
      </c>
      <c r="N1680" s="470">
        <f t="shared" si="388"/>
        <v>1073</v>
      </c>
      <c r="O1680" s="460">
        <f>중기사용료!$A$78</f>
        <v>5</v>
      </c>
      <c r="P1680" s="767"/>
    </row>
    <row r="1681" spans="2:17" ht="15.2" customHeight="1">
      <c r="B1681" s="766" t="s">
        <v>1162</v>
      </c>
      <c r="C1681" s="766"/>
      <c r="D1681" s="84"/>
      <c r="E1681" s="97">
        <f>0.18/10*0.34</f>
        <v>6.1199999999999996E-3</v>
      </c>
      <c r="F1681" s="608" t="s">
        <v>1163</v>
      </c>
      <c r="G1681" s="470"/>
      <c r="H1681" s="470">
        <f>TRUNC(E1681*G1681,0)</f>
        <v>0</v>
      </c>
      <c r="I1681" s="470">
        <f>SUMIF('노임(2015)'!$B$4:$B$87,B1681,'노임(2015)'!$C$4:$C$87)+SUMIF('노임(2015)'!$E$4:$E$87,B1681,'노임(2015)'!$F$4:$F$87)</f>
        <v>89566</v>
      </c>
      <c r="J1681" s="470">
        <f>TRUNC(I1681*E1681,0)</f>
        <v>548</v>
      </c>
      <c r="K1681" s="470"/>
      <c r="L1681" s="470">
        <f>TRUNC(K1681*E1681,0)</f>
        <v>0</v>
      </c>
      <c r="M1681" s="470">
        <f t="shared" si="388"/>
        <v>89566</v>
      </c>
      <c r="N1681" s="470">
        <f t="shared" si="388"/>
        <v>548</v>
      </c>
      <c r="O1681" s="457"/>
      <c r="P1681" s="767"/>
    </row>
    <row r="1682" spans="2:17" ht="15.2" customHeight="1">
      <c r="B1682" s="766" t="s">
        <v>855</v>
      </c>
      <c r="C1682" s="766"/>
      <c r="D1682" s="84"/>
      <c r="E1682" s="87"/>
      <c r="F1682" s="86"/>
      <c r="G1682" s="470"/>
      <c r="H1682" s="470">
        <f>SUM(H1678:H1681)</f>
        <v>13788</v>
      </c>
      <c r="I1682" s="470"/>
      <c r="J1682" s="470">
        <f>SUM(J1678:J1681)</f>
        <v>1988</v>
      </c>
      <c r="K1682" s="470"/>
      <c r="L1682" s="470">
        <f>SUM(L1678:L1681)</f>
        <v>312</v>
      </c>
      <c r="M1682" s="470"/>
      <c r="N1682" s="470">
        <f>SUM(N1678:N1681)</f>
        <v>16088</v>
      </c>
      <c r="O1682" s="457"/>
      <c r="P1682" s="767"/>
      <c r="Q1682" s="80" t="s">
        <v>1164</v>
      </c>
    </row>
    <row r="1683" spans="2:17" ht="15.2" customHeight="1">
      <c r="B1683" s="96">
        <f>P1683</f>
        <v>313</v>
      </c>
      <c r="C1683" s="770" t="s">
        <v>1989</v>
      </c>
      <c r="D1683" s="770"/>
      <c r="E1683" s="770"/>
      <c r="F1683" s="771"/>
      <c r="G1683" s="470"/>
      <c r="H1683" s="470"/>
      <c r="I1683" s="470"/>
      <c r="J1683" s="470"/>
      <c r="K1683" s="470"/>
      <c r="L1683" s="470"/>
      <c r="M1683" s="470"/>
      <c r="N1683" s="470"/>
      <c r="O1683" s="457"/>
      <c r="P1683" s="767">
        <f>MAX($P$5:P1682)+1</f>
        <v>313</v>
      </c>
      <c r="Q1683" s="80" t="s">
        <v>3243</v>
      </c>
    </row>
    <row r="1684" spans="2:17" ht="15.2" customHeight="1">
      <c r="B1684" s="766" t="s">
        <v>3753</v>
      </c>
      <c r="C1684" s="766"/>
      <c r="D1684" s="84" t="s">
        <v>140</v>
      </c>
      <c r="E1684" s="97">
        <v>0.86099999999999999</v>
      </c>
      <c r="F1684" s="608" t="s">
        <v>1168</v>
      </c>
      <c r="G1684" s="470">
        <f>사급자재!$M$15</f>
        <v>23000</v>
      </c>
      <c r="H1684" s="470">
        <f>TRUNC(E1684*G1684,0)</f>
        <v>19803</v>
      </c>
      <c r="I1684" s="470"/>
      <c r="J1684" s="470">
        <f>TRUNC(I1684*E1684,0)</f>
        <v>0</v>
      </c>
      <c r="K1684" s="470"/>
      <c r="L1684" s="470">
        <f>TRUNC(K1684*E1684,0)</f>
        <v>0</v>
      </c>
      <c r="M1684" s="470">
        <f t="shared" ref="M1684:N1687" si="389">G1684+I1684+K1684</f>
        <v>23000</v>
      </c>
      <c r="N1684" s="470">
        <f t="shared" si="389"/>
        <v>19803</v>
      </c>
      <c r="O1684" s="457"/>
      <c r="P1684" s="767"/>
    </row>
    <row r="1685" spans="2:17" ht="15.2" customHeight="1">
      <c r="B1685" s="766" t="s">
        <v>1034</v>
      </c>
      <c r="C1685" s="766"/>
      <c r="D1685" s="84" t="s">
        <v>156</v>
      </c>
      <c r="E1685" s="97">
        <f>0.86/10*0.55</f>
        <v>4.7300000000000002E-2</v>
      </c>
      <c r="F1685" s="608" t="s">
        <v>453</v>
      </c>
      <c r="G1685" s="470">
        <f>중기사용료!$M$701</f>
        <v>2771</v>
      </c>
      <c r="H1685" s="470">
        <f>TRUNC(E1685*G1685,0)</f>
        <v>131</v>
      </c>
      <c r="I1685" s="470">
        <f>중기사용료!$M$695</f>
        <v>27168</v>
      </c>
      <c r="J1685" s="470">
        <f>TRUNC(I1685*E1685,0)</f>
        <v>1285</v>
      </c>
      <c r="K1685" s="470">
        <f>중기사용료!$M$689</f>
        <v>1563</v>
      </c>
      <c r="L1685" s="470">
        <f>TRUNC(K1685*E1685,0)</f>
        <v>73</v>
      </c>
      <c r="M1685" s="470">
        <f t="shared" si="389"/>
        <v>31502</v>
      </c>
      <c r="N1685" s="470">
        <f t="shared" si="389"/>
        <v>1489</v>
      </c>
      <c r="O1685" s="460">
        <f>중기사용료!$A$686</f>
        <v>37</v>
      </c>
      <c r="P1685" s="767"/>
    </row>
    <row r="1686" spans="2:17" ht="15.2" customHeight="1">
      <c r="B1686" s="766" t="s">
        <v>89</v>
      </c>
      <c r="C1686" s="766"/>
      <c r="D1686" s="84" t="s">
        <v>1016</v>
      </c>
      <c r="E1686" s="97">
        <f>0.7/10*0.55</f>
        <v>3.85E-2</v>
      </c>
      <c r="F1686" s="608" t="s">
        <v>453</v>
      </c>
      <c r="G1686" s="470">
        <f>중기사용료!$M$93</f>
        <v>6745</v>
      </c>
      <c r="H1686" s="470">
        <f>TRUNC(E1686*G1686,0)</f>
        <v>259</v>
      </c>
      <c r="I1686" s="470">
        <f>중기사용료!$M$87</f>
        <v>27168</v>
      </c>
      <c r="J1686" s="470">
        <f>TRUNC(I1686*E1686,0)</f>
        <v>1045</v>
      </c>
      <c r="K1686" s="470">
        <f>중기사용료!$M$81</f>
        <v>11251</v>
      </c>
      <c r="L1686" s="470">
        <f>TRUNC(K1686*E1686,0)</f>
        <v>433</v>
      </c>
      <c r="M1686" s="470">
        <f t="shared" si="389"/>
        <v>45164</v>
      </c>
      <c r="N1686" s="470">
        <f t="shared" si="389"/>
        <v>1737</v>
      </c>
      <c r="O1686" s="460">
        <f>중기사용료!$A$78</f>
        <v>5</v>
      </c>
      <c r="P1686" s="767"/>
    </row>
    <row r="1687" spans="2:17" ht="15.2" customHeight="1">
      <c r="B1687" s="766" t="s">
        <v>1162</v>
      </c>
      <c r="C1687" s="766"/>
      <c r="D1687" s="84"/>
      <c r="E1687" s="97">
        <f>0.18/10*0.55</f>
        <v>9.9000000000000008E-3</v>
      </c>
      <c r="F1687" s="608" t="s">
        <v>1163</v>
      </c>
      <c r="G1687" s="470"/>
      <c r="H1687" s="470">
        <f>TRUNC(E1687*G1687,0)</f>
        <v>0</v>
      </c>
      <c r="I1687" s="470">
        <f>SUMIF('노임(2015)'!$B$4:$B$87,B1687,'노임(2015)'!$C$4:$C$87)+SUMIF('노임(2015)'!$E$4:$E$87,B1687,'노임(2015)'!$F$4:$F$87)</f>
        <v>89566</v>
      </c>
      <c r="J1687" s="470">
        <f>TRUNC(I1687*E1687,0)</f>
        <v>886</v>
      </c>
      <c r="K1687" s="470"/>
      <c r="L1687" s="470">
        <f>TRUNC(K1687*E1687,0)</f>
        <v>0</v>
      </c>
      <c r="M1687" s="470">
        <f t="shared" si="389"/>
        <v>89566</v>
      </c>
      <c r="N1687" s="470">
        <f t="shared" si="389"/>
        <v>886</v>
      </c>
      <c r="O1687" s="457"/>
      <c r="P1687" s="767"/>
    </row>
    <row r="1688" spans="2:17" ht="15.2" customHeight="1">
      <c r="B1688" s="766" t="s">
        <v>855</v>
      </c>
      <c r="C1688" s="766"/>
      <c r="D1688" s="84"/>
      <c r="E1688" s="87"/>
      <c r="F1688" s="86"/>
      <c r="G1688" s="470"/>
      <c r="H1688" s="470">
        <f>SUM(H1684:H1687)</f>
        <v>20193</v>
      </c>
      <c r="I1688" s="470"/>
      <c r="J1688" s="470">
        <f>SUM(J1684:J1687)</f>
        <v>3216</v>
      </c>
      <c r="K1688" s="470"/>
      <c r="L1688" s="470">
        <f>SUM(L1684:L1687)</f>
        <v>506</v>
      </c>
      <c r="M1688" s="470"/>
      <c r="N1688" s="470">
        <f>SUM(N1684:N1687)</f>
        <v>23915</v>
      </c>
      <c r="O1688" s="457"/>
      <c r="P1688" s="767"/>
      <c r="Q1688" s="80" t="s">
        <v>1164</v>
      </c>
    </row>
    <row r="1689" spans="2:17" ht="15.2" customHeight="1">
      <c r="B1689" s="96">
        <f>P1689</f>
        <v>314</v>
      </c>
      <c r="C1689" s="770" t="s">
        <v>1990</v>
      </c>
      <c r="D1689" s="770"/>
      <c r="E1689" s="770"/>
      <c r="F1689" s="771"/>
      <c r="G1689" s="470"/>
      <c r="H1689" s="470"/>
      <c r="I1689" s="470"/>
      <c r="J1689" s="470"/>
      <c r="K1689" s="470"/>
      <c r="L1689" s="470"/>
      <c r="M1689" s="470"/>
      <c r="N1689" s="470"/>
      <c r="O1689" s="457"/>
      <c r="P1689" s="767">
        <f>MAX($P$5:P1688)+1</f>
        <v>314</v>
      </c>
      <c r="Q1689" s="80" t="s">
        <v>3243</v>
      </c>
    </row>
    <row r="1690" spans="2:17" ht="15.2" customHeight="1">
      <c r="B1690" s="766" t="s">
        <v>3753</v>
      </c>
      <c r="C1690" s="766"/>
      <c r="D1690" s="84" t="s">
        <v>140</v>
      </c>
      <c r="E1690" s="97">
        <v>1.1419999999999999</v>
      </c>
      <c r="F1690" s="608" t="s">
        <v>1168</v>
      </c>
      <c r="G1690" s="470">
        <f>사급자재!$M$15</f>
        <v>23000</v>
      </c>
      <c r="H1690" s="470">
        <f>TRUNC(E1690*G1690,0)</f>
        <v>26266</v>
      </c>
      <c r="I1690" s="470"/>
      <c r="J1690" s="470">
        <f>TRUNC(I1690*E1690,0)</f>
        <v>0</v>
      </c>
      <c r="K1690" s="470"/>
      <c r="L1690" s="470">
        <f>TRUNC(K1690*E1690,0)</f>
        <v>0</v>
      </c>
      <c r="M1690" s="470">
        <f t="shared" ref="M1690:N1693" si="390">G1690+I1690+K1690</f>
        <v>23000</v>
      </c>
      <c r="N1690" s="470">
        <f t="shared" si="390"/>
        <v>26266</v>
      </c>
      <c r="O1690" s="457"/>
      <c r="P1690" s="767"/>
    </row>
    <row r="1691" spans="2:17" ht="15.2" customHeight="1">
      <c r="B1691" s="766" t="s">
        <v>1034</v>
      </c>
      <c r="C1691" s="766"/>
      <c r="D1691" s="84" t="s">
        <v>156</v>
      </c>
      <c r="E1691" s="97">
        <v>6.3200000000000006E-2</v>
      </c>
      <c r="F1691" s="608" t="s">
        <v>453</v>
      </c>
      <c r="G1691" s="470">
        <f>중기사용료!$M$701</f>
        <v>2771</v>
      </c>
      <c r="H1691" s="470">
        <f>TRUNC(E1691*G1691,0)</f>
        <v>175</v>
      </c>
      <c r="I1691" s="470">
        <f>중기사용료!$M$695</f>
        <v>27168</v>
      </c>
      <c r="J1691" s="470">
        <f>TRUNC(I1691*E1691,0)</f>
        <v>1717</v>
      </c>
      <c r="K1691" s="470">
        <f>중기사용료!$M$689</f>
        <v>1563</v>
      </c>
      <c r="L1691" s="470">
        <f>TRUNC(K1691*E1691,0)</f>
        <v>98</v>
      </c>
      <c r="M1691" s="470">
        <f t="shared" si="390"/>
        <v>31502</v>
      </c>
      <c r="N1691" s="470">
        <f t="shared" si="390"/>
        <v>1990</v>
      </c>
      <c r="O1691" s="460">
        <f>중기사용료!$A$686</f>
        <v>37</v>
      </c>
      <c r="P1691" s="767"/>
    </row>
    <row r="1692" spans="2:17" ht="15.2" customHeight="1">
      <c r="B1692" s="766" t="s">
        <v>89</v>
      </c>
      <c r="C1692" s="766"/>
      <c r="D1692" s="84" t="s">
        <v>1016</v>
      </c>
      <c r="E1692" s="97">
        <f>0.7/10*0.735</f>
        <v>5.1449999999999996E-2</v>
      </c>
      <c r="F1692" s="608" t="s">
        <v>453</v>
      </c>
      <c r="G1692" s="470">
        <f>중기사용료!$M$93</f>
        <v>6745</v>
      </c>
      <c r="H1692" s="470">
        <f>TRUNC(E1692*G1692,0)</f>
        <v>347</v>
      </c>
      <c r="I1692" s="470">
        <f>중기사용료!$M$87</f>
        <v>27168</v>
      </c>
      <c r="J1692" s="470">
        <f>TRUNC(I1692*E1692,0)</f>
        <v>1397</v>
      </c>
      <c r="K1692" s="470">
        <f>중기사용료!$M$81</f>
        <v>11251</v>
      </c>
      <c r="L1692" s="470">
        <f>TRUNC(K1692*E1692,0)</f>
        <v>578</v>
      </c>
      <c r="M1692" s="470">
        <f t="shared" si="390"/>
        <v>45164</v>
      </c>
      <c r="N1692" s="470">
        <f t="shared" si="390"/>
        <v>2322</v>
      </c>
      <c r="O1692" s="460">
        <f>중기사용료!$A$78</f>
        <v>5</v>
      </c>
      <c r="P1692" s="767"/>
    </row>
    <row r="1693" spans="2:17" ht="15.2" customHeight="1">
      <c r="B1693" s="766" t="s">
        <v>1162</v>
      </c>
      <c r="C1693" s="766"/>
      <c r="D1693" s="84"/>
      <c r="E1693" s="97">
        <f>0.18/10*0.735</f>
        <v>1.3229999999999999E-2</v>
      </c>
      <c r="F1693" s="608" t="s">
        <v>1163</v>
      </c>
      <c r="G1693" s="470"/>
      <c r="H1693" s="470">
        <f>TRUNC(E1693*G1693,0)</f>
        <v>0</v>
      </c>
      <c r="I1693" s="470">
        <f>SUMIF('노임(2015)'!$B$4:$B$87,B1693,'노임(2015)'!$C$4:$C$87)+SUMIF('노임(2015)'!$E$4:$E$87,B1693,'노임(2015)'!$F$4:$F$87)</f>
        <v>89566</v>
      </c>
      <c r="J1693" s="470">
        <f>TRUNC(I1693*E1693,0)</f>
        <v>1184</v>
      </c>
      <c r="K1693" s="470"/>
      <c r="L1693" s="470">
        <f>TRUNC(K1693*E1693,0)</f>
        <v>0</v>
      </c>
      <c r="M1693" s="470">
        <f t="shared" si="390"/>
        <v>89566</v>
      </c>
      <c r="N1693" s="470">
        <f t="shared" si="390"/>
        <v>1184</v>
      </c>
      <c r="O1693" s="457"/>
      <c r="P1693" s="767"/>
    </row>
    <row r="1694" spans="2:17" ht="15.2" customHeight="1">
      <c r="B1694" s="766" t="s">
        <v>855</v>
      </c>
      <c r="C1694" s="766"/>
      <c r="D1694" s="84"/>
      <c r="E1694" s="97"/>
      <c r="F1694" s="86"/>
      <c r="G1694" s="470"/>
      <c r="H1694" s="470">
        <f>SUM(H1690:H1693)</f>
        <v>26788</v>
      </c>
      <c r="I1694" s="470"/>
      <c r="J1694" s="470">
        <f>SUM(J1690:J1693)</f>
        <v>4298</v>
      </c>
      <c r="K1694" s="470"/>
      <c r="L1694" s="470">
        <f>SUM(L1690:L1693)</f>
        <v>676</v>
      </c>
      <c r="M1694" s="470"/>
      <c r="N1694" s="470">
        <f>SUM(N1690:N1693)</f>
        <v>31762</v>
      </c>
      <c r="O1694" s="457"/>
      <c r="P1694" s="767"/>
      <c r="Q1694" s="80" t="s">
        <v>1164</v>
      </c>
    </row>
    <row r="1695" spans="2:17" ht="15.2" customHeight="1">
      <c r="B1695" s="96">
        <f>P1695</f>
        <v>315</v>
      </c>
      <c r="C1695" s="770" t="s">
        <v>1991</v>
      </c>
      <c r="D1695" s="770"/>
      <c r="E1695" s="770"/>
      <c r="F1695" s="771"/>
      <c r="G1695" s="470"/>
      <c r="H1695" s="470"/>
      <c r="I1695" s="470"/>
      <c r="J1695" s="470"/>
      <c r="K1695" s="470"/>
      <c r="L1695" s="470"/>
      <c r="M1695" s="470"/>
      <c r="N1695" s="470"/>
      <c r="O1695" s="457"/>
      <c r="P1695" s="767">
        <f>MAX($P$5:P1694)+1</f>
        <v>315</v>
      </c>
      <c r="Q1695" s="80" t="s">
        <v>3243</v>
      </c>
    </row>
    <row r="1696" spans="2:17" ht="15.2" customHeight="1">
      <c r="B1696" s="766" t="s">
        <v>88</v>
      </c>
      <c r="C1696" s="766"/>
      <c r="D1696" s="84" t="s">
        <v>1301</v>
      </c>
      <c r="E1696" s="88">
        <v>0.14000000000000001</v>
      </c>
      <c r="F1696" s="86" t="s">
        <v>453</v>
      </c>
      <c r="G1696" s="470">
        <f>중기사용료!$M$1575</f>
        <v>0</v>
      </c>
      <c r="H1696" s="470">
        <f t="shared" ref="H1696:H1702" si="391">TRUNC(E1696*G1696,0)</f>
        <v>0</v>
      </c>
      <c r="I1696" s="470">
        <f>중기사용료!$M$1569</f>
        <v>0</v>
      </c>
      <c r="J1696" s="470">
        <f t="shared" ref="J1696:J1702" si="392">TRUNC(I1696*E1696,0)</f>
        <v>0</v>
      </c>
      <c r="K1696" s="470">
        <f>중기사용료!$M$1563</f>
        <v>243</v>
      </c>
      <c r="L1696" s="470">
        <f t="shared" ref="L1696:L1702" si="393">TRUNC(K1696*E1696,0)</f>
        <v>34</v>
      </c>
      <c r="M1696" s="470">
        <f t="shared" ref="M1696:M1702" si="394">G1696+I1696+K1696</f>
        <v>243</v>
      </c>
      <c r="N1696" s="470">
        <f t="shared" ref="N1696:N1702" si="395">H1696+J1696+L1696</f>
        <v>34</v>
      </c>
      <c r="O1696" s="460">
        <f>중기사용료!$A$1560</f>
        <v>83</v>
      </c>
      <c r="P1696" s="767"/>
    </row>
    <row r="1697" spans="2:17" ht="15.2" customHeight="1">
      <c r="B1697" s="766" t="s">
        <v>910</v>
      </c>
      <c r="C1697" s="766"/>
      <c r="D1697" s="84" t="s">
        <v>911</v>
      </c>
      <c r="E1697" s="95">
        <v>3.3300000000000001E-3</v>
      </c>
      <c r="F1697" s="86" t="s">
        <v>969</v>
      </c>
      <c r="G1697" s="470">
        <f>사급자재!$M$95</f>
        <v>172000</v>
      </c>
      <c r="H1697" s="470">
        <f>TRUNC(E1697*G1697,0)</f>
        <v>572</v>
      </c>
      <c r="I1697" s="470">
        <f>중기사용료!$M$1569</f>
        <v>0</v>
      </c>
      <c r="J1697" s="470">
        <f>TRUNC(I1697*E1697,0)</f>
        <v>0</v>
      </c>
      <c r="K1697" s="470"/>
      <c r="L1697" s="470">
        <f>TRUNC(K1697*E1697,0)</f>
        <v>0</v>
      </c>
      <c r="M1697" s="470">
        <f>G1697+I1697+K1697</f>
        <v>172000</v>
      </c>
      <c r="N1697" s="470">
        <f>H1697+J1697+L1697</f>
        <v>572</v>
      </c>
      <c r="O1697" s="464"/>
      <c r="P1697" s="767"/>
    </row>
    <row r="1698" spans="2:17" ht="15.2" customHeight="1">
      <c r="B1698" s="766" t="s">
        <v>3219</v>
      </c>
      <c r="C1698" s="766"/>
      <c r="D1698" s="84" t="s">
        <v>3218</v>
      </c>
      <c r="E1698" s="87">
        <v>0.05</v>
      </c>
      <c r="F1698" s="86" t="s">
        <v>933</v>
      </c>
      <c r="G1698" s="470">
        <f>SUM(J1699:J1701)</f>
        <v>8419</v>
      </c>
      <c r="H1698" s="470">
        <f t="shared" si="391"/>
        <v>420</v>
      </c>
      <c r="I1698" s="470"/>
      <c r="J1698" s="470">
        <f t="shared" si="392"/>
        <v>0</v>
      </c>
      <c r="K1698" s="470"/>
      <c r="L1698" s="470">
        <f t="shared" si="393"/>
        <v>0</v>
      </c>
      <c r="M1698" s="470">
        <f t="shared" si="394"/>
        <v>8419</v>
      </c>
      <c r="N1698" s="470">
        <f t="shared" si="395"/>
        <v>420</v>
      </c>
      <c r="O1698" s="457"/>
      <c r="P1698" s="767"/>
    </row>
    <row r="1699" spans="2:17" ht="15.2" customHeight="1">
      <c r="B1699" s="766" t="s">
        <v>3187</v>
      </c>
      <c r="C1699" s="766"/>
      <c r="D1699" s="84"/>
      <c r="E1699" s="88">
        <v>2.1000000000000001E-2</v>
      </c>
      <c r="F1699" s="86" t="s">
        <v>1163</v>
      </c>
      <c r="G1699" s="470"/>
      <c r="H1699" s="470">
        <f t="shared" si="391"/>
        <v>0</v>
      </c>
      <c r="I1699" s="470">
        <f>SUMIF('노임(2015)'!$B$4:$B$87,B1699,'노임(2015)'!$C$4:$C$87)+SUMIF('노임(2015)'!$E$4:$E$87,B1699,'노임(2015)'!$F$4:$F$87)</f>
        <v>90909</v>
      </c>
      <c r="J1699" s="470">
        <f t="shared" si="392"/>
        <v>1909</v>
      </c>
      <c r="K1699" s="470"/>
      <c r="L1699" s="470">
        <f t="shared" si="393"/>
        <v>0</v>
      </c>
      <c r="M1699" s="470">
        <f t="shared" si="394"/>
        <v>90909</v>
      </c>
      <c r="N1699" s="470">
        <f t="shared" si="395"/>
        <v>1909</v>
      </c>
      <c r="O1699" s="457"/>
      <c r="P1699" s="767"/>
    </row>
    <row r="1700" spans="2:17" ht="15.2" customHeight="1">
      <c r="B1700" s="766" t="s">
        <v>1165</v>
      </c>
      <c r="C1700" s="766"/>
      <c r="D1700" s="84"/>
      <c r="E1700" s="88">
        <v>2.3E-2</v>
      </c>
      <c r="F1700" s="86" t="s">
        <v>1163</v>
      </c>
      <c r="G1700" s="470"/>
      <c r="H1700" s="470">
        <f t="shared" si="391"/>
        <v>0</v>
      </c>
      <c r="I1700" s="470">
        <f>SUMIF('노임(2015)'!$B$4:$B$87,B1700,'노임(2015)'!$C$4:$C$87)+SUMIF('노임(2015)'!$E$4:$E$87,B1700,'노임(2015)'!$F$4:$F$87)</f>
        <v>111771</v>
      </c>
      <c r="J1700" s="470">
        <f t="shared" si="392"/>
        <v>2570</v>
      </c>
      <c r="K1700" s="470"/>
      <c r="L1700" s="470">
        <f t="shared" si="393"/>
        <v>0</v>
      </c>
      <c r="M1700" s="470">
        <f>G1700+I1700+K1700</f>
        <v>111771</v>
      </c>
      <c r="N1700" s="470">
        <f>H1700+J1700+L1700</f>
        <v>2570</v>
      </c>
      <c r="O1700" s="457"/>
      <c r="P1700" s="767"/>
    </row>
    <row r="1701" spans="2:17" ht="15.2" customHeight="1">
      <c r="B1701" s="766" t="s">
        <v>1162</v>
      </c>
      <c r="C1701" s="766"/>
      <c r="D1701" s="84"/>
      <c r="E1701" s="88">
        <v>4.3999999999999997E-2</v>
      </c>
      <c r="F1701" s="86" t="s">
        <v>1163</v>
      </c>
      <c r="G1701" s="470"/>
      <c r="H1701" s="470">
        <f t="shared" si="391"/>
        <v>0</v>
      </c>
      <c r="I1701" s="470">
        <f>SUMIF('노임(2015)'!$B$4:$B$87,B1701,'노임(2015)'!$C$4:$C$87)+SUMIF('노임(2015)'!$E$4:$E$87,B1701,'노임(2015)'!$F$4:$F$87)</f>
        <v>89566</v>
      </c>
      <c r="J1701" s="470">
        <f t="shared" si="392"/>
        <v>3940</v>
      </c>
      <c r="K1701" s="470"/>
      <c r="L1701" s="470">
        <f t="shared" si="393"/>
        <v>0</v>
      </c>
      <c r="M1701" s="470">
        <f t="shared" si="394"/>
        <v>89566</v>
      </c>
      <c r="N1701" s="470">
        <f t="shared" si="395"/>
        <v>3940</v>
      </c>
      <c r="O1701" s="457"/>
      <c r="P1701" s="767"/>
    </row>
    <row r="1702" spans="2:17" ht="15.2" customHeight="1">
      <c r="B1702" s="766" t="s">
        <v>1984</v>
      </c>
      <c r="C1702" s="766"/>
      <c r="D1702" s="84" t="s">
        <v>1403</v>
      </c>
      <c r="E1702" s="88">
        <v>6.0000000000000001E-3</v>
      </c>
      <c r="F1702" s="86" t="s">
        <v>1168</v>
      </c>
      <c r="G1702" s="470">
        <f>$H$9</f>
        <v>98700</v>
      </c>
      <c r="H1702" s="470">
        <f t="shared" si="391"/>
        <v>592</v>
      </c>
      <c r="I1702" s="470">
        <f>$J$9</f>
        <v>59113</v>
      </c>
      <c r="J1702" s="470">
        <f t="shared" si="392"/>
        <v>354</v>
      </c>
      <c r="K1702" s="470">
        <f>$L$9</f>
        <v>17680</v>
      </c>
      <c r="L1702" s="470">
        <f t="shared" si="393"/>
        <v>106</v>
      </c>
      <c r="M1702" s="470">
        <f t="shared" si="394"/>
        <v>175493</v>
      </c>
      <c r="N1702" s="470">
        <f t="shared" si="395"/>
        <v>1052</v>
      </c>
      <c r="O1702" s="462">
        <f>$P$5</f>
        <v>1</v>
      </c>
      <c r="P1702" s="767"/>
    </row>
    <row r="1703" spans="2:17" ht="15.2" customHeight="1">
      <c r="B1703" s="766" t="s">
        <v>855</v>
      </c>
      <c r="C1703" s="766"/>
      <c r="D1703" s="84"/>
      <c r="E1703" s="87"/>
      <c r="F1703" s="86"/>
      <c r="G1703" s="470"/>
      <c r="H1703" s="470">
        <f>SUM(H1696:H1702)</f>
        <v>1584</v>
      </c>
      <c r="I1703" s="470"/>
      <c r="J1703" s="470">
        <f>SUM(J1696:J1702)</f>
        <v>8773</v>
      </c>
      <c r="K1703" s="470"/>
      <c r="L1703" s="470">
        <f>SUM(L1696:L1702)</f>
        <v>140</v>
      </c>
      <c r="M1703" s="470"/>
      <c r="N1703" s="470">
        <f>SUM(N1696:N1702)</f>
        <v>10497</v>
      </c>
      <c r="O1703" s="457"/>
      <c r="P1703" s="767"/>
      <c r="Q1703" s="80" t="s">
        <v>3244</v>
      </c>
    </row>
    <row r="1704" spans="2:17" ht="15.2" customHeight="1">
      <c r="B1704" s="96">
        <f>P1704</f>
        <v>316</v>
      </c>
      <c r="C1704" s="770" t="s">
        <v>1992</v>
      </c>
      <c r="D1704" s="770"/>
      <c r="E1704" s="770"/>
      <c r="F1704" s="771"/>
      <c r="G1704" s="470"/>
      <c r="H1704" s="470"/>
      <c r="I1704" s="470"/>
      <c r="J1704" s="470"/>
      <c r="K1704" s="470"/>
      <c r="L1704" s="470"/>
      <c r="M1704" s="470"/>
      <c r="N1704" s="470"/>
      <c r="O1704" s="457"/>
      <c r="P1704" s="767">
        <f>MAX($P$5:P1703)+1</f>
        <v>316</v>
      </c>
      <c r="Q1704" s="80" t="s">
        <v>3243</v>
      </c>
    </row>
    <row r="1705" spans="2:17" ht="15.2" customHeight="1">
      <c r="B1705" s="766" t="s">
        <v>88</v>
      </c>
      <c r="C1705" s="766"/>
      <c r="D1705" s="84" t="s">
        <v>1301</v>
      </c>
      <c r="E1705" s="88">
        <v>0.23400000000000001</v>
      </c>
      <c r="F1705" s="86" t="s">
        <v>453</v>
      </c>
      <c r="G1705" s="470">
        <f>중기사용료!$M$1575</f>
        <v>0</v>
      </c>
      <c r="H1705" s="470">
        <f t="shared" ref="H1705:H1712" si="396">TRUNC(E1705*G1705,0)</f>
        <v>0</v>
      </c>
      <c r="I1705" s="470">
        <f>중기사용료!$M$1569</f>
        <v>0</v>
      </c>
      <c r="J1705" s="470">
        <f t="shared" ref="J1705:J1712" si="397">TRUNC(I1705*E1705,0)</f>
        <v>0</v>
      </c>
      <c r="K1705" s="470">
        <f>중기사용료!$M$1563</f>
        <v>243</v>
      </c>
      <c r="L1705" s="470">
        <f t="shared" ref="L1705:L1712" si="398">TRUNC(K1705*E1705,0)</f>
        <v>56</v>
      </c>
      <c r="M1705" s="470">
        <f t="shared" ref="M1705:M1712" si="399">G1705+I1705+K1705</f>
        <v>243</v>
      </c>
      <c r="N1705" s="470">
        <f t="shared" ref="N1705:N1712" si="400">H1705+J1705+L1705</f>
        <v>56</v>
      </c>
      <c r="O1705" s="460">
        <f>중기사용료!$A$1560</f>
        <v>83</v>
      </c>
      <c r="P1705" s="767"/>
    </row>
    <row r="1706" spans="2:17" ht="15.2" customHeight="1">
      <c r="B1706" s="766" t="s">
        <v>910</v>
      </c>
      <c r="C1706" s="766"/>
      <c r="D1706" s="84" t="s">
        <v>2263</v>
      </c>
      <c r="E1706" s="95">
        <v>3.3300000000000001E-3</v>
      </c>
      <c r="F1706" s="86" t="s">
        <v>969</v>
      </c>
      <c r="G1706" s="470">
        <f>사급자재!$M$97</f>
        <v>310000</v>
      </c>
      <c r="H1706" s="470">
        <f t="shared" si="396"/>
        <v>1032</v>
      </c>
      <c r="I1706" s="470">
        <f>중기사용료!$M$1569</f>
        <v>0</v>
      </c>
      <c r="J1706" s="470">
        <f t="shared" si="397"/>
        <v>0</v>
      </c>
      <c r="K1706" s="470"/>
      <c r="L1706" s="470">
        <f t="shared" si="398"/>
        <v>0</v>
      </c>
      <c r="M1706" s="470">
        <f t="shared" si="399"/>
        <v>310000</v>
      </c>
      <c r="N1706" s="470">
        <f t="shared" si="400"/>
        <v>1032</v>
      </c>
      <c r="O1706" s="464"/>
      <c r="P1706" s="767"/>
    </row>
    <row r="1707" spans="2:17" ht="15.2" customHeight="1">
      <c r="B1707" s="766" t="s">
        <v>3219</v>
      </c>
      <c r="C1707" s="766"/>
      <c r="D1707" s="84" t="s">
        <v>3218</v>
      </c>
      <c r="E1707" s="87">
        <v>0.05</v>
      </c>
      <c r="F1707" s="86" t="s">
        <v>933</v>
      </c>
      <c r="G1707" s="470">
        <f>SUM(J1708:J1710)</f>
        <v>13966</v>
      </c>
      <c r="H1707" s="470">
        <f t="shared" si="396"/>
        <v>698</v>
      </c>
      <c r="I1707" s="470"/>
      <c r="J1707" s="470">
        <f t="shared" si="397"/>
        <v>0</v>
      </c>
      <c r="K1707" s="470"/>
      <c r="L1707" s="470">
        <f t="shared" si="398"/>
        <v>0</v>
      </c>
      <c r="M1707" s="470">
        <f t="shared" si="399"/>
        <v>13966</v>
      </c>
      <c r="N1707" s="470">
        <f t="shared" si="400"/>
        <v>698</v>
      </c>
      <c r="O1707" s="457"/>
      <c r="P1707" s="767"/>
    </row>
    <row r="1708" spans="2:17" ht="15.2" customHeight="1">
      <c r="B1708" s="766" t="s">
        <v>3187</v>
      </c>
      <c r="C1708" s="766"/>
      <c r="D1708" s="84"/>
      <c r="E1708" s="88">
        <v>3.5000000000000003E-2</v>
      </c>
      <c r="F1708" s="86" t="s">
        <v>1163</v>
      </c>
      <c r="G1708" s="470"/>
      <c r="H1708" s="470">
        <f t="shared" si="396"/>
        <v>0</v>
      </c>
      <c r="I1708" s="470">
        <f>SUMIF('노임(2015)'!$B$4:$B$87,B1708,'노임(2015)'!$C$4:$C$87)+SUMIF('노임(2015)'!$E$4:$E$87,B1708,'노임(2015)'!$F$4:$F$87)</f>
        <v>90909</v>
      </c>
      <c r="J1708" s="470">
        <f t="shared" si="397"/>
        <v>3181</v>
      </c>
      <c r="K1708" s="470"/>
      <c r="L1708" s="470">
        <f t="shared" si="398"/>
        <v>0</v>
      </c>
      <c r="M1708" s="470">
        <f t="shared" si="399"/>
        <v>90909</v>
      </c>
      <c r="N1708" s="470">
        <f t="shared" si="400"/>
        <v>3181</v>
      </c>
      <c r="O1708" s="457"/>
      <c r="P1708" s="767"/>
    </row>
    <row r="1709" spans="2:17" ht="15.2" customHeight="1">
      <c r="B1709" s="766" t="s">
        <v>1165</v>
      </c>
      <c r="C1709" s="766"/>
      <c r="D1709" s="84"/>
      <c r="E1709" s="88">
        <v>3.7999999999999999E-2</v>
      </c>
      <c r="F1709" s="86" t="s">
        <v>1163</v>
      </c>
      <c r="G1709" s="470"/>
      <c r="H1709" s="470">
        <f t="shared" si="396"/>
        <v>0</v>
      </c>
      <c r="I1709" s="470">
        <f>SUMIF('노임(2015)'!$B$4:$B$87,B1709,'노임(2015)'!$C$4:$C$87)+SUMIF('노임(2015)'!$E$4:$E$87,B1709,'노임(2015)'!$F$4:$F$87)</f>
        <v>111771</v>
      </c>
      <c r="J1709" s="470">
        <f t="shared" si="397"/>
        <v>4247</v>
      </c>
      <c r="K1709" s="470"/>
      <c r="L1709" s="470">
        <f t="shared" si="398"/>
        <v>0</v>
      </c>
      <c r="M1709" s="470">
        <f t="shared" si="399"/>
        <v>111771</v>
      </c>
      <c r="N1709" s="470">
        <f t="shared" si="400"/>
        <v>4247</v>
      </c>
      <c r="O1709" s="457"/>
      <c r="P1709" s="767"/>
    </row>
    <row r="1710" spans="2:17" ht="15.2" customHeight="1">
      <c r="B1710" s="766" t="s">
        <v>1162</v>
      </c>
      <c r="C1710" s="766"/>
      <c r="D1710" s="84"/>
      <c r="E1710" s="88">
        <v>7.2999999999999995E-2</v>
      </c>
      <c r="F1710" s="86" t="s">
        <v>1163</v>
      </c>
      <c r="G1710" s="470"/>
      <c r="H1710" s="470">
        <f t="shared" si="396"/>
        <v>0</v>
      </c>
      <c r="I1710" s="470">
        <f>SUMIF('노임(2015)'!$B$4:$B$87,B1710,'노임(2015)'!$C$4:$C$87)+SUMIF('노임(2015)'!$E$4:$E$87,B1710,'노임(2015)'!$F$4:$F$87)</f>
        <v>89566</v>
      </c>
      <c r="J1710" s="470">
        <f t="shared" si="397"/>
        <v>6538</v>
      </c>
      <c r="K1710" s="470"/>
      <c r="L1710" s="470">
        <f t="shared" si="398"/>
        <v>0</v>
      </c>
      <c r="M1710" s="470">
        <f t="shared" si="399"/>
        <v>89566</v>
      </c>
      <c r="N1710" s="470">
        <f t="shared" si="400"/>
        <v>6538</v>
      </c>
      <c r="O1710" s="457"/>
      <c r="P1710" s="767"/>
    </row>
    <row r="1711" spans="2:17" ht="15.2" customHeight="1">
      <c r="B1711" s="766" t="s">
        <v>912</v>
      </c>
      <c r="C1711" s="766"/>
      <c r="D1711" s="84" t="s">
        <v>3310</v>
      </c>
      <c r="E1711" s="448">
        <v>1</v>
      </c>
      <c r="F1711" s="86" t="s">
        <v>1357</v>
      </c>
      <c r="G1711" s="470">
        <f>$H$334</f>
        <v>90</v>
      </c>
      <c r="H1711" s="470">
        <f t="shared" si="396"/>
        <v>90</v>
      </c>
      <c r="I1711" s="470">
        <f>$J$334</f>
        <v>1804</v>
      </c>
      <c r="J1711" s="470">
        <f t="shared" si="397"/>
        <v>1804</v>
      </c>
      <c r="K1711" s="470">
        <f>$L$334</f>
        <v>65</v>
      </c>
      <c r="L1711" s="470">
        <f t="shared" si="398"/>
        <v>65</v>
      </c>
      <c r="M1711" s="470">
        <f t="shared" si="399"/>
        <v>1959</v>
      </c>
      <c r="N1711" s="470">
        <f t="shared" si="400"/>
        <v>1959</v>
      </c>
      <c r="O1711" s="462">
        <f>$P$329</f>
        <v>49</v>
      </c>
      <c r="P1711" s="767"/>
    </row>
    <row r="1712" spans="2:17" ht="15.2" customHeight="1">
      <c r="B1712" s="766" t="s">
        <v>1984</v>
      </c>
      <c r="C1712" s="766"/>
      <c r="D1712" s="84" t="s">
        <v>1403</v>
      </c>
      <c r="E1712" s="88">
        <v>1.4E-2</v>
      </c>
      <c r="F1712" s="86" t="s">
        <v>1168</v>
      </c>
      <c r="G1712" s="470">
        <f>$H$9</f>
        <v>98700</v>
      </c>
      <c r="H1712" s="470">
        <f t="shared" si="396"/>
        <v>1381</v>
      </c>
      <c r="I1712" s="470">
        <f>$J$9</f>
        <v>59113</v>
      </c>
      <c r="J1712" s="470">
        <f t="shared" si="397"/>
        <v>827</v>
      </c>
      <c r="K1712" s="470">
        <f>$L$9</f>
        <v>17680</v>
      </c>
      <c r="L1712" s="470">
        <f t="shared" si="398"/>
        <v>247</v>
      </c>
      <c r="M1712" s="470">
        <f t="shared" si="399"/>
        <v>175493</v>
      </c>
      <c r="N1712" s="470">
        <f t="shared" si="400"/>
        <v>2455</v>
      </c>
      <c r="O1712" s="462">
        <f>$P$5</f>
        <v>1</v>
      </c>
      <c r="P1712" s="767"/>
    </row>
    <row r="1713" spans="2:17" ht="15.2" customHeight="1">
      <c r="B1713" s="766" t="s">
        <v>855</v>
      </c>
      <c r="C1713" s="766"/>
      <c r="D1713" s="84"/>
      <c r="E1713" s="87"/>
      <c r="F1713" s="86"/>
      <c r="G1713" s="470"/>
      <c r="H1713" s="470">
        <f>SUM(H1705:H1712)</f>
        <v>3201</v>
      </c>
      <c r="I1713" s="470"/>
      <c r="J1713" s="470">
        <f>SUM(J1705:J1712)</f>
        <v>16597</v>
      </c>
      <c r="K1713" s="470"/>
      <c r="L1713" s="470">
        <f>SUM(L1705:L1712)</f>
        <v>368</v>
      </c>
      <c r="M1713" s="470"/>
      <c r="N1713" s="470">
        <f>SUM(N1705:N1712)</f>
        <v>20166</v>
      </c>
      <c r="O1713" s="457"/>
      <c r="P1713" s="767"/>
      <c r="Q1713" s="80" t="s">
        <v>3244</v>
      </c>
    </row>
    <row r="1714" spans="2:17" ht="15.2" customHeight="1">
      <c r="B1714" s="96">
        <f>P1714</f>
        <v>317</v>
      </c>
      <c r="C1714" s="770" t="s">
        <v>1365</v>
      </c>
      <c r="D1714" s="770"/>
      <c r="E1714" s="770"/>
      <c r="F1714" s="771"/>
      <c r="G1714" s="470"/>
      <c r="H1714" s="470"/>
      <c r="I1714" s="470"/>
      <c r="J1714" s="470"/>
      <c r="K1714" s="470"/>
      <c r="L1714" s="470"/>
      <c r="M1714" s="470"/>
      <c r="N1714" s="470"/>
      <c r="O1714" s="457"/>
      <c r="P1714" s="767">
        <f>MAX($P$5:P1713)+1</f>
        <v>317</v>
      </c>
      <c r="Q1714" s="80" t="s">
        <v>3243</v>
      </c>
    </row>
    <row r="1715" spans="2:17" ht="15.2" customHeight="1">
      <c r="B1715" s="766" t="s">
        <v>88</v>
      </c>
      <c r="C1715" s="766"/>
      <c r="D1715" s="84" t="s">
        <v>1301</v>
      </c>
      <c r="E1715" s="88">
        <v>0.185</v>
      </c>
      <c r="F1715" s="86" t="s">
        <v>453</v>
      </c>
      <c r="G1715" s="470">
        <f>중기사용료!$M$1575</f>
        <v>0</v>
      </c>
      <c r="H1715" s="470">
        <f t="shared" ref="H1715:H1721" si="401">TRUNC(E1715*G1715,0)</f>
        <v>0</v>
      </c>
      <c r="I1715" s="470">
        <f>중기사용료!$M$1569</f>
        <v>0</v>
      </c>
      <c r="J1715" s="470">
        <f t="shared" ref="J1715:J1721" si="402">TRUNC(I1715*E1715,0)</f>
        <v>0</v>
      </c>
      <c r="K1715" s="470">
        <f>중기사용료!$M$1563</f>
        <v>243</v>
      </c>
      <c r="L1715" s="470">
        <f t="shared" ref="L1715:L1721" si="403">TRUNC(K1715*E1715,0)</f>
        <v>44</v>
      </c>
      <c r="M1715" s="470">
        <f t="shared" ref="M1715:M1721" si="404">G1715+I1715+K1715</f>
        <v>243</v>
      </c>
      <c r="N1715" s="470">
        <f t="shared" ref="N1715:N1721" si="405">H1715+J1715+L1715</f>
        <v>44</v>
      </c>
      <c r="O1715" s="460">
        <f>중기사용료!$A$1560</f>
        <v>83</v>
      </c>
      <c r="P1715" s="767"/>
    </row>
    <row r="1716" spans="2:17" ht="15.2" customHeight="1">
      <c r="B1716" s="766" t="s">
        <v>910</v>
      </c>
      <c r="C1716" s="766"/>
      <c r="D1716" s="84" t="s">
        <v>911</v>
      </c>
      <c r="E1716" s="95">
        <v>3.3300000000000001E-3</v>
      </c>
      <c r="F1716" s="86" t="s">
        <v>969</v>
      </c>
      <c r="G1716" s="470">
        <f>사급자재!$M$95</f>
        <v>172000</v>
      </c>
      <c r="H1716" s="470">
        <f t="shared" si="401"/>
        <v>572</v>
      </c>
      <c r="I1716" s="470">
        <f>중기사용료!$M$1569</f>
        <v>0</v>
      </c>
      <c r="J1716" s="470">
        <f t="shared" si="402"/>
        <v>0</v>
      </c>
      <c r="K1716" s="470"/>
      <c r="L1716" s="470">
        <f t="shared" si="403"/>
        <v>0</v>
      </c>
      <c r="M1716" s="470">
        <f t="shared" si="404"/>
        <v>172000</v>
      </c>
      <c r="N1716" s="470">
        <f t="shared" si="405"/>
        <v>572</v>
      </c>
      <c r="O1716" s="464"/>
      <c r="P1716" s="767"/>
    </row>
    <row r="1717" spans="2:17" ht="15.2" customHeight="1">
      <c r="B1717" s="766" t="s">
        <v>3219</v>
      </c>
      <c r="C1717" s="766"/>
      <c r="D1717" s="84" t="s">
        <v>3218</v>
      </c>
      <c r="E1717" s="87">
        <v>0.05</v>
      </c>
      <c r="F1717" s="86" t="s">
        <v>933</v>
      </c>
      <c r="G1717" s="470">
        <f>SUM(J1718:J1720)</f>
        <v>9274</v>
      </c>
      <c r="H1717" s="470">
        <f t="shared" si="401"/>
        <v>463</v>
      </c>
      <c r="I1717" s="470"/>
      <c r="J1717" s="470">
        <f t="shared" si="402"/>
        <v>0</v>
      </c>
      <c r="K1717" s="470"/>
      <c r="L1717" s="470">
        <f t="shared" si="403"/>
        <v>0</v>
      </c>
      <c r="M1717" s="470">
        <f t="shared" si="404"/>
        <v>9274</v>
      </c>
      <c r="N1717" s="470">
        <f t="shared" si="405"/>
        <v>463</v>
      </c>
      <c r="O1717" s="457"/>
      <c r="P1717" s="767"/>
    </row>
    <row r="1718" spans="2:17" ht="15.2" customHeight="1">
      <c r="B1718" s="766" t="s">
        <v>3187</v>
      </c>
      <c r="C1718" s="766"/>
      <c r="D1718" s="84"/>
      <c r="E1718" s="88">
        <v>2.4E-2</v>
      </c>
      <c r="F1718" s="86" t="s">
        <v>1163</v>
      </c>
      <c r="G1718" s="470"/>
      <c r="H1718" s="470">
        <f t="shared" si="401"/>
        <v>0</v>
      </c>
      <c r="I1718" s="470">
        <f>SUMIF('노임(2015)'!$B$4:$B$87,B1718,'노임(2015)'!$C$4:$C$87)+SUMIF('노임(2015)'!$E$4:$E$87,B1718,'노임(2015)'!$F$4:$F$87)</f>
        <v>90909</v>
      </c>
      <c r="J1718" s="470">
        <f t="shared" si="402"/>
        <v>2181</v>
      </c>
      <c r="K1718" s="470"/>
      <c r="L1718" s="470">
        <f t="shared" si="403"/>
        <v>0</v>
      </c>
      <c r="M1718" s="470">
        <f t="shared" si="404"/>
        <v>90909</v>
      </c>
      <c r="N1718" s="470">
        <f t="shared" si="405"/>
        <v>2181</v>
      </c>
      <c r="O1718" s="457"/>
      <c r="P1718" s="767"/>
    </row>
    <row r="1719" spans="2:17" ht="15.2" customHeight="1">
      <c r="B1719" s="766" t="s">
        <v>1165</v>
      </c>
      <c r="C1719" s="766"/>
      <c r="D1719" s="84"/>
      <c r="E1719" s="88">
        <v>2.5000000000000001E-2</v>
      </c>
      <c r="F1719" s="86" t="s">
        <v>1163</v>
      </c>
      <c r="G1719" s="470"/>
      <c r="H1719" s="470">
        <f t="shared" si="401"/>
        <v>0</v>
      </c>
      <c r="I1719" s="470">
        <f>SUMIF('노임(2015)'!$B$4:$B$87,B1719,'노임(2015)'!$C$4:$C$87)+SUMIF('노임(2015)'!$E$4:$E$87,B1719,'노임(2015)'!$F$4:$F$87)</f>
        <v>111771</v>
      </c>
      <c r="J1719" s="470">
        <f t="shared" si="402"/>
        <v>2794</v>
      </c>
      <c r="K1719" s="470"/>
      <c r="L1719" s="470">
        <f t="shared" si="403"/>
        <v>0</v>
      </c>
      <c r="M1719" s="470">
        <f t="shared" si="404"/>
        <v>111771</v>
      </c>
      <c r="N1719" s="470">
        <f t="shared" si="405"/>
        <v>2794</v>
      </c>
      <c r="O1719" s="457"/>
      <c r="P1719" s="767"/>
    </row>
    <row r="1720" spans="2:17" ht="15.2" customHeight="1">
      <c r="B1720" s="766" t="s">
        <v>1162</v>
      </c>
      <c r="C1720" s="766"/>
      <c r="D1720" s="84"/>
      <c r="E1720" s="88">
        <v>4.8000000000000001E-2</v>
      </c>
      <c r="F1720" s="86" t="s">
        <v>1163</v>
      </c>
      <c r="G1720" s="470"/>
      <c r="H1720" s="470">
        <f t="shared" si="401"/>
        <v>0</v>
      </c>
      <c r="I1720" s="470">
        <f>SUMIF('노임(2015)'!$B$4:$B$87,B1720,'노임(2015)'!$C$4:$C$87)+SUMIF('노임(2015)'!$E$4:$E$87,B1720,'노임(2015)'!$F$4:$F$87)</f>
        <v>89566</v>
      </c>
      <c r="J1720" s="470">
        <f t="shared" si="402"/>
        <v>4299</v>
      </c>
      <c r="K1720" s="470"/>
      <c r="L1720" s="470">
        <f t="shared" si="403"/>
        <v>0</v>
      </c>
      <c r="M1720" s="470">
        <f t="shared" si="404"/>
        <v>89566</v>
      </c>
      <c r="N1720" s="470">
        <f t="shared" si="405"/>
        <v>4299</v>
      </c>
      <c r="O1720" s="457"/>
      <c r="P1720" s="767"/>
    </row>
    <row r="1721" spans="2:17" ht="15.2" customHeight="1">
      <c r="B1721" s="766" t="s">
        <v>1984</v>
      </c>
      <c r="C1721" s="766"/>
      <c r="D1721" s="84" t="s">
        <v>1403</v>
      </c>
      <c r="E1721" s="88">
        <v>6.0000000000000001E-3</v>
      </c>
      <c r="F1721" s="86" t="s">
        <v>1168</v>
      </c>
      <c r="G1721" s="470">
        <f>$H$9</f>
        <v>98700</v>
      </c>
      <c r="H1721" s="470">
        <f t="shared" si="401"/>
        <v>592</v>
      </c>
      <c r="I1721" s="470">
        <f>$J$9</f>
        <v>59113</v>
      </c>
      <c r="J1721" s="470">
        <f t="shared" si="402"/>
        <v>354</v>
      </c>
      <c r="K1721" s="470">
        <f>$L$9</f>
        <v>17680</v>
      </c>
      <c r="L1721" s="470">
        <f t="shared" si="403"/>
        <v>106</v>
      </c>
      <c r="M1721" s="470">
        <f t="shared" si="404"/>
        <v>175493</v>
      </c>
      <c r="N1721" s="470">
        <f t="shared" si="405"/>
        <v>1052</v>
      </c>
      <c r="O1721" s="462">
        <f>$P$5</f>
        <v>1</v>
      </c>
      <c r="P1721" s="767"/>
    </row>
    <row r="1722" spans="2:17" ht="15.2" customHeight="1">
      <c r="B1722" s="766" t="s">
        <v>855</v>
      </c>
      <c r="C1722" s="766"/>
      <c r="D1722" s="84"/>
      <c r="E1722" s="87"/>
      <c r="F1722" s="86"/>
      <c r="G1722" s="470"/>
      <c r="H1722" s="470">
        <f>SUM(H1715:H1721)</f>
        <v>1627</v>
      </c>
      <c r="I1722" s="470"/>
      <c r="J1722" s="470">
        <f>SUM(J1715:J1721)</f>
        <v>9628</v>
      </c>
      <c r="K1722" s="470"/>
      <c r="L1722" s="470">
        <f>SUM(L1715:L1721)</f>
        <v>150</v>
      </c>
      <c r="M1722" s="470"/>
      <c r="N1722" s="470">
        <f>SUM(N1715:N1721)</f>
        <v>11405</v>
      </c>
      <c r="O1722" s="457"/>
      <c r="P1722" s="767"/>
      <c r="Q1722" s="80" t="s">
        <v>3244</v>
      </c>
    </row>
    <row r="1723" spans="2:17" ht="15.2" customHeight="1">
      <c r="B1723" s="96">
        <f>P1723</f>
        <v>318</v>
      </c>
      <c r="C1723" s="770" t="s">
        <v>1366</v>
      </c>
      <c r="D1723" s="770"/>
      <c r="E1723" s="770"/>
      <c r="F1723" s="771"/>
      <c r="G1723" s="470"/>
      <c r="H1723" s="470"/>
      <c r="I1723" s="470"/>
      <c r="J1723" s="470"/>
      <c r="K1723" s="470"/>
      <c r="L1723" s="470"/>
      <c r="M1723" s="470"/>
      <c r="N1723" s="470"/>
      <c r="O1723" s="457"/>
      <c r="P1723" s="767">
        <f>MAX($P$5:P1722)+1</f>
        <v>318</v>
      </c>
      <c r="Q1723" s="80" t="s">
        <v>3243</v>
      </c>
    </row>
    <row r="1724" spans="2:17" ht="15.2" customHeight="1">
      <c r="B1724" s="766" t="s">
        <v>88</v>
      </c>
      <c r="C1724" s="766"/>
      <c r="D1724" s="84" t="s">
        <v>1301</v>
      </c>
      <c r="E1724" s="88">
        <v>0.371</v>
      </c>
      <c r="F1724" s="86" t="s">
        <v>453</v>
      </c>
      <c r="G1724" s="470">
        <f>중기사용료!$M$1575</f>
        <v>0</v>
      </c>
      <c r="H1724" s="470">
        <f t="shared" ref="H1724:H1731" si="406">TRUNC(E1724*G1724,0)</f>
        <v>0</v>
      </c>
      <c r="I1724" s="470">
        <f>중기사용료!$M$1569</f>
        <v>0</v>
      </c>
      <c r="J1724" s="470">
        <f t="shared" ref="J1724:J1731" si="407">TRUNC(I1724*E1724,0)</f>
        <v>0</v>
      </c>
      <c r="K1724" s="470">
        <f>중기사용료!$M$1563</f>
        <v>243</v>
      </c>
      <c r="L1724" s="470">
        <f t="shared" ref="L1724:L1731" si="408">TRUNC(K1724*E1724,0)</f>
        <v>90</v>
      </c>
      <c r="M1724" s="470">
        <f t="shared" ref="M1724:M1731" si="409">G1724+I1724+K1724</f>
        <v>243</v>
      </c>
      <c r="N1724" s="470">
        <f t="shared" ref="N1724:N1731" si="410">H1724+J1724+L1724</f>
        <v>90</v>
      </c>
      <c r="O1724" s="460">
        <f>중기사용료!$A$1560</f>
        <v>83</v>
      </c>
      <c r="P1724" s="767"/>
    </row>
    <row r="1725" spans="2:17" ht="15.2" customHeight="1">
      <c r="B1725" s="766" t="s">
        <v>910</v>
      </c>
      <c r="C1725" s="766"/>
      <c r="D1725" s="84" t="s">
        <v>913</v>
      </c>
      <c r="E1725" s="95">
        <v>3.3300000000000001E-3</v>
      </c>
      <c r="F1725" s="86" t="s">
        <v>969</v>
      </c>
      <c r="G1725" s="470">
        <f>사급자재!$M$98</f>
        <v>360000</v>
      </c>
      <c r="H1725" s="470">
        <f t="shared" si="406"/>
        <v>1198</v>
      </c>
      <c r="I1725" s="470">
        <f>중기사용료!$M$1569</f>
        <v>0</v>
      </c>
      <c r="J1725" s="470">
        <f t="shared" si="407"/>
        <v>0</v>
      </c>
      <c r="K1725" s="470"/>
      <c r="L1725" s="470">
        <f t="shared" si="408"/>
        <v>0</v>
      </c>
      <c r="M1725" s="470">
        <f t="shared" si="409"/>
        <v>360000</v>
      </c>
      <c r="N1725" s="470">
        <f t="shared" si="410"/>
        <v>1198</v>
      </c>
      <c r="O1725" s="464"/>
      <c r="P1725" s="767"/>
    </row>
    <row r="1726" spans="2:17" ht="15.2" customHeight="1">
      <c r="B1726" s="766" t="s">
        <v>3219</v>
      </c>
      <c r="C1726" s="766"/>
      <c r="D1726" s="84" t="s">
        <v>3218</v>
      </c>
      <c r="E1726" s="87">
        <v>0.05</v>
      </c>
      <c r="F1726" s="86" t="s">
        <v>933</v>
      </c>
      <c r="G1726" s="470">
        <f>SUM(J1727:J1729)</f>
        <v>19444</v>
      </c>
      <c r="H1726" s="470">
        <f t="shared" si="406"/>
        <v>972</v>
      </c>
      <c r="I1726" s="470"/>
      <c r="J1726" s="470">
        <f t="shared" si="407"/>
        <v>0</v>
      </c>
      <c r="K1726" s="470"/>
      <c r="L1726" s="470">
        <f t="shared" si="408"/>
        <v>0</v>
      </c>
      <c r="M1726" s="470">
        <f t="shared" si="409"/>
        <v>19444</v>
      </c>
      <c r="N1726" s="470">
        <f t="shared" si="410"/>
        <v>972</v>
      </c>
      <c r="O1726" s="457"/>
      <c r="P1726" s="767"/>
    </row>
    <row r="1727" spans="2:17" ht="15.2" customHeight="1">
      <c r="B1727" s="766" t="s">
        <v>3187</v>
      </c>
      <c r="C1727" s="766"/>
      <c r="D1727" s="84"/>
      <c r="E1727" s="88">
        <v>4.8000000000000001E-2</v>
      </c>
      <c r="F1727" s="86" t="s">
        <v>1163</v>
      </c>
      <c r="G1727" s="470"/>
      <c r="H1727" s="470">
        <f t="shared" si="406"/>
        <v>0</v>
      </c>
      <c r="I1727" s="470">
        <f>SUMIF('노임(2015)'!$B$4:$B$87,B1727,'노임(2015)'!$C$4:$C$87)+SUMIF('노임(2015)'!$E$4:$E$87,B1727,'노임(2015)'!$F$4:$F$87)</f>
        <v>90909</v>
      </c>
      <c r="J1727" s="470">
        <f t="shared" si="407"/>
        <v>4363</v>
      </c>
      <c r="K1727" s="470"/>
      <c r="L1727" s="470">
        <f t="shared" si="408"/>
        <v>0</v>
      </c>
      <c r="M1727" s="470">
        <f t="shared" si="409"/>
        <v>90909</v>
      </c>
      <c r="N1727" s="470">
        <f t="shared" si="410"/>
        <v>4363</v>
      </c>
      <c r="O1727" s="457"/>
      <c r="P1727" s="767"/>
    </row>
    <row r="1728" spans="2:17" ht="15.2" customHeight="1">
      <c r="B1728" s="766" t="s">
        <v>1165</v>
      </c>
      <c r="C1728" s="766"/>
      <c r="D1728" s="84"/>
      <c r="E1728" s="88">
        <v>5.3999999999999999E-2</v>
      </c>
      <c r="F1728" s="86" t="s">
        <v>1163</v>
      </c>
      <c r="G1728" s="470"/>
      <c r="H1728" s="470">
        <f t="shared" si="406"/>
        <v>0</v>
      </c>
      <c r="I1728" s="470">
        <f>SUMIF('노임(2015)'!$B$4:$B$87,B1728,'노임(2015)'!$C$4:$C$87)+SUMIF('노임(2015)'!$E$4:$E$87,B1728,'노임(2015)'!$F$4:$F$87)</f>
        <v>111771</v>
      </c>
      <c r="J1728" s="470">
        <f t="shared" si="407"/>
        <v>6035</v>
      </c>
      <c r="K1728" s="470"/>
      <c r="L1728" s="470">
        <f t="shared" si="408"/>
        <v>0</v>
      </c>
      <c r="M1728" s="470">
        <f t="shared" si="409"/>
        <v>111771</v>
      </c>
      <c r="N1728" s="470">
        <f t="shared" si="410"/>
        <v>6035</v>
      </c>
      <c r="O1728" s="457"/>
      <c r="P1728" s="767"/>
    </row>
    <row r="1729" spans="2:17" ht="15.2" customHeight="1">
      <c r="B1729" s="766" t="s">
        <v>1162</v>
      </c>
      <c r="C1729" s="766"/>
      <c r="D1729" s="84"/>
      <c r="E1729" s="88">
        <v>0.10100000000000001</v>
      </c>
      <c r="F1729" s="86" t="s">
        <v>1163</v>
      </c>
      <c r="G1729" s="470"/>
      <c r="H1729" s="470">
        <f t="shared" si="406"/>
        <v>0</v>
      </c>
      <c r="I1729" s="470">
        <f>SUMIF('노임(2015)'!$B$4:$B$87,B1729,'노임(2015)'!$C$4:$C$87)+SUMIF('노임(2015)'!$E$4:$E$87,B1729,'노임(2015)'!$F$4:$F$87)</f>
        <v>89566</v>
      </c>
      <c r="J1729" s="470">
        <f t="shared" si="407"/>
        <v>9046</v>
      </c>
      <c r="K1729" s="470"/>
      <c r="L1729" s="470">
        <f t="shared" si="408"/>
        <v>0</v>
      </c>
      <c r="M1729" s="470">
        <f t="shared" si="409"/>
        <v>89566</v>
      </c>
      <c r="N1729" s="470">
        <f t="shared" si="410"/>
        <v>9046</v>
      </c>
      <c r="O1729" s="457"/>
      <c r="P1729" s="767"/>
    </row>
    <row r="1730" spans="2:17" ht="15.2" customHeight="1">
      <c r="B1730" s="766" t="s">
        <v>912</v>
      </c>
      <c r="C1730" s="766"/>
      <c r="D1730" s="84" t="s">
        <v>3241</v>
      </c>
      <c r="E1730" s="448">
        <v>1</v>
      </c>
      <c r="F1730" s="86" t="s">
        <v>1357</v>
      </c>
      <c r="G1730" s="470">
        <f>$H$340</f>
        <v>135</v>
      </c>
      <c r="H1730" s="470">
        <f t="shared" si="406"/>
        <v>135</v>
      </c>
      <c r="I1730" s="470">
        <f>$J$340</f>
        <v>2713</v>
      </c>
      <c r="J1730" s="470">
        <f t="shared" si="407"/>
        <v>2713</v>
      </c>
      <c r="K1730" s="470">
        <f>$L$340</f>
        <v>122</v>
      </c>
      <c r="L1730" s="470">
        <f t="shared" si="408"/>
        <v>122</v>
      </c>
      <c r="M1730" s="470">
        <f t="shared" si="409"/>
        <v>2970</v>
      </c>
      <c r="N1730" s="470">
        <f t="shared" si="410"/>
        <v>2970</v>
      </c>
      <c r="O1730" s="462">
        <f>$P$335</f>
        <v>50</v>
      </c>
      <c r="P1730" s="767"/>
    </row>
    <row r="1731" spans="2:17" ht="15.2" customHeight="1">
      <c r="B1731" s="766" t="s">
        <v>1984</v>
      </c>
      <c r="C1731" s="766"/>
      <c r="D1731" s="84" t="s">
        <v>1403</v>
      </c>
      <c r="E1731" s="88">
        <v>1.7000000000000001E-2</v>
      </c>
      <c r="F1731" s="86" t="s">
        <v>1168</v>
      </c>
      <c r="G1731" s="470">
        <f>$H$9</f>
        <v>98700</v>
      </c>
      <c r="H1731" s="470">
        <f t="shared" si="406"/>
        <v>1677</v>
      </c>
      <c r="I1731" s="470">
        <f>$J$9</f>
        <v>59113</v>
      </c>
      <c r="J1731" s="470">
        <f t="shared" si="407"/>
        <v>1004</v>
      </c>
      <c r="K1731" s="470">
        <f>$L$9</f>
        <v>17680</v>
      </c>
      <c r="L1731" s="470">
        <f t="shared" si="408"/>
        <v>300</v>
      </c>
      <c r="M1731" s="470">
        <f t="shared" si="409"/>
        <v>175493</v>
      </c>
      <c r="N1731" s="470">
        <f t="shared" si="410"/>
        <v>2981</v>
      </c>
      <c r="O1731" s="462">
        <f>$P$5</f>
        <v>1</v>
      </c>
      <c r="P1731" s="767"/>
    </row>
    <row r="1732" spans="2:17" ht="15.2" customHeight="1">
      <c r="B1732" s="766" t="s">
        <v>855</v>
      </c>
      <c r="C1732" s="766"/>
      <c r="D1732" s="84"/>
      <c r="E1732" s="87"/>
      <c r="F1732" s="86"/>
      <c r="G1732" s="470"/>
      <c r="H1732" s="470">
        <f>SUM(H1724:H1731)</f>
        <v>3982</v>
      </c>
      <c r="I1732" s="470"/>
      <c r="J1732" s="470">
        <f>SUM(J1724:J1731)</f>
        <v>23161</v>
      </c>
      <c r="K1732" s="470"/>
      <c r="L1732" s="470">
        <f>SUM(L1724:L1731)</f>
        <v>512</v>
      </c>
      <c r="M1732" s="470"/>
      <c r="N1732" s="470">
        <f>SUM(N1724:N1731)</f>
        <v>27655</v>
      </c>
      <c r="O1732" s="457"/>
      <c r="P1732" s="767"/>
      <c r="Q1732" s="80" t="s">
        <v>3244</v>
      </c>
    </row>
    <row r="1733" spans="2:17" ht="15.2" customHeight="1">
      <c r="B1733" s="96">
        <f>P1733</f>
        <v>319</v>
      </c>
      <c r="C1733" s="770" t="s">
        <v>1367</v>
      </c>
      <c r="D1733" s="770"/>
      <c r="E1733" s="770"/>
      <c r="F1733" s="771"/>
      <c r="G1733" s="470"/>
      <c r="H1733" s="470"/>
      <c r="I1733" s="470"/>
      <c r="J1733" s="470"/>
      <c r="K1733" s="470"/>
      <c r="L1733" s="470"/>
      <c r="M1733" s="470"/>
      <c r="N1733" s="470"/>
      <c r="O1733" s="457"/>
      <c r="P1733" s="767">
        <f>MAX($P$5:P1732)+1</f>
        <v>319</v>
      </c>
      <c r="Q1733" s="80" t="s">
        <v>3243</v>
      </c>
    </row>
    <row r="1734" spans="2:17" ht="15.2" customHeight="1">
      <c r="B1734" s="766" t="s">
        <v>88</v>
      </c>
      <c r="C1734" s="766"/>
      <c r="D1734" s="84" t="s">
        <v>1301</v>
      </c>
      <c r="E1734" s="88">
        <v>0.21</v>
      </c>
      <c r="F1734" s="86" t="s">
        <v>453</v>
      </c>
      <c r="G1734" s="470">
        <f>중기사용료!$M$1575</f>
        <v>0</v>
      </c>
      <c r="H1734" s="470">
        <f t="shared" ref="H1734:H1740" si="411">TRUNC(E1734*G1734,0)</f>
        <v>0</v>
      </c>
      <c r="I1734" s="470">
        <f>중기사용료!$M$1569</f>
        <v>0</v>
      </c>
      <c r="J1734" s="470">
        <f t="shared" ref="J1734:J1740" si="412">TRUNC(I1734*E1734,0)</f>
        <v>0</v>
      </c>
      <c r="K1734" s="470">
        <f>중기사용료!$M$1563</f>
        <v>243</v>
      </c>
      <c r="L1734" s="470">
        <f t="shared" ref="L1734:L1740" si="413">TRUNC(K1734*E1734,0)</f>
        <v>51</v>
      </c>
      <c r="M1734" s="470">
        <f t="shared" ref="M1734:M1740" si="414">G1734+I1734+K1734</f>
        <v>243</v>
      </c>
      <c r="N1734" s="470">
        <f t="shared" ref="N1734:N1740" si="415">H1734+J1734+L1734</f>
        <v>51</v>
      </c>
      <c r="O1734" s="460">
        <f>중기사용료!$A$1560</f>
        <v>83</v>
      </c>
      <c r="P1734" s="767"/>
    </row>
    <row r="1735" spans="2:17" ht="15.2" customHeight="1">
      <c r="B1735" s="766" t="s">
        <v>910</v>
      </c>
      <c r="C1735" s="766"/>
      <c r="D1735" s="84" t="s">
        <v>911</v>
      </c>
      <c r="E1735" s="95">
        <v>3.3300000000000001E-3</v>
      </c>
      <c r="F1735" s="86" t="s">
        <v>969</v>
      </c>
      <c r="G1735" s="470">
        <f>사급자재!$M$95</f>
        <v>172000</v>
      </c>
      <c r="H1735" s="470">
        <f t="shared" si="411"/>
        <v>572</v>
      </c>
      <c r="I1735" s="470">
        <f>중기사용료!$M$1569</f>
        <v>0</v>
      </c>
      <c r="J1735" s="470">
        <f t="shared" si="412"/>
        <v>0</v>
      </c>
      <c r="K1735" s="470"/>
      <c r="L1735" s="470">
        <f t="shared" si="413"/>
        <v>0</v>
      </c>
      <c r="M1735" s="470">
        <f t="shared" si="414"/>
        <v>172000</v>
      </c>
      <c r="N1735" s="470">
        <f t="shared" si="415"/>
        <v>572</v>
      </c>
      <c r="O1735" s="464"/>
      <c r="P1735" s="767"/>
    </row>
    <row r="1736" spans="2:17" ht="15.2" customHeight="1">
      <c r="B1736" s="766" t="s">
        <v>3219</v>
      </c>
      <c r="C1736" s="766"/>
      <c r="D1736" s="84" t="s">
        <v>3218</v>
      </c>
      <c r="E1736" s="87">
        <v>0.05</v>
      </c>
      <c r="F1736" s="86" t="s">
        <v>933</v>
      </c>
      <c r="G1736" s="470">
        <f>SUM(J1737:J1739)</f>
        <v>10058</v>
      </c>
      <c r="H1736" s="470">
        <f t="shared" si="411"/>
        <v>502</v>
      </c>
      <c r="I1736" s="470"/>
      <c r="J1736" s="470">
        <f t="shared" si="412"/>
        <v>0</v>
      </c>
      <c r="K1736" s="470"/>
      <c r="L1736" s="470">
        <f t="shared" si="413"/>
        <v>0</v>
      </c>
      <c r="M1736" s="470">
        <f t="shared" si="414"/>
        <v>10058</v>
      </c>
      <c r="N1736" s="470">
        <f t="shared" si="415"/>
        <v>502</v>
      </c>
      <c r="O1736" s="457"/>
      <c r="P1736" s="767"/>
    </row>
    <row r="1737" spans="2:17" ht="15.2" customHeight="1">
      <c r="B1737" s="766" t="s">
        <v>3187</v>
      </c>
      <c r="C1737" s="766"/>
      <c r="D1737" s="84"/>
      <c r="E1737" s="88">
        <v>2.5000000000000001E-2</v>
      </c>
      <c r="F1737" s="86" t="s">
        <v>1163</v>
      </c>
      <c r="G1737" s="470"/>
      <c r="H1737" s="470">
        <f t="shared" si="411"/>
        <v>0</v>
      </c>
      <c r="I1737" s="470">
        <f>SUMIF('노임(2015)'!$B$4:$B$87,B1737,'노임(2015)'!$C$4:$C$87)+SUMIF('노임(2015)'!$E$4:$E$87,B1737,'노임(2015)'!$F$4:$F$87)</f>
        <v>90909</v>
      </c>
      <c r="J1737" s="470">
        <f t="shared" si="412"/>
        <v>2272</v>
      </c>
      <c r="K1737" s="470"/>
      <c r="L1737" s="470">
        <f t="shared" si="413"/>
        <v>0</v>
      </c>
      <c r="M1737" s="470">
        <f t="shared" si="414"/>
        <v>90909</v>
      </c>
      <c r="N1737" s="470">
        <f t="shared" si="415"/>
        <v>2272</v>
      </c>
      <c r="O1737" s="457"/>
      <c r="P1737" s="767"/>
    </row>
    <row r="1738" spans="2:17" ht="15.2" customHeight="1">
      <c r="B1738" s="766" t="s">
        <v>1165</v>
      </c>
      <c r="C1738" s="766"/>
      <c r="D1738" s="84"/>
      <c r="E1738" s="88">
        <v>2.8000000000000001E-2</v>
      </c>
      <c r="F1738" s="86" t="s">
        <v>1163</v>
      </c>
      <c r="G1738" s="470"/>
      <c r="H1738" s="470">
        <f t="shared" si="411"/>
        <v>0</v>
      </c>
      <c r="I1738" s="470">
        <f>SUMIF('노임(2015)'!$B$4:$B$87,B1738,'노임(2015)'!$C$4:$C$87)+SUMIF('노임(2015)'!$E$4:$E$87,B1738,'노임(2015)'!$F$4:$F$87)</f>
        <v>111771</v>
      </c>
      <c r="J1738" s="470">
        <f t="shared" si="412"/>
        <v>3129</v>
      </c>
      <c r="K1738" s="470"/>
      <c r="L1738" s="470">
        <f t="shared" si="413"/>
        <v>0</v>
      </c>
      <c r="M1738" s="470">
        <f t="shared" si="414"/>
        <v>111771</v>
      </c>
      <c r="N1738" s="470">
        <f t="shared" si="415"/>
        <v>3129</v>
      </c>
      <c r="O1738" s="457"/>
      <c r="P1738" s="767"/>
    </row>
    <row r="1739" spans="2:17" ht="15.2" customHeight="1">
      <c r="B1739" s="766" t="s">
        <v>1162</v>
      </c>
      <c r="C1739" s="766"/>
      <c r="D1739" s="84"/>
      <c r="E1739" s="88">
        <v>5.1999999999999998E-2</v>
      </c>
      <c r="F1739" s="86" t="s">
        <v>1163</v>
      </c>
      <c r="G1739" s="470"/>
      <c r="H1739" s="470">
        <f t="shared" si="411"/>
        <v>0</v>
      </c>
      <c r="I1739" s="470">
        <f>SUMIF('노임(2015)'!$B$4:$B$87,B1739,'노임(2015)'!$C$4:$C$87)+SUMIF('노임(2015)'!$E$4:$E$87,B1739,'노임(2015)'!$F$4:$F$87)</f>
        <v>89566</v>
      </c>
      <c r="J1739" s="470">
        <f t="shared" si="412"/>
        <v>4657</v>
      </c>
      <c r="K1739" s="470"/>
      <c r="L1739" s="470">
        <f t="shared" si="413"/>
        <v>0</v>
      </c>
      <c r="M1739" s="470">
        <f t="shared" si="414"/>
        <v>89566</v>
      </c>
      <c r="N1739" s="470">
        <f t="shared" si="415"/>
        <v>4657</v>
      </c>
      <c r="O1739" s="457"/>
      <c r="P1739" s="767"/>
    </row>
    <row r="1740" spans="2:17" ht="15.2" customHeight="1">
      <c r="B1740" s="766" t="s">
        <v>1984</v>
      </c>
      <c r="C1740" s="766"/>
      <c r="D1740" s="84" t="s">
        <v>1403</v>
      </c>
      <c r="E1740" s="88">
        <v>6.0000000000000001E-3</v>
      </c>
      <c r="F1740" s="86" t="s">
        <v>1168</v>
      </c>
      <c r="G1740" s="470">
        <f>$H$9</f>
        <v>98700</v>
      </c>
      <c r="H1740" s="470">
        <f t="shared" si="411"/>
        <v>592</v>
      </c>
      <c r="I1740" s="470">
        <f>$J$9</f>
        <v>59113</v>
      </c>
      <c r="J1740" s="470">
        <f t="shared" si="412"/>
        <v>354</v>
      </c>
      <c r="K1740" s="470">
        <f>$L$9</f>
        <v>17680</v>
      </c>
      <c r="L1740" s="470">
        <f t="shared" si="413"/>
        <v>106</v>
      </c>
      <c r="M1740" s="470">
        <f t="shared" si="414"/>
        <v>175493</v>
      </c>
      <c r="N1740" s="470">
        <f t="shared" si="415"/>
        <v>1052</v>
      </c>
      <c r="O1740" s="462">
        <f>$P$5</f>
        <v>1</v>
      </c>
      <c r="P1740" s="767"/>
    </row>
    <row r="1741" spans="2:17" ht="15.2" customHeight="1">
      <c r="B1741" s="766" t="s">
        <v>855</v>
      </c>
      <c r="C1741" s="766"/>
      <c r="D1741" s="84"/>
      <c r="E1741" s="87"/>
      <c r="F1741" s="86"/>
      <c r="G1741" s="470"/>
      <c r="H1741" s="470">
        <f>SUM(H1734:H1740)</f>
        <v>1666</v>
      </c>
      <c r="I1741" s="470"/>
      <c r="J1741" s="470">
        <f>SUM(J1734:J1740)</f>
        <v>10412</v>
      </c>
      <c r="K1741" s="470"/>
      <c r="L1741" s="470">
        <f>SUM(L1734:L1740)</f>
        <v>157</v>
      </c>
      <c r="M1741" s="470"/>
      <c r="N1741" s="470">
        <f>SUM(N1734:N1740)</f>
        <v>12235</v>
      </c>
      <c r="O1741" s="457"/>
      <c r="P1741" s="767"/>
      <c r="Q1741" s="80" t="s">
        <v>3244</v>
      </c>
    </row>
    <row r="1742" spans="2:17" ht="15.2" customHeight="1">
      <c r="B1742" s="96">
        <f>P1742</f>
        <v>320</v>
      </c>
      <c r="C1742" s="770" t="s">
        <v>1368</v>
      </c>
      <c r="D1742" s="770"/>
      <c r="E1742" s="770"/>
      <c r="F1742" s="771"/>
      <c r="G1742" s="470"/>
      <c r="H1742" s="470"/>
      <c r="I1742" s="470"/>
      <c r="J1742" s="470"/>
      <c r="K1742" s="470"/>
      <c r="L1742" s="470"/>
      <c r="M1742" s="470"/>
      <c r="N1742" s="470"/>
      <c r="O1742" s="457"/>
      <c r="P1742" s="767">
        <f>MAX($P$5:P1741)+1</f>
        <v>320</v>
      </c>
      <c r="Q1742" s="80" t="s">
        <v>3243</v>
      </c>
    </row>
    <row r="1743" spans="2:17" ht="15.2" customHeight="1">
      <c r="B1743" s="766" t="s">
        <v>88</v>
      </c>
      <c r="C1743" s="766"/>
      <c r="D1743" s="84" t="s">
        <v>1301</v>
      </c>
      <c r="E1743" s="88">
        <v>0.42199999999999999</v>
      </c>
      <c r="F1743" s="86" t="s">
        <v>453</v>
      </c>
      <c r="G1743" s="470">
        <f>중기사용료!$M$1575</f>
        <v>0</v>
      </c>
      <c r="H1743" s="470">
        <f t="shared" ref="H1743:H1750" si="416">TRUNC(E1743*G1743,0)</f>
        <v>0</v>
      </c>
      <c r="I1743" s="470">
        <f>중기사용료!$M$1569</f>
        <v>0</v>
      </c>
      <c r="J1743" s="470">
        <f t="shared" ref="J1743:J1750" si="417">TRUNC(I1743*E1743,0)</f>
        <v>0</v>
      </c>
      <c r="K1743" s="470">
        <f>중기사용료!$M$1563</f>
        <v>243</v>
      </c>
      <c r="L1743" s="470">
        <f t="shared" ref="L1743:L1750" si="418">TRUNC(K1743*E1743,0)</f>
        <v>102</v>
      </c>
      <c r="M1743" s="470">
        <f t="shared" ref="M1743:M1750" si="419">G1743+I1743+K1743</f>
        <v>243</v>
      </c>
      <c r="N1743" s="470">
        <f t="shared" ref="N1743:N1750" si="420">H1743+J1743+L1743</f>
        <v>102</v>
      </c>
      <c r="O1743" s="460">
        <f>중기사용료!$A$1560</f>
        <v>83</v>
      </c>
      <c r="P1743" s="767"/>
    </row>
    <row r="1744" spans="2:17" ht="15.2" customHeight="1">
      <c r="B1744" s="766" t="s">
        <v>910</v>
      </c>
      <c r="C1744" s="766"/>
      <c r="D1744" s="84" t="s">
        <v>913</v>
      </c>
      <c r="E1744" s="95">
        <v>3.3300000000000001E-3</v>
      </c>
      <c r="F1744" s="86" t="s">
        <v>969</v>
      </c>
      <c r="G1744" s="470">
        <f>사급자재!$M$98</f>
        <v>360000</v>
      </c>
      <c r="H1744" s="470">
        <f t="shared" si="416"/>
        <v>1198</v>
      </c>
      <c r="I1744" s="470">
        <f>중기사용료!$M$1569</f>
        <v>0</v>
      </c>
      <c r="J1744" s="470">
        <f t="shared" si="417"/>
        <v>0</v>
      </c>
      <c r="K1744" s="470"/>
      <c r="L1744" s="470">
        <f t="shared" si="418"/>
        <v>0</v>
      </c>
      <c r="M1744" s="470">
        <f t="shared" si="419"/>
        <v>360000</v>
      </c>
      <c r="N1744" s="470">
        <f t="shared" si="420"/>
        <v>1198</v>
      </c>
      <c r="O1744" s="464"/>
      <c r="P1744" s="767"/>
    </row>
    <row r="1745" spans="2:17" ht="15.2" customHeight="1">
      <c r="B1745" s="766" t="s">
        <v>3219</v>
      </c>
      <c r="C1745" s="766"/>
      <c r="D1745" s="84" t="s">
        <v>3218</v>
      </c>
      <c r="E1745" s="87">
        <v>0.05</v>
      </c>
      <c r="F1745" s="86" t="s">
        <v>933</v>
      </c>
      <c r="G1745" s="470">
        <f>SUM(J1746:J1748)</f>
        <v>19938</v>
      </c>
      <c r="H1745" s="470">
        <f t="shared" si="416"/>
        <v>996</v>
      </c>
      <c r="I1745" s="470"/>
      <c r="J1745" s="470">
        <f t="shared" si="417"/>
        <v>0</v>
      </c>
      <c r="K1745" s="470"/>
      <c r="L1745" s="470">
        <f t="shared" si="418"/>
        <v>0</v>
      </c>
      <c r="M1745" s="470">
        <f t="shared" si="419"/>
        <v>19938</v>
      </c>
      <c r="N1745" s="470">
        <f t="shared" si="420"/>
        <v>996</v>
      </c>
      <c r="O1745" s="457"/>
      <c r="P1745" s="767"/>
    </row>
    <row r="1746" spans="2:17" ht="15.2" customHeight="1">
      <c r="B1746" s="766" t="s">
        <v>3187</v>
      </c>
      <c r="C1746" s="766"/>
      <c r="D1746" s="84"/>
      <c r="E1746" s="88">
        <v>4.9000000000000002E-2</v>
      </c>
      <c r="F1746" s="86" t="s">
        <v>1163</v>
      </c>
      <c r="G1746" s="470"/>
      <c r="H1746" s="470">
        <f t="shared" si="416"/>
        <v>0</v>
      </c>
      <c r="I1746" s="470">
        <f>SUMIF('노임(2015)'!$B$4:$B$87,B1746,'노임(2015)'!$C$4:$C$87)+SUMIF('노임(2015)'!$E$4:$E$87,B1746,'노임(2015)'!$F$4:$F$87)</f>
        <v>90909</v>
      </c>
      <c r="J1746" s="470">
        <f t="shared" si="417"/>
        <v>4454</v>
      </c>
      <c r="K1746" s="470"/>
      <c r="L1746" s="470">
        <f t="shared" si="418"/>
        <v>0</v>
      </c>
      <c r="M1746" s="470">
        <f t="shared" si="419"/>
        <v>90909</v>
      </c>
      <c r="N1746" s="470">
        <f t="shared" si="420"/>
        <v>4454</v>
      </c>
      <c r="O1746" s="457"/>
      <c r="P1746" s="767"/>
    </row>
    <row r="1747" spans="2:17" ht="15.2" customHeight="1">
      <c r="B1747" s="766" t="s">
        <v>1165</v>
      </c>
      <c r="C1747" s="766"/>
      <c r="D1747" s="84"/>
      <c r="E1747" s="88">
        <v>5.6000000000000001E-2</v>
      </c>
      <c r="F1747" s="86" t="s">
        <v>1163</v>
      </c>
      <c r="G1747" s="470"/>
      <c r="H1747" s="470">
        <f t="shared" si="416"/>
        <v>0</v>
      </c>
      <c r="I1747" s="470">
        <f>SUMIF('노임(2015)'!$B$4:$B$87,B1747,'노임(2015)'!$C$4:$C$87)+SUMIF('노임(2015)'!$E$4:$E$87,B1747,'노임(2015)'!$F$4:$F$87)</f>
        <v>111771</v>
      </c>
      <c r="J1747" s="470">
        <f t="shared" si="417"/>
        <v>6259</v>
      </c>
      <c r="K1747" s="470"/>
      <c r="L1747" s="470">
        <f t="shared" si="418"/>
        <v>0</v>
      </c>
      <c r="M1747" s="470">
        <f t="shared" si="419"/>
        <v>111771</v>
      </c>
      <c r="N1747" s="470">
        <f t="shared" si="420"/>
        <v>6259</v>
      </c>
      <c r="O1747" s="457"/>
      <c r="P1747" s="767"/>
    </row>
    <row r="1748" spans="2:17" ht="15.2" customHeight="1">
      <c r="B1748" s="766" t="s">
        <v>1162</v>
      </c>
      <c r="C1748" s="766"/>
      <c r="D1748" s="84"/>
      <c r="E1748" s="88">
        <v>0.10299999999999999</v>
      </c>
      <c r="F1748" s="86" t="s">
        <v>1163</v>
      </c>
      <c r="G1748" s="470"/>
      <c r="H1748" s="470">
        <f t="shared" si="416"/>
        <v>0</v>
      </c>
      <c r="I1748" s="470">
        <f>SUMIF('노임(2015)'!$B$4:$B$87,B1748,'노임(2015)'!$C$4:$C$87)+SUMIF('노임(2015)'!$E$4:$E$87,B1748,'노임(2015)'!$F$4:$F$87)</f>
        <v>89566</v>
      </c>
      <c r="J1748" s="470">
        <f t="shared" si="417"/>
        <v>9225</v>
      </c>
      <c r="K1748" s="470"/>
      <c r="L1748" s="470">
        <f t="shared" si="418"/>
        <v>0</v>
      </c>
      <c r="M1748" s="470">
        <f t="shared" si="419"/>
        <v>89566</v>
      </c>
      <c r="N1748" s="470">
        <f t="shared" si="420"/>
        <v>9225</v>
      </c>
      <c r="O1748" s="457"/>
      <c r="P1748" s="767"/>
    </row>
    <row r="1749" spans="2:17" ht="15.2" customHeight="1">
      <c r="B1749" s="766" t="s">
        <v>912</v>
      </c>
      <c r="C1749" s="766"/>
      <c r="D1749" s="84" t="s">
        <v>3241</v>
      </c>
      <c r="E1749" s="448">
        <v>1</v>
      </c>
      <c r="F1749" s="86" t="s">
        <v>1357</v>
      </c>
      <c r="G1749" s="470">
        <f>$H$340</f>
        <v>135</v>
      </c>
      <c r="H1749" s="470">
        <f t="shared" si="416"/>
        <v>135</v>
      </c>
      <c r="I1749" s="470">
        <f>$J$340</f>
        <v>2713</v>
      </c>
      <c r="J1749" s="470">
        <f t="shared" si="417"/>
        <v>2713</v>
      </c>
      <c r="K1749" s="470">
        <f>$L$340</f>
        <v>122</v>
      </c>
      <c r="L1749" s="470">
        <f t="shared" si="418"/>
        <v>122</v>
      </c>
      <c r="M1749" s="470">
        <f t="shared" si="419"/>
        <v>2970</v>
      </c>
      <c r="N1749" s="470">
        <f t="shared" si="420"/>
        <v>2970</v>
      </c>
      <c r="O1749" s="462">
        <f>$P$335</f>
        <v>50</v>
      </c>
      <c r="P1749" s="767"/>
    </row>
    <row r="1750" spans="2:17" ht="15.2" customHeight="1">
      <c r="B1750" s="766" t="s">
        <v>1984</v>
      </c>
      <c r="C1750" s="766"/>
      <c r="D1750" s="84" t="s">
        <v>1403</v>
      </c>
      <c r="E1750" s="88">
        <v>1.7000000000000001E-2</v>
      </c>
      <c r="F1750" s="86" t="s">
        <v>1168</v>
      </c>
      <c r="G1750" s="470">
        <f>$H$9</f>
        <v>98700</v>
      </c>
      <c r="H1750" s="470">
        <f t="shared" si="416"/>
        <v>1677</v>
      </c>
      <c r="I1750" s="470">
        <f>$J$9</f>
        <v>59113</v>
      </c>
      <c r="J1750" s="470">
        <f t="shared" si="417"/>
        <v>1004</v>
      </c>
      <c r="K1750" s="470">
        <f>$L$9</f>
        <v>17680</v>
      </c>
      <c r="L1750" s="470">
        <f t="shared" si="418"/>
        <v>300</v>
      </c>
      <c r="M1750" s="470">
        <f t="shared" si="419"/>
        <v>175493</v>
      </c>
      <c r="N1750" s="470">
        <f t="shared" si="420"/>
        <v>2981</v>
      </c>
      <c r="O1750" s="462">
        <f>$P$5</f>
        <v>1</v>
      </c>
      <c r="P1750" s="767"/>
    </row>
    <row r="1751" spans="2:17" ht="15.2" customHeight="1">
      <c r="B1751" s="766" t="s">
        <v>855</v>
      </c>
      <c r="C1751" s="766"/>
      <c r="D1751" s="84"/>
      <c r="E1751" s="87"/>
      <c r="F1751" s="86"/>
      <c r="G1751" s="470"/>
      <c r="H1751" s="470">
        <f>SUM(H1743:H1750)</f>
        <v>4006</v>
      </c>
      <c r="I1751" s="470"/>
      <c r="J1751" s="470">
        <f>SUM(J1743:J1750)</f>
        <v>23655</v>
      </c>
      <c r="K1751" s="470"/>
      <c r="L1751" s="470">
        <f>SUM(L1743:L1750)</f>
        <v>524</v>
      </c>
      <c r="M1751" s="470"/>
      <c r="N1751" s="470">
        <f>SUM(N1743:N1750)</f>
        <v>28185</v>
      </c>
      <c r="O1751" s="457"/>
      <c r="P1751" s="767"/>
      <c r="Q1751" s="80" t="s">
        <v>3244</v>
      </c>
    </row>
    <row r="1752" spans="2:17" ht="15.2" customHeight="1">
      <c r="B1752" s="96">
        <f>P1752</f>
        <v>321</v>
      </c>
      <c r="C1752" s="770" t="s">
        <v>1369</v>
      </c>
      <c r="D1752" s="770"/>
      <c r="E1752" s="770"/>
      <c r="F1752" s="771"/>
      <c r="G1752" s="470"/>
      <c r="H1752" s="470"/>
      <c r="I1752" s="470"/>
      <c r="J1752" s="470"/>
      <c r="K1752" s="470"/>
      <c r="L1752" s="470"/>
      <c r="M1752" s="470"/>
      <c r="N1752" s="470"/>
      <c r="O1752" s="457"/>
      <c r="P1752" s="767">
        <f>MAX($P$5:P1751)+1</f>
        <v>321</v>
      </c>
      <c r="Q1752" s="80" t="s">
        <v>3243</v>
      </c>
    </row>
    <row r="1753" spans="2:17" ht="15.2" customHeight="1">
      <c r="B1753" s="766" t="s">
        <v>88</v>
      </c>
      <c r="C1753" s="766"/>
      <c r="D1753" s="84" t="s">
        <v>1301</v>
      </c>
      <c r="E1753" s="88">
        <v>0.24</v>
      </c>
      <c r="F1753" s="86" t="s">
        <v>453</v>
      </c>
      <c r="G1753" s="470">
        <f>중기사용료!$M$1575</f>
        <v>0</v>
      </c>
      <c r="H1753" s="470">
        <f t="shared" ref="H1753:H1759" si="421">TRUNC(E1753*G1753,0)</f>
        <v>0</v>
      </c>
      <c r="I1753" s="470">
        <f>중기사용료!$M$1569</f>
        <v>0</v>
      </c>
      <c r="J1753" s="470">
        <f t="shared" ref="J1753:J1759" si="422">TRUNC(I1753*E1753,0)</f>
        <v>0</v>
      </c>
      <c r="K1753" s="470">
        <f>중기사용료!$M$1563</f>
        <v>243</v>
      </c>
      <c r="L1753" s="470">
        <f t="shared" ref="L1753:L1759" si="423">TRUNC(K1753*E1753,0)</f>
        <v>58</v>
      </c>
      <c r="M1753" s="470">
        <f t="shared" ref="M1753:M1759" si="424">G1753+I1753+K1753</f>
        <v>243</v>
      </c>
      <c r="N1753" s="470">
        <f t="shared" ref="N1753:N1759" si="425">H1753+J1753+L1753</f>
        <v>58</v>
      </c>
      <c r="O1753" s="460">
        <f>중기사용료!$A$1560</f>
        <v>83</v>
      </c>
      <c r="P1753" s="767"/>
    </row>
    <row r="1754" spans="2:17" ht="15.2" customHeight="1">
      <c r="B1754" s="766" t="s">
        <v>910</v>
      </c>
      <c r="C1754" s="766"/>
      <c r="D1754" s="84" t="s">
        <v>911</v>
      </c>
      <c r="E1754" s="95">
        <v>3.3300000000000001E-3</v>
      </c>
      <c r="F1754" s="86" t="s">
        <v>969</v>
      </c>
      <c r="G1754" s="470">
        <f>사급자재!$M$95</f>
        <v>172000</v>
      </c>
      <c r="H1754" s="470">
        <f t="shared" si="421"/>
        <v>572</v>
      </c>
      <c r="I1754" s="470">
        <f>중기사용료!$M$1569</f>
        <v>0</v>
      </c>
      <c r="J1754" s="470">
        <f t="shared" si="422"/>
        <v>0</v>
      </c>
      <c r="K1754" s="470"/>
      <c r="L1754" s="470">
        <f t="shared" si="423"/>
        <v>0</v>
      </c>
      <c r="M1754" s="470">
        <f t="shared" si="424"/>
        <v>172000</v>
      </c>
      <c r="N1754" s="470">
        <f t="shared" si="425"/>
        <v>572</v>
      </c>
      <c r="O1754" s="464"/>
      <c r="P1754" s="767"/>
    </row>
    <row r="1755" spans="2:17" ht="15.2" customHeight="1">
      <c r="B1755" s="766" t="s">
        <v>3219</v>
      </c>
      <c r="C1755" s="766"/>
      <c r="D1755" s="84" t="s">
        <v>3218</v>
      </c>
      <c r="E1755" s="87">
        <v>0.05</v>
      </c>
      <c r="F1755" s="86" t="s">
        <v>933</v>
      </c>
      <c r="G1755" s="470">
        <f>SUM(J1756:J1758)</f>
        <v>10552</v>
      </c>
      <c r="H1755" s="470">
        <f t="shared" si="421"/>
        <v>527</v>
      </c>
      <c r="I1755" s="470"/>
      <c r="J1755" s="470">
        <f t="shared" si="422"/>
        <v>0</v>
      </c>
      <c r="K1755" s="470"/>
      <c r="L1755" s="470">
        <f t="shared" si="423"/>
        <v>0</v>
      </c>
      <c r="M1755" s="470">
        <f t="shared" si="424"/>
        <v>10552</v>
      </c>
      <c r="N1755" s="470">
        <f t="shared" si="425"/>
        <v>527</v>
      </c>
      <c r="O1755" s="457"/>
      <c r="P1755" s="767"/>
    </row>
    <row r="1756" spans="2:17" ht="15.2" customHeight="1">
      <c r="B1756" s="766" t="s">
        <v>3187</v>
      </c>
      <c r="C1756" s="766"/>
      <c r="D1756" s="84"/>
      <c r="E1756" s="88">
        <v>2.5999999999999999E-2</v>
      </c>
      <c r="F1756" s="86" t="s">
        <v>1163</v>
      </c>
      <c r="G1756" s="470"/>
      <c r="H1756" s="470">
        <f t="shared" si="421"/>
        <v>0</v>
      </c>
      <c r="I1756" s="470">
        <f>SUMIF('노임(2015)'!$B$4:$B$87,B1756,'노임(2015)'!$C$4:$C$87)+SUMIF('노임(2015)'!$E$4:$E$87,B1756,'노임(2015)'!$F$4:$F$87)</f>
        <v>90909</v>
      </c>
      <c r="J1756" s="470">
        <f t="shared" si="422"/>
        <v>2363</v>
      </c>
      <c r="K1756" s="470"/>
      <c r="L1756" s="470">
        <f t="shared" si="423"/>
        <v>0</v>
      </c>
      <c r="M1756" s="470">
        <f t="shared" si="424"/>
        <v>90909</v>
      </c>
      <c r="N1756" s="470">
        <f t="shared" si="425"/>
        <v>2363</v>
      </c>
      <c r="O1756" s="457"/>
      <c r="P1756" s="767"/>
    </row>
    <row r="1757" spans="2:17" ht="15.2" customHeight="1">
      <c r="B1757" s="766" t="s">
        <v>1165</v>
      </c>
      <c r="C1757" s="766"/>
      <c r="D1757" s="84"/>
      <c r="E1757" s="88">
        <v>0.03</v>
      </c>
      <c r="F1757" s="86" t="s">
        <v>1163</v>
      </c>
      <c r="G1757" s="470"/>
      <c r="H1757" s="470">
        <f t="shared" si="421"/>
        <v>0</v>
      </c>
      <c r="I1757" s="470">
        <f>SUMIF('노임(2015)'!$B$4:$B$87,B1757,'노임(2015)'!$C$4:$C$87)+SUMIF('노임(2015)'!$E$4:$E$87,B1757,'노임(2015)'!$F$4:$F$87)</f>
        <v>111771</v>
      </c>
      <c r="J1757" s="470">
        <f t="shared" si="422"/>
        <v>3353</v>
      </c>
      <c r="K1757" s="470"/>
      <c r="L1757" s="470">
        <f t="shared" si="423"/>
        <v>0</v>
      </c>
      <c r="M1757" s="470">
        <f t="shared" si="424"/>
        <v>111771</v>
      </c>
      <c r="N1757" s="470">
        <f t="shared" si="425"/>
        <v>3353</v>
      </c>
      <c r="O1757" s="457"/>
      <c r="P1757" s="767"/>
    </row>
    <row r="1758" spans="2:17" ht="15.2" customHeight="1">
      <c r="B1758" s="766" t="s">
        <v>1162</v>
      </c>
      <c r="C1758" s="766"/>
      <c r="D1758" s="84"/>
      <c r="E1758" s="88">
        <v>5.3999999999999999E-2</v>
      </c>
      <c r="F1758" s="86" t="s">
        <v>1163</v>
      </c>
      <c r="G1758" s="470"/>
      <c r="H1758" s="470">
        <f t="shared" si="421"/>
        <v>0</v>
      </c>
      <c r="I1758" s="470">
        <f>SUMIF('노임(2015)'!$B$4:$B$87,B1758,'노임(2015)'!$C$4:$C$87)+SUMIF('노임(2015)'!$E$4:$E$87,B1758,'노임(2015)'!$F$4:$F$87)</f>
        <v>89566</v>
      </c>
      <c r="J1758" s="470">
        <f t="shared" si="422"/>
        <v>4836</v>
      </c>
      <c r="K1758" s="470"/>
      <c r="L1758" s="470">
        <f t="shared" si="423"/>
        <v>0</v>
      </c>
      <c r="M1758" s="470">
        <f t="shared" si="424"/>
        <v>89566</v>
      </c>
      <c r="N1758" s="470">
        <f t="shared" si="425"/>
        <v>4836</v>
      </c>
      <c r="O1758" s="457"/>
      <c r="P1758" s="767"/>
    </row>
    <row r="1759" spans="2:17" ht="15.2" customHeight="1">
      <c r="B1759" s="766" t="s">
        <v>1984</v>
      </c>
      <c r="C1759" s="766"/>
      <c r="D1759" s="84" t="s">
        <v>1403</v>
      </c>
      <c r="E1759" s="88">
        <v>6.0000000000000001E-3</v>
      </c>
      <c r="F1759" s="86" t="s">
        <v>1168</v>
      </c>
      <c r="G1759" s="470">
        <f>$H$9</f>
        <v>98700</v>
      </c>
      <c r="H1759" s="470">
        <f t="shared" si="421"/>
        <v>592</v>
      </c>
      <c r="I1759" s="470">
        <f>$J$9</f>
        <v>59113</v>
      </c>
      <c r="J1759" s="470">
        <f t="shared" si="422"/>
        <v>354</v>
      </c>
      <c r="K1759" s="470">
        <f>$L$9</f>
        <v>17680</v>
      </c>
      <c r="L1759" s="470">
        <f t="shared" si="423"/>
        <v>106</v>
      </c>
      <c r="M1759" s="470">
        <f t="shared" si="424"/>
        <v>175493</v>
      </c>
      <c r="N1759" s="470">
        <f t="shared" si="425"/>
        <v>1052</v>
      </c>
      <c r="O1759" s="462">
        <f>$P$5</f>
        <v>1</v>
      </c>
      <c r="P1759" s="767"/>
    </row>
    <row r="1760" spans="2:17" ht="15.2" customHeight="1">
      <c r="B1760" s="766" t="s">
        <v>855</v>
      </c>
      <c r="C1760" s="766"/>
      <c r="D1760" s="84"/>
      <c r="E1760" s="87"/>
      <c r="F1760" s="86"/>
      <c r="G1760" s="470"/>
      <c r="H1760" s="470">
        <f>SUM(H1753:H1759)</f>
        <v>1691</v>
      </c>
      <c r="I1760" s="470"/>
      <c r="J1760" s="470">
        <f>SUM(J1753:J1759)</f>
        <v>10906</v>
      </c>
      <c r="K1760" s="470"/>
      <c r="L1760" s="470">
        <f>SUM(L1753:L1759)</f>
        <v>164</v>
      </c>
      <c r="M1760" s="470"/>
      <c r="N1760" s="470">
        <f>SUM(N1753:N1759)</f>
        <v>12761</v>
      </c>
      <c r="O1760" s="457"/>
      <c r="P1760" s="767"/>
      <c r="Q1760" s="80" t="s">
        <v>3244</v>
      </c>
    </row>
    <row r="1761" spans="2:17" ht="15.2" customHeight="1">
      <c r="B1761" s="96">
        <f>P1761</f>
        <v>322</v>
      </c>
      <c r="C1761" s="770" t="s">
        <v>1370</v>
      </c>
      <c r="D1761" s="770"/>
      <c r="E1761" s="770"/>
      <c r="F1761" s="771"/>
      <c r="G1761" s="470"/>
      <c r="H1761" s="470"/>
      <c r="I1761" s="470"/>
      <c r="J1761" s="470"/>
      <c r="K1761" s="470"/>
      <c r="L1761" s="470"/>
      <c r="M1761" s="470"/>
      <c r="N1761" s="470"/>
      <c r="O1761" s="457"/>
      <c r="P1761" s="767">
        <f>MAX($P$5:P1760)+1</f>
        <v>322</v>
      </c>
      <c r="Q1761" s="80" t="s">
        <v>3243</v>
      </c>
    </row>
    <row r="1762" spans="2:17" ht="15.2" customHeight="1">
      <c r="B1762" s="766" t="s">
        <v>88</v>
      </c>
      <c r="C1762" s="766"/>
      <c r="D1762" s="84" t="s">
        <v>1301</v>
      </c>
      <c r="E1762" s="88">
        <v>0.48699999999999999</v>
      </c>
      <c r="F1762" s="86" t="s">
        <v>453</v>
      </c>
      <c r="G1762" s="470">
        <f>중기사용료!$M$1575</f>
        <v>0</v>
      </c>
      <c r="H1762" s="470">
        <f t="shared" ref="H1762:H1769" si="426">TRUNC(E1762*G1762,0)</f>
        <v>0</v>
      </c>
      <c r="I1762" s="470">
        <f>중기사용료!$M$1569</f>
        <v>0</v>
      </c>
      <c r="J1762" s="470">
        <f t="shared" ref="J1762:J1769" si="427">TRUNC(I1762*E1762,0)</f>
        <v>0</v>
      </c>
      <c r="K1762" s="470">
        <f>중기사용료!$M$1563</f>
        <v>243</v>
      </c>
      <c r="L1762" s="470">
        <f t="shared" ref="L1762:L1769" si="428">TRUNC(K1762*E1762,0)</f>
        <v>118</v>
      </c>
      <c r="M1762" s="470">
        <f t="shared" ref="M1762:M1769" si="429">G1762+I1762+K1762</f>
        <v>243</v>
      </c>
      <c r="N1762" s="470">
        <f t="shared" ref="N1762:N1769" si="430">H1762+J1762+L1762</f>
        <v>118</v>
      </c>
      <c r="O1762" s="460">
        <f>중기사용료!$A$1560</f>
        <v>83</v>
      </c>
      <c r="P1762" s="767"/>
    </row>
    <row r="1763" spans="2:17" ht="15.2" customHeight="1">
      <c r="B1763" s="766" t="s">
        <v>910</v>
      </c>
      <c r="C1763" s="766"/>
      <c r="D1763" s="84" t="s">
        <v>913</v>
      </c>
      <c r="E1763" s="95">
        <v>3.3300000000000001E-3</v>
      </c>
      <c r="F1763" s="86" t="s">
        <v>969</v>
      </c>
      <c r="G1763" s="470">
        <f>사급자재!$M$98</f>
        <v>360000</v>
      </c>
      <c r="H1763" s="470">
        <f t="shared" si="426"/>
        <v>1198</v>
      </c>
      <c r="I1763" s="470">
        <f>중기사용료!$M$1569</f>
        <v>0</v>
      </c>
      <c r="J1763" s="470">
        <f t="shared" si="427"/>
        <v>0</v>
      </c>
      <c r="K1763" s="470"/>
      <c r="L1763" s="470">
        <f t="shared" si="428"/>
        <v>0</v>
      </c>
      <c r="M1763" s="470">
        <f t="shared" si="429"/>
        <v>360000</v>
      </c>
      <c r="N1763" s="470">
        <f t="shared" si="430"/>
        <v>1198</v>
      </c>
      <c r="O1763" s="464"/>
      <c r="P1763" s="767"/>
    </row>
    <row r="1764" spans="2:17" ht="15.2" customHeight="1">
      <c r="B1764" s="766" t="s">
        <v>3219</v>
      </c>
      <c r="C1764" s="766"/>
      <c r="D1764" s="84" t="s">
        <v>3218</v>
      </c>
      <c r="E1764" s="87">
        <v>0.05</v>
      </c>
      <c r="F1764" s="86" t="s">
        <v>933</v>
      </c>
      <c r="G1764" s="470">
        <f>SUM(J1765:J1767)</f>
        <v>20813</v>
      </c>
      <c r="H1764" s="470">
        <f t="shared" si="426"/>
        <v>1040</v>
      </c>
      <c r="I1764" s="470"/>
      <c r="J1764" s="470">
        <f t="shared" si="427"/>
        <v>0</v>
      </c>
      <c r="K1764" s="470"/>
      <c r="L1764" s="470">
        <f t="shared" si="428"/>
        <v>0</v>
      </c>
      <c r="M1764" s="470">
        <f t="shared" si="429"/>
        <v>20813</v>
      </c>
      <c r="N1764" s="470">
        <f t="shared" si="430"/>
        <v>1040</v>
      </c>
      <c r="O1764" s="457"/>
      <c r="P1764" s="767"/>
    </row>
    <row r="1765" spans="2:17" ht="15.2" customHeight="1">
      <c r="B1765" s="766" t="s">
        <v>3187</v>
      </c>
      <c r="C1765" s="766"/>
      <c r="D1765" s="84"/>
      <c r="E1765" s="88">
        <v>5.0999999999999997E-2</v>
      </c>
      <c r="F1765" s="86" t="s">
        <v>1163</v>
      </c>
      <c r="G1765" s="470"/>
      <c r="H1765" s="470">
        <f t="shared" si="426"/>
        <v>0</v>
      </c>
      <c r="I1765" s="470">
        <f>SUMIF('노임(2015)'!$B$4:$B$87,B1765,'노임(2015)'!$C$4:$C$87)+SUMIF('노임(2015)'!$E$4:$E$87,B1765,'노임(2015)'!$F$4:$F$87)</f>
        <v>90909</v>
      </c>
      <c r="J1765" s="470">
        <f t="shared" si="427"/>
        <v>4636</v>
      </c>
      <c r="K1765" s="470"/>
      <c r="L1765" s="470">
        <f t="shared" si="428"/>
        <v>0</v>
      </c>
      <c r="M1765" s="470">
        <f t="shared" si="429"/>
        <v>90909</v>
      </c>
      <c r="N1765" s="470">
        <f t="shared" si="430"/>
        <v>4636</v>
      </c>
      <c r="O1765" s="457"/>
      <c r="P1765" s="767"/>
    </row>
    <row r="1766" spans="2:17" ht="15.2" customHeight="1">
      <c r="B1766" s="766" t="s">
        <v>1165</v>
      </c>
      <c r="C1766" s="766"/>
      <c r="D1766" s="84"/>
      <c r="E1766" s="88">
        <v>5.8999999999999997E-2</v>
      </c>
      <c r="F1766" s="86" t="s">
        <v>1163</v>
      </c>
      <c r="G1766" s="470"/>
      <c r="H1766" s="470">
        <f t="shared" si="426"/>
        <v>0</v>
      </c>
      <c r="I1766" s="470">
        <f>SUMIF('노임(2015)'!$B$4:$B$87,B1766,'노임(2015)'!$C$4:$C$87)+SUMIF('노임(2015)'!$E$4:$E$87,B1766,'노임(2015)'!$F$4:$F$87)</f>
        <v>111771</v>
      </c>
      <c r="J1766" s="470">
        <f t="shared" si="427"/>
        <v>6594</v>
      </c>
      <c r="K1766" s="470"/>
      <c r="L1766" s="470">
        <f t="shared" si="428"/>
        <v>0</v>
      </c>
      <c r="M1766" s="470">
        <f t="shared" si="429"/>
        <v>111771</v>
      </c>
      <c r="N1766" s="470">
        <f t="shared" si="430"/>
        <v>6594</v>
      </c>
      <c r="O1766" s="457"/>
      <c r="P1766" s="767"/>
    </row>
    <row r="1767" spans="2:17" ht="15.2" customHeight="1">
      <c r="B1767" s="766" t="s">
        <v>1162</v>
      </c>
      <c r="C1767" s="766"/>
      <c r="D1767" s="84"/>
      <c r="E1767" s="88">
        <v>0.107</v>
      </c>
      <c r="F1767" s="86" t="s">
        <v>1163</v>
      </c>
      <c r="G1767" s="470"/>
      <c r="H1767" s="470">
        <f t="shared" si="426"/>
        <v>0</v>
      </c>
      <c r="I1767" s="470">
        <f>SUMIF('노임(2015)'!$B$4:$B$87,B1767,'노임(2015)'!$C$4:$C$87)+SUMIF('노임(2015)'!$E$4:$E$87,B1767,'노임(2015)'!$F$4:$F$87)</f>
        <v>89566</v>
      </c>
      <c r="J1767" s="470">
        <f t="shared" si="427"/>
        <v>9583</v>
      </c>
      <c r="K1767" s="470"/>
      <c r="L1767" s="470">
        <f t="shared" si="428"/>
        <v>0</v>
      </c>
      <c r="M1767" s="470">
        <f t="shared" si="429"/>
        <v>89566</v>
      </c>
      <c r="N1767" s="470">
        <f t="shared" si="430"/>
        <v>9583</v>
      </c>
      <c r="O1767" s="457"/>
      <c r="P1767" s="767"/>
    </row>
    <row r="1768" spans="2:17" ht="15.2" customHeight="1">
      <c r="B1768" s="766" t="s">
        <v>912</v>
      </c>
      <c r="C1768" s="766"/>
      <c r="D1768" s="84" t="s">
        <v>3241</v>
      </c>
      <c r="E1768" s="448">
        <v>1</v>
      </c>
      <c r="F1768" s="86" t="s">
        <v>1357</v>
      </c>
      <c r="G1768" s="470">
        <f>$H$340</f>
        <v>135</v>
      </c>
      <c r="H1768" s="470">
        <f t="shared" si="426"/>
        <v>135</v>
      </c>
      <c r="I1768" s="470">
        <f>$J$340</f>
        <v>2713</v>
      </c>
      <c r="J1768" s="470">
        <f t="shared" si="427"/>
        <v>2713</v>
      </c>
      <c r="K1768" s="470">
        <f>$L$340</f>
        <v>122</v>
      </c>
      <c r="L1768" s="470">
        <f t="shared" si="428"/>
        <v>122</v>
      </c>
      <c r="M1768" s="470">
        <f t="shared" si="429"/>
        <v>2970</v>
      </c>
      <c r="N1768" s="470">
        <f t="shared" si="430"/>
        <v>2970</v>
      </c>
      <c r="O1768" s="462">
        <f>$P$335</f>
        <v>50</v>
      </c>
      <c r="P1768" s="767"/>
    </row>
    <row r="1769" spans="2:17" ht="15.2" customHeight="1">
      <c r="B1769" s="766" t="s">
        <v>1984</v>
      </c>
      <c r="C1769" s="766"/>
      <c r="D1769" s="84" t="s">
        <v>1403</v>
      </c>
      <c r="E1769" s="88">
        <v>1.7000000000000001E-2</v>
      </c>
      <c r="F1769" s="86" t="s">
        <v>1168</v>
      </c>
      <c r="G1769" s="470">
        <f>$H$9</f>
        <v>98700</v>
      </c>
      <c r="H1769" s="470">
        <f t="shared" si="426"/>
        <v>1677</v>
      </c>
      <c r="I1769" s="470">
        <f>$J$9</f>
        <v>59113</v>
      </c>
      <c r="J1769" s="470">
        <f t="shared" si="427"/>
        <v>1004</v>
      </c>
      <c r="K1769" s="470">
        <f>$L$9</f>
        <v>17680</v>
      </c>
      <c r="L1769" s="470">
        <f t="shared" si="428"/>
        <v>300</v>
      </c>
      <c r="M1769" s="470">
        <f t="shared" si="429"/>
        <v>175493</v>
      </c>
      <c r="N1769" s="470">
        <f t="shared" si="430"/>
        <v>2981</v>
      </c>
      <c r="O1769" s="462">
        <f>$P$5</f>
        <v>1</v>
      </c>
      <c r="P1769" s="767"/>
    </row>
    <row r="1770" spans="2:17" ht="15.2" customHeight="1">
      <c r="B1770" s="766" t="s">
        <v>855</v>
      </c>
      <c r="C1770" s="766"/>
      <c r="D1770" s="84"/>
      <c r="E1770" s="87"/>
      <c r="F1770" s="86"/>
      <c r="G1770" s="470"/>
      <c r="H1770" s="470">
        <f>SUM(H1762:H1769)</f>
        <v>4050</v>
      </c>
      <c r="I1770" s="470"/>
      <c r="J1770" s="470">
        <f>SUM(J1762:J1769)</f>
        <v>24530</v>
      </c>
      <c r="K1770" s="470"/>
      <c r="L1770" s="470">
        <f>SUM(L1762:L1769)</f>
        <v>540</v>
      </c>
      <c r="M1770" s="470"/>
      <c r="N1770" s="470">
        <f>SUM(N1762:N1769)</f>
        <v>29120</v>
      </c>
      <c r="O1770" s="459"/>
      <c r="P1770" s="767"/>
      <c r="Q1770" s="80" t="s">
        <v>3244</v>
      </c>
    </row>
    <row r="1771" spans="2:17" ht="15.2" customHeight="1">
      <c r="B1771" s="96">
        <f>P1771</f>
        <v>323</v>
      </c>
      <c r="C1771" s="770" t="s">
        <v>1371</v>
      </c>
      <c r="D1771" s="770"/>
      <c r="E1771" s="770"/>
      <c r="F1771" s="771"/>
      <c r="G1771" s="470"/>
      <c r="H1771" s="470"/>
      <c r="I1771" s="470"/>
      <c r="J1771" s="470"/>
      <c r="K1771" s="470"/>
      <c r="L1771" s="470"/>
      <c r="M1771" s="470"/>
      <c r="N1771" s="470"/>
      <c r="O1771" s="457"/>
      <c r="P1771" s="767">
        <f>MAX($P$5:P1770)+1</f>
        <v>323</v>
      </c>
      <c r="Q1771" s="80" t="s">
        <v>3243</v>
      </c>
    </row>
    <row r="1772" spans="2:17" ht="15.2" customHeight="1">
      <c r="B1772" s="766" t="s">
        <v>88</v>
      </c>
      <c r="C1772" s="766"/>
      <c r="D1772" s="84" t="s">
        <v>1301</v>
      </c>
      <c r="E1772" s="88">
        <v>0.27300000000000002</v>
      </c>
      <c r="F1772" s="86" t="s">
        <v>453</v>
      </c>
      <c r="G1772" s="470">
        <f>중기사용료!$M$1575</f>
        <v>0</v>
      </c>
      <c r="H1772" s="470">
        <f t="shared" ref="H1772:H1778" si="431">TRUNC(E1772*G1772,0)</f>
        <v>0</v>
      </c>
      <c r="I1772" s="470">
        <f>중기사용료!$M$1569</f>
        <v>0</v>
      </c>
      <c r="J1772" s="470">
        <f t="shared" ref="J1772:J1778" si="432">TRUNC(I1772*E1772,0)</f>
        <v>0</v>
      </c>
      <c r="K1772" s="470">
        <f>중기사용료!$M$1563</f>
        <v>243</v>
      </c>
      <c r="L1772" s="470">
        <f t="shared" ref="L1772:L1778" si="433">TRUNC(K1772*E1772,0)</f>
        <v>66</v>
      </c>
      <c r="M1772" s="470">
        <f t="shared" ref="M1772:M1778" si="434">G1772+I1772+K1772</f>
        <v>243</v>
      </c>
      <c r="N1772" s="470">
        <f t="shared" ref="N1772:N1778" si="435">H1772+J1772+L1772</f>
        <v>66</v>
      </c>
      <c r="O1772" s="460">
        <f>중기사용료!$A$1560</f>
        <v>83</v>
      </c>
      <c r="P1772" s="767"/>
    </row>
    <row r="1773" spans="2:17" ht="15.2" customHeight="1">
      <c r="B1773" s="766" t="s">
        <v>910</v>
      </c>
      <c r="C1773" s="766"/>
      <c r="D1773" s="84" t="s">
        <v>911</v>
      </c>
      <c r="E1773" s="95">
        <v>3.3300000000000001E-3</v>
      </c>
      <c r="F1773" s="86" t="s">
        <v>969</v>
      </c>
      <c r="G1773" s="470">
        <f>사급자재!$M$95</f>
        <v>172000</v>
      </c>
      <c r="H1773" s="470">
        <f t="shared" si="431"/>
        <v>572</v>
      </c>
      <c r="I1773" s="470">
        <f>중기사용료!$M$1569</f>
        <v>0</v>
      </c>
      <c r="J1773" s="470">
        <f t="shared" si="432"/>
        <v>0</v>
      </c>
      <c r="K1773" s="470"/>
      <c r="L1773" s="470">
        <f t="shared" si="433"/>
        <v>0</v>
      </c>
      <c r="M1773" s="470">
        <f t="shared" si="434"/>
        <v>172000</v>
      </c>
      <c r="N1773" s="470">
        <f t="shared" si="435"/>
        <v>572</v>
      </c>
      <c r="O1773" s="464"/>
      <c r="P1773" s="767"/>
    </row>
    <row r="1774" spans="2:17" ht="15.2" customHeight="1">
      <c r="B1774" s="766" t="s">
        <v>3219</v>
      </c>
      <c r="C1774" s="766"/>
      <c r="D1774" s="84" t="s">
        <v>3218</v>
      </c>
      <c r="E1774" s="87">
        <v>0.05</v>
      </c>
      <c r="F1774" s="86" t="s">
        <v>933</v>
      </c>
      <c r="G1774" s="470">
        <f>SUM(J1775:J1777)</f>
        <v>11135</v>
      </c>
      <c r="H1774" s="470">
        <f t="shared" si="431"/>
        <v>556</v>
      </c>
      <c r="I1774" s="470"/>
      <c r="J1774" s="470">
        <f t="shared" si="432"/>
        <v>0</v>
      </c>
      <c r="K1774" s="470"/>
      <c r="L1774" s="470">
        <f t="shared" si="433"/>
        <v>0</v>
      </c>
      <c r="M1774" s="470">
        <f t="shared" si="434"/>
        <v>11135</v>
      </c>
      <c r="N1774" s="470">
        <f t="shared" si="435"/>
        <v>556</v>
      </c>
      <c r="O1774" s="457"/>
      <c r="P1774" s="767"/>
    </row>
    <row r="1775" spans="2:17" ht="15.2" customHeight="1">
      <c r="B1775" s="766" t="s">
        <v>3187</v>
      </c>
      <c r="C1775" s="766"/>
      <c r="D1775" s="84"/>
      <c r="E1775" s="88">
        <v>2.7E-2</v>
      </c>
      <c r="F1775" s="86" t="s">
        <v>1163</v>
      </c>
      <c r="G1775" s="470"/>
      <c r="H1775" s="470">
        <f t="shared" si="431"/>
        <v>0</v>
      </c>
      <c r="I1775" s="470">
        <f>SUMIF('노임(2015)'!$B$4:$B$87,B1775,'노임(2015)'!$C$4:$C$87)+SUMIF('노임(2015)'!$E$4:$E$87,B1775,'노임(2015)'!$F$4:$F$87)</f>
        <v>90909</v>
      </c>
      <c r="J1775" s="470">
        <f t="shared" si="432"/>
        <v>2454</v>
      </c>
      <c r="K1775" s="470"/>
      <c r="L1775" s="470">
        <f t="shared" si="433"/>
        <v>0</v>
      </c>
      <c r="M1775" s="470">
        <f t="shared" si="434"/>
        <v>90909</v>
      </c>
      <c r="N1775" s="470">
        <f t="shared" si="435"/>
        <v>2454</v>
      </c>
      <c r="O1775" s="457"/>
      <c r="P1775" s="767"/>
    </row>
    <row r="1776" spans="2:17" ht="15.2" customHeight="1">
      <c r="B1776" s="766" t="s">
        <v>1165</v>
      </c>
      <c r="C1776" s="766"/>
      <c r="D1776" s="84"/>
      <c r="E1776" s="88">
        <v>3.2000000000000001E-2</v>
      </c>
      <c r="F1776" s="86" t="s">
        <v>1163</v>
      </c>
      <c r="G1776" s="470"/>
      <c r="H1776" s="470">
        <f t="shared" si="431"/>
        <v>0</v>
      </c>
      <c r="I1776" s="470">
        <f>SUMIF('노임(2015)'!$B$4:$B$87,B1776,'노임(2015)'!$C$4:$C$87)+SUMIF('노임(2015)'!$E$4:$E$87,B1776,'노임(2015)'!$F$4:$F$87)</f>
        <v>111771</v>
      </c>
      <c r="J1776" s="470">
        <f t="shared" si="432"/>
        <v>3576</v>
      </c>
      <c r="K1776" s="470"/>
      <c r="L1776" s="470">
        <f t="shared" si="433"/>
        <v>0</v>
      </c>
      <c r="M1776" s="470">
        <f t="shared" si="434"/>
        <v>111771</v>
      </c>
      <c r="N1776" s="470">
        <f t="shared" si="435"/>
        <v>3576</v>
      </c>
      <c r="O1776" s="457"/>
      <c r="P1776" s="767"/>
    </row>
    <row r="1777" spans="2:17" ht="15.2" customHeight="1">
      <c r="B1777" s="766" t="s">
        <v>1162</v>
      </c>
      <c r="C1777" s="766"/>
      <c r="D1777" s="84"/>
      <c r="E1777" s="88">
        <v>5.7000000000000002E-2</v>
      </c>
      <c r="F1777" s="86" t="s">
        <v>1163</v>
      </c>
      <c r="G1777" s="470"/>
      <c r="H1777" s="470">
        <f t="shared" si="431"/>
        <v>0</v>
      </c>
      <c r="I1777" s="470">
        <f>SUMIF('노임(2015)'!$B$4:$B$87,B1777,'노임(2015)'!$C$4:$C$87)+SUMIF('노임(2015)'!$E$4:$E$87,B1777,'노임(2015)'!$F$4:$F$87)</f>
        <v>89566</v>
      </c>
      <c r="J1777" s="470">
        <f t="shared" si="432"/>
        <v>5105</v>
      </c>
      <c r="K1777" s="470"/>
      <c r="L1777" s="470">
        <f t="shared" si="433"/>
        <v>0</v>
      </c>
      <c r="M1777" s="470">
        <f t="shared" si="434"/>
        <v>89566</v>
      </c>
      <c r="N1777" s="470">
        <f t="shared" si="435"/>
        <v>5105</v>
      </c>
      <c r="O1777" s="457"/>
      <c r="P1777" s="767"/>
    </row>
    <row r="1778" spans="2:17" ht="15.2" customHeight="1">
      <c r="B1778" s="766" t="s">
        <v>1984</v>
      </c>
      <c r="C1778" s="766"/>
      <c r="D1778" s="84" t="s">
        <v>1403</v>
      </c>
      <c r="E1778" s="88">
        <v>6.0000000000000001E-3</v>
      </c>
      <c r="F1778" s="86" t="s">
        <v>1168</v>
      </c>
      <c r="G1778" s="470">
        <f>$H$9</f>
        <v>98700</v>
      </c>
      <c r="H1778" s="470">
        <f t="shared" si="431"/>
        <v>592</v>
      </c>
      <c r="I1778" s="470">
        <f>$J$9</f>
        <v>59113</v>
      </c>
      <c r="J1778" s="470">
        <f t="shared" si="432"/>
        <v>354</v>
      </c>
      <c r="K1778" s="470">
        <f>$L$9</f>
        <v>17680</v>
      </c>
      <c r="L1778" s="470">
        <f t="shared" si="433"/>
        <v>106</v>
      </c>
      <c r="M1778" s="470">
        <f t="shared" si="434"/>
        <v>175493</v>
      </c>
      <c r="N1778" s="470">
        <f t="shared" si="435"/>
        <v>1052</v>
      </c>
      <c r="O1778" s="462">
        <f>$P$5</f>
        <v>1</v>
      </c>
      <c r="P1778" s="767"/>
    </row>
    <row r="1779" spans="2:17" ht="15.2" customHeight="1">
      <c r="B1779" s="766" t="s">
        <v>855</v>
      </c>
      <c r="C1779" s="766"/>
      <c r="D1779" s="84"/>
      <c r="E1779" s="87"/>
      <c r="F1779" s="86"/>
      <c r="G1779" s="470"/>
      <c r="H1779" s="470">
        <f>SUM(H1772:H1778)</f>
        <v>1720</v>
      </c>
      <c r="I1779" s="470"/>
      <c r="J1779" s="470">
        <f>SUM(J1772:J1778)</f>
        <v>11489</v>
      </c>
      <c r="K1779" s="470"/>
      <c r="L1779" s="470">
        <f>SUM(L1772:L1778)</f>
        <v>172</v>
      </c>
      <c r="M1779" s="470"/>
      <c r="N1779" s="470">
        <f>SUM(N1772:N1778)</f>
        <v>13381</v>
      </c>
      <c r="O1779" s="457"/>
      <c r="P1779" s="767"/>
      <c r="Q1779" s="80" t="s">
        <v>3244</v>
      </c>
    </row>
    <row r="1780" spans="2:17" ht="15.2" customHeight="1">
      <c r="B1780" s="96">
        <f>P1780</f>
        <v>324</v>
      </c>
      <c r="C1780" s="770" t="s">
        <v>1372</v>
      </c>
      <c r="D1780" s="770"/>
      <c r="E1780" s="770"/>
      <c r="F1780" s="771"/>
      <c r="G1780" s="470"/>
      <c r="H1780" s="470"/>
      <c r="I1780" s="470"/>
      <c r="J1780" s="470"/>
      <c r="K1780" s="470"/>
      <c r="L1780" s="470"/>
      <c r="M1780" s="470"/>
      <c r="N1780" s="470"/>
      <c r="O1780" s="457"/>
      <c r="P1780" s="767">
        <f>MAX($P$5:P1779)+1</f>
        <v>324</v>
      </c>
      <c r="Q1780" s="80" t="s">
        <v>3243</v>
      </c>
    </row>
    <row r="1781" spans="2:17" ht="15.2" customHeight="1">
      <c r="B1781" s="766" t="s">
        <v>88</v>
      </c>
      <c r="C1781" s="766"/>
      <c r="D1781" s="84" t="s">
        <v>1301</v>
      </c>
      <c r="E1781" s="88">
        <v>0.55400000000000005</v>
      </c>
      <c r="F1781" s="86" t="s">
        <v>453</v>
      </c>
      <c r="G1781" s="470">
        <f>중기사용료!$M$1575</f>
        <v>0</v>
      </c>
      <c r="H1781" s="470">
        <f t="shared" ref="H1781:H1788" si="436">TRUNC(E1781*G1781,0)</f>
        <v>0</v>
      </c>
      <c r="I1781" s="470">
        <f>중기사용료!$M$1569</f>
        <v>0</v>
      </c>
      <c r="J1781" s="470">
        <f t="shared" ref="J1781:J1788" si="437">TRUNC(I1781*E1781,0)</f>
        <v>0</v>
      </c>
      <c r="K1781" s="470">
        <f>중기사용료!$M$1563</f>
        <v>243</v>
      </c>
      <c r="L1781" s="470">
        <f t="shared" ref="L1781:L1788" si="438">TRUNC(K1781*E1781,0)</f>
        <v>134</v>
      </c>
      <c r="M1781" s="470">
        <f t="shared" ref="M1781:M1788" si="439">G1781+I1781+K1781</f>
        <v>243</v>
      </c>
      <c r="N1781" s="470">
        <f t="shared" ref="N1781:N1788" si="440">H1781+J1781+L1781</f>
        <v>134</v>
      </c>
      <c r="O1781" s="460">
        <f>중기사용료!$A$1560</f>
        <v>83</v>
      </c>
      <c r="P1781" s="767"/>
    </row>
    <row r="1782" spans="2:17" ht="15.2" customHeight="1">
      <c r="B1782" s="766" t="s">
        <v>910</v>
      </c>
      <c r="C1782" s="766"/>
      <c r="D1782" s="84" t="s">
        <v>913</v>
      </c>
      <c r="E1782" s="95">
        <v>3.3300000000000001E-3</v>
      </c>
      <c r="F1782" s="86" t="s">
        <v>969</v>
      </c>
      <c r="G1782" s="470">
        <f>사급자재!$M$98</f>
        <v>360000</v>
      </c>
      <c r="H1782" s="470">
        <f t="shared" si="436"/>
        <v>1198</v>
      </c>
      <c r="I1782" s="470">
        <f>중기사용료!$M$1569</f>
        <v>0</v>
      </c>
      <c r="J1782" s="470">
        <f t="shared" si="437"/>
        <v>0</v>
      </c>
      <c r="K1782" s="470"/>
      <c r="L1782" s="470">
        <f t="shared" si="438"/>
        <v>0</v>
      </c>
      <c r="M1782" s="470">
        <f t="shared" si="439"/>
        <v>360000</v>
      </c>
      <c r="N1782" s="470">
        <f t="shared" si="440"/>
        <v>1198</v>
      </c>
      <c r="O1782" s="464"/>
      <c r="P1782" s="767"/>
    </row>
    <row r="1783" spans="2:17" ht="15.2" customHeight="1">
      <c r="B1783" s="766" t="s">
        <v>3219</v>
      </c>
      <c r="C1783" s="766"/>
      <c r="D1783" s="84" t="s">
        <v>3218</v>
      </c>
      <c r="E1783" s="87">
        <v>0.05</v>
      </c>
      <c r="F1783" s="86" t="s">
        <v>933</v>
      </c>
      <c r="G1783" s="470">
        <f>SUM(J1784:J1786)</f>
        <v>21577</v>
      </c>
      <c r="H1783" s="470">
        <f t="shared" si="436"/>
        <v>1078</v>
      </c>
      <c r="I1783" s="470"/>
      <c r="J1783" s="470">
        <f t="shared" si="437"/>
        <v>0</v>
      </c>
      <c r="K1783" s="470"/>
      <c r="L1783" s="470">
        <f t="shared" si="438"/>
        <v>0</v>
      </c>
      <c r="M1783" s="470">
        <f t="shared" si="439"/>
        <v>21577</v>
      </c>
      <c r="N1783" s="470">
        <f t="shared" si="440"/>
        <v>1078</v>
      </c>
      <c r="O1783" s="457"/>
      <c r="P1783" s="767"/>
    </row>
    <row r="1784" spans="2:17" ht="15.2" customHeight="1">
      <c r="B1784" s="766" t="s">
        <v>3187</v>
      </c>
      <c r="C1784" s="766"/>
      <c r="D1784" s="84"/>
      <c r="E1784" s="88">
        <v>5.2999999999999999E-2</v>
      </c>
      <c r="F1784" s="86" t="s">
        <v>1163</v>
      </c>
      <c r="G1784" s="470"/>
      <c r="H1784" s="470">
        <f t="shared" si="436"/>
        <v>0</v>
      </c>
      <c r="I1784" s="470">
        <f>SUMIF('노임(2015)'!$B$4:$B$87,B1784,'노임(2015)'!$C$4:$C$87)+SUMIF('노임(2015)'!$E$4:$E$87,B1784,'노임(2015)'!$F$4:$F$87)</f>
        <v>90909</v>
      </c>
      <c r="J1784" s="470">
        <f t="shared" si="437"/>
        <v>4818</v>
      </c>
      <c r="K1784" s="470"/>
      <c r="L1784" s="470">
        <f t="shared" si="438"/>
        <v>0</v>
      </c>
      <c r="M1784" s="470">
        <f t="shared" si="439"/>
        <v>90909</v>
      </c>
      <c r="N1784" s="470">
        <f t="shared" si="440"/>
        <v>4818</v>
      </c>
      <c r="O1784" s="457"/>
      <c r="P1784" s="767"/>
    </row>
    <row r="1785" spans="2:17" ht="15.2" customHeight="1">
      <c r="B1785" s="766" t="s">
        <v>1165</v>
      </c>
      <c r="C1785" s="766"/>
      <c r="D1785" s="84"/>
      <c r="E1785" s="88">
        <v>6.0999999999999999E-2</v>
      </c>
      <c r="F1785" s="86" t="s">
        <v>1163</v>
      </c>
      <c r="G1785" s="470"/>
      <c r="H1785" s="470">
        <f t="shared" si="436"/>
        <v>0</v>
      </c>
      <c r="I1785" s="470">
        <f>SUMIF('노임(2015)'!$B$4:$B$87,B1785,'노임(2015)'!$C$4:$C$87)+SUMIF('노임(2015)'!$E$4:$E$87,B1785,'노임(2015)'!$F$4:$F$87)</f>
        <v>111771</v>
      </c>
      <c r="J1785" s="470">
        <f t="shared" si="437"/>
        <v>6818</v>
      </c>
      <c r="K1785" s="470"/>
      <c r="L1785" s="470">
        <f t="shared" si="438"/>
        <v>0</v>
      </c>
      <c r="M1785" s="470">
        <f t="shared" si="439"/>
        <v>111771</v>
      </c>
      <c r="N1785" s="470">
        <f t="shared" si="440"/>
        <v>6818</v>
      </c>
      <c r="O1785" s="457"/>
      <c r="P1785" s="767"/>
    </row>
    <row r="1786" spans="2:17" ht="15.2" customHeight="1">
      <c r="B1786" s="766" t="s">
        <v>1162</v>
      </c>
      <c r="C1786" s="766"/>
      <c r="D1786" s="84"/>
      <c r="E1786" s="88">
        <v>0.111</v>
      </c>
      <c r="F1786" s="86" t="s">
        <v>1163</v>
      </c>
      <c r="G1786" s="470"/>
      <c r="H1786" s="470">
        <f t="shared" si="436"/>
        <v>0</v>
      </c>
      <c r="I1786" s="470">
        <f>SUMIF('노임(2015)'!$B$4:$B$87,B1786,'노임(2015)'!$C$4:$C$87)+SUMIF('노임(2015)'!$E$4:$E$87,B1786,'노임(2015)'!$F$4:$F$87)</f>
        <v>89566</v>
      </c>
      <c r="J1786" s="470">
        <f t="shared" si="437"/>
        <v>9941</v>
      </c>
      <c r="K1786" s="470"/>
      <c r="L1786" s="470">
        <f t="shared" si="438"/>
        <v>0</v>
      </c>
      <c r="M1786" s="470">
        <f t="shared" si="439"/>
        <v>89566</v>
      </c>
      <c r="N1786" s="470">
        <f t="shared" si="440"/>
        <v>9941</v>
      </c>
      <c r="O1786" s="457"/>
      <c r="P1786" s="767"/>
    </row>
    <row r="1787" spans="2:17" ht="15.2" customHeight="1">
      <c r="B1787" s="766" t="s">
        <v>912</v>
      </c>
      <c r="C1787" s="766"/>
      <c r="D1787" s="84" t="s">
        <v>3241</v>
      </c>
      <c r="E1787" s="448">
        <v>1</v>
      </c>
      <c r="F1787" s="86" t="s">
        <v>1357</v>
      </c>
      <c r="G1787" s="470">
        <f>$H$340</f>
        <v>135</v>
      </c>
      <c r="H1787" s="470">
        <f t="shared" si="436"/>
        <v>135</v>
      </c>
      <c r="I1787" s="470">
        <f>$J$340</f>
        <v>2713</v>
      </c>
      <c r="J1787" s="470">
        <f t="shared" si="437"/>
        <v>2713</v>
      </c>
      <c r="K1787" s="470">
        <f>$L$340</f>
        <v>122</v>
      </c>
      <c r="L1787" s="470">
        <f t="shared" si="438"/>
        <v>122</v>
      </c>
      <c r="M1787" s="470">
        <f t="shared" si="439"/>
        <v>2970</v>
      </c>
      <c r="N1787" s="470">
        <f t="shared" si="440"/>
        <v>2970</v>
      </c>
      <c r="O1787" s="462">
        <f>$P$335</f>
        <v>50</v>
      </c>
      <c r="P1787" s="767"/>
    </row>
    <row r="1788" spans="2:17" ht="15.2" customHeight="1">
      <c r="B1788" s="766" t="s">
        <v>1984</v>
      </c>
      <c r="C1788" s="766"/>
      <c r="D1788" s="84" t="s">
        <v>1403</v>
      </c>
      <c r="E1788" s="88">
        <v>1.7000000000000001E-2</v>
      </c>
      <c r="F1788" s="86" t="s">
        <v>1168</v>
      </c>
      <c r="G1788" s="470">
        <f>$H$9</f>
        <v>98700</v>
      </c>
      <c r="H1788" s="470">
        <f t="shared" si="436"/>
        <v>1677</v>
      </c>
      <c r="I1788" s="470">
        <f>$J$9</f>
        <v>59113</v>
      </c>
      <c r="J1788" s="470">
        <f t="shared" si="437"/>
        <v>1004</v>
      </c>
      <c r="K1788" s="470">
        <f>$L$9</f>
        <v>17680</v>
      </c>
      <c r="L1788" s="470">
        <f t="shared" si="438"/>
        <v>300</v>
      </c>
      <c r="M1788" s="470">
        <f t="shared" si="439"/>
        <v>175493</v>
      </c>
      <c r="N1788" s="470">
        <f t="shared" si="440"/>
        <v>2981</v>
      </c>
      <c r="O1788" s="462">
        <f>$P$5</f>
        <v>1</v>
      </c>
      <c r="P1788" s="767"/>
    </row>
    <row r="1789" spans="2:17" ht="15.2" customHeight="1">
      <c r="B1789" s="766" t="s">
        <v>855</v>
      </c>
      <c r="C1789" s="766"/>
      <c r="D1789" s="84"/>
      <c r="E1789" s="87"/>
      <c r="F1789" s="86"/>
      <c r="G1789" s="470"/>
      <c r="H1789" s="470">
        <f>SUM(H1781:H1788)</f>
        <v>4088</v>
      </c>
      <c r="I1789" s="470"/>
      <c r="J1789" s="470">
        <f>SUM(J1781:J1788)</f>
        <v>25294</v>
      </c>
      <c r="K1789" s="470"/>
      <c r="L1789" s="470">
        <f>SUM(L1781:L1788)</f>
        <v>556</v>
      </c>
      <c r="M1789" s="470"/>
      <c r="N1789" s="470">
        <f>SUM(N1781:N1788)</f>
        <v>29938</v>
      </c>
      <c r="O1789" s="457"/>
      <c r="P1789" s="767"/>
      <c r="Q1789" s="80" t="s">
        <v>3244</v>
      </c>
    </row>
    <row r="1790" spans="2:17" ht="15.2" customHeight="1">
      <c r="B1790" s="96">
        <f>P1790</f>
        <v>325</v>
      </c>
      <c r="C1790" s="770" t="s">
        <v>1373</v>
      </c>
      <c r="D1790" s="770"/>
      <c r="E1790" s="770"/>
      <c r="F1790" s="771"/>
      <c r="G1790" s="470"/>
      <c r="H1790" s="470"/>
      <c r="I1790" s="470"/>
      <c r="J1790" s="470"/>
      <c r="K1790" s="470"/>
      <c r="L1790" s="470"/>
      <c r="M1790" s="470"/>
      <c r="N1790" s="470"/>
      <c r="O1790" s="457"/>
      <c r="P1790" s="767">
        <f>MAX($P$5:P1789)+1</f>
        <v>325</v>
      </c>
      <c r="Q1790" s="80" t="s">
        <v>3243</v>
      </c>
    </row>
    <row r="1791" spans="2:17" ht="15.2" customHeight="1">
      <c r="B1791" s="766" t="s">
        <v>88</v>
      </c>
      <c r="C1791" s="766"/>
      <c r="D1791" s="84" t="s">
        <v>1301</v>
      </c>
      <c r="E1791" s="88">
        <v>0.29899999999999999</v>
      </c>
      <c r="F1791" s="86" t="s">
        <v>453</v>
      </c>
      <c r="G1791" s="470">
        <f>중기사용료!$M$1575</f>
        <v>0</v>
      </c>
      <c r="H1791" s="470">
        <f t="shared" ref="H1791:H1797" si="441">TRUNC(E1791*G1791,0)</f>
        <v>0</v>
      </c>
      <c r="I1791" s="470">
        <f>중기사용료!$M$1569</f>
        <v>0</v>
      </c>
      <c r="J1791" s="470">
        <f t="shared" ref="J1791:J1797" si="442">TRUNC(I1791*E1791,0)</f>
        <v>0</v>
      </c>
      <c r="K1791" s="470">
        <f>중기사용료!$M$1563</f>
        <v>243</v>
      </c>
      <c r="L1791" s="470">
        <f t="shared" ref="L1791:L1797" si="443">TRUNC(K1791*E1791,0)</f>
        <v>72</v>
      </c>
      <c r="M1791" s="470">
        <f t="shared" ref="M1791:M1797" si="444">G1791+I1791+K1791</f>
        <v>243</v>
      </c>
      <c r="N1791" s="470">
        <f t="shared" ref="N1791:N1797" si="445">H1791+J1791+L1791</f>
        <v>72</v>
      </c>
      <c r="O1791" s="460">
        <f>중기사용료!$A$1560</f>
        <v>83</v>
      </c>
      <c r="P1791" s="767"/>
    </row>
    <row r="1792" spans="2:17" ht="15.2" customHeight="1">
      <c r="B1792" s="766" t="s">
        <v>910</v>
      </c>
      <c r="C1792" s="766"/>
      <c r="D1792" s="84" t="s">
        <v>911</v>
      </c>
      <c r="E1792" s="95">
        <v>3.3300000000000001E-3</v>
      </c>
      <c r="F1792" s="86" t="s">
        <v>969</v>
      </c>
      <c r="G1792" s="470">
        <f>사급자재!$M$95</f>
        <v>172000</v>
      </c>
      <c r="H1792" s="470">
        <f t="shared" si="441"/>
        <v>572</v>
      </c>
      <c r="I1792" s="470">
        <f>중기사용료!$M$1569</f>
        <v>0</v>
      </c>
      <c r="J1792" s="470">
        <f t="shared" si="442"/>
        <v>0</v>
      </c>
      <c r="K1792" s="470"/>
      <c r="L1792" s="470">
        <f t="shared" si="443"/>
        <v>0</v>
      </c>
      <c r="M1792" s="470">
        <f t="shared" si="444"/>
        <v>172000</v>
      </c>
      <c r="N1792" s="470">
        <f t="shared" si="445"/>
        <v>572</v>
      </c>
      <c r="O1792" s="464"/>
      <c r="P1792" s="767"/>
    </row>
    <row r="1793" spans="2:17" ht="15.2" customHeight="1">
      <c r="B1793" s="766" t="s">
        <v>3219</v>
      </c>
      <c r="C1793" s="766"/>
      <c r="D1793" s="84" t="s">
        <v>3218</v>
      </c>
      <c r="E1793" s="87">
        <v>0.05</v>
      </c>
      <c r="F1793" s="86" t="s">
        <v>933</v>
      </c>
      <c r="G1793" s="470">
        <f>SUM(J1794:J1796)</f>
        <v>12370</v>
      </c>
      <c r="H1793" s="470">
        <f t="shared" si="441"/>
        <v>618</v>
      </c>
      <c r="I1793" s="470"/>
      <c r="J1793" s="470">
        <f t="shared" si="442"/>
        <v>0</v>
      </c>
      <c r="K1793" s="470"/>
      <c r="L1793" s="470">
        <f t="shared" si="443"/>
        <v>0</v>
      </c>
      <c r="M1793" s="470">
        <f t="shared" si="444"/>
        <v>12370</v>
      </c>
      <c r="N1793" s="470">
        <f t="shared" si="445"/>
        <v>618</v>
      </c>
      <c r="O1793" s="457"/>
      <c r="P1793" s="767"/>
    </row>
    <row r="1794" spans="2:17" ht="15.2" customHeight="1">
      <c r="B1794" s="766" t="s">
        <v>3187</v>
      </c>
      <c r="C1794" s="766"/>
      <c r="D1794" s="84"/>
      <c r="E1794" s="88">
        <v>0.03</v>
      </c>
      <c r="F1794" s="86" t="s">
        <v>1163</v>
      </c>
      <c r="G1794" s="470"/>
      <c r="H1794" s="470">
        <f t="shared" si="441"/>
        <v>0</v>
      </c>
      <c r="I1794" s="470">
        <f>SUMIF('노임(2015)'!$B$4:$B$87,B1794,'노임(2015)'!$C$4:$C$87)+SUMIF('노임(2015)'!$E$4:$E$87,B1794,'노임(2015)'!$F$4:$F$87)</f>
        <v>90909</v>
      </c>
      <c r="J1794" s="470">
        <f t="shared" si="442"/>
        <v>2727</v>
      </c>
      <c r="K1794" s="470"/>
      <c r="L1794" s="470">
        <f t="shared" si="443"/>
        <v>0</v>
      </c>
      <c r="M1794" s="470">
        <f t="shared" si="444"/>
        <v>90909</v>
      </c>
      <c r="N1794" s="470">
        <f t="shared" si="445"/>
        <v>2727</v>
      </c>
      <c r="O1794" s="457"/>
      <c r="P1794" s="767"/>
    </row>
    <row r="1795" spans="2:17" ht="15.2" customHeight="1">
      <c r="B1795" s="766" t="s">
        <v>1165</v>
      </c>
      <c r="C1795" s="766"/>
      <c r="D1795" s="84"/>
      <c r="E1795" s="88">
        <v>3.5000000000000003E-2</v>
      </c>
      <c r="F1795" s="86" t="s">
        <v>1163</v>
      </c>
      <c r="G1795" s="470"/>
      <c r="H1795" s="470">
        <f t="shared" si="441"/>
        <v>0</v>
      </c>
      <c r="I1795" s="470">
        <f>SUMIF('노임(2015)'!$B$4:$B$87,B1795,'노임(2015)'!$C$4:$C$87)+SUMIF('노임(2015)'!$E$4:$E$87,B1795,'노임(2015)'!$F$4:$F$87)</f>
        <v>111771</v>
      </c>
      <c r="J1795" s="470">
        <f t="shared" si="442"/>
        <v>3911</v>
      </c>
      <c r="K1795" s="470"/>
      <c r="L1795" s="470">
        <f t="shared" si="443"/>
        <v>0</v>
      </c>
      <c r="M1795" s="470">
        <f t="shared" si="444"/>
        <v>111771</v>
      </c>
      <c r="N1795" s="470">
        <f t="shared" si="445"/>
        <v>3911</v>
      </c>
      <c r="O1795" s="457"/>
      <c r="P1795" s="767"/>
    </row>
    <row r="1796" spans="2:17" ht="15.2" customHeight="1">
      <c r="B1796" s="766" t="s">
        <v>1162</v>
      </c>
      <c r="C1796" s="766"/>
      <c r="D1796" s="84"/>
      <c r="E1796" s="88">
        <v>6.4000000000000001E-2</v>
      </c>
      <c r="F1796" s="86" t="s">
        <v>1163</v>
      </c>
      <c r="G1796" s="470"/>
      <c r="H1796" s="470">
        <f t="shared" si="441"/>
        <v>0</v>
      </c>
      <c r="I1796" s="470">
        <f>SUMIF('노임(2015)'!$B$4:$B$87,B1796,'노임(2015)'!$C$4:$C$87)+SUMIF('노임(2015)'!$E$4:$E$87,B1796,'노임(2015)'!$F$4:$F$87)</f>
        <v>89566</v>
      </c>
      <c r="J1796" s="470">
        <f t="shared" si="442"/>
        <v>5732</v>
      </c>
      <c r="K1796" s="470"/>
      <c r="L1796" s="470">
        <f t="shared" si="443"/>
        <v>0</v>
      </c>
      <c r="M1796" s="470">
        <f t="shared" si="444"/>
        <v>89566</v>
      </c>
      <c r="N1796" s="470">
        <f t="shared" si="445"/>
        <v>5732</v>
      </c>
      <c r="O1796" s="457"/>
      <c r="P1796" s="767"/>
    </row>
    <row r="1797" spans="2:17" ht="15.2" customHeight="1">
      <c r="B1797" s="766" t="s">
        <v>1984</v>
      </c>
      <c r="C1797" s="766"/>
      <c r="D1797" s="84" t="s">
        <v>1403</v>
      </c>
      <c r="E1797" s="88">
        <v>6.0000000000000001E-3</v>
      </c>
      <c r="F1797" s="86" t="s">
        <v>1168</v>
      </c>
      <c r="G1797" s="470">
        <f>$H$9</f>
        <v>98700</v>
      </c>
      <c r="H1797" s="470">
        <f t="shared" si="441"/>
        <v>592</v>
      </c>
      <c r="I1797" s="470">
        <f>$J$9</f>
        <v>59113</v>
      </c>
      <c r="J1797" s="470">
        <f t="shared" si="442"/>
        <v>354</v>
      </c>
      <c r="K1797" s="470">
        <f>$L$9</f>
        <v>17680</v>
      </c>
      <c r="L1797" s="470">
        <f t="shared" si="443"/>
        <v>106</v>
      </c>
      <c r="M1797" s="470">
        <f t="shared" si="444"/>
        <v>175493</v>
      </c>
      <c r="N1797" s="470">
        <f t="shared" si="445"/>
        <v>1052</v>
      </c>
      <c r="O1797" s="462">
        <f>$P$5</f>
        <v>1</v>
      </c>
      <c r="P1797" s="767"/>
    </row>
    <row r="1798" spans="2:17" ht="15.2" customHeight="1">
      <c r="B1798" s="766" t="s">
        <v>855</v>
      </c>
      <c r="C1798" s="766"/>
      <c r="D1798" s="84"/>
      <c r="E1798" s="87"/>
      <c r="F1798" s="86"/>
      <c r="G1798" s="470"/>
      <c r="H1798" s="470">
        <f>SUM(H1791:H1797)</f>
        <v>1782</v>
      </c>
      <c r="I1798" s="470"/>
      <c r="J1798" s="470">
        <f>SUM(J1791:J1797)</f>
        <v>12724</v>
      </c>
      <c r="K1798" s="470"/>
      <c r="L1798" s="470">
        <f>SUM(L1791:L1797)</f>
        <v>178</v>
      </c>
      <c r="M1798" s="470"/>
      <c r="N1798" s="470">
        <f>SUM(N1791:N1797)</f>
        <v>14684</v>
      </c>
      <c r="O1798" s="457"/>
      <c r="P1798" s="767"/>
      <c r="Q1798" s="80" t="s">
        <v>3244</v>
      </c>
    </row>
    <row r="1799" spans="2:17" ht="15.2" customHeight="1">
      <c r="B1799" s="96">
        <f>P1799</f>
        <v>326</v>
      </c>
      <c r="C1799" s="770" t="s">
        <v>1374</v>
      </c>
      <c r="D1799" s="770"/>
      <c r="E1799" s="770"/>
      <c r="F1799" s="771"/>
      <c r="G1799" s="470"/>
      <c r="H1799" s="470"/>
      <c r="I1799" s="470"/>
      <c r="J1799" s="470"/>
      <c r="K1799" s="470"/>
      <c r="L1799" s="470"/>
      <c r="M1799" s="470"/>
      <c r="N1799" s="470"/>
      <c r="O1799" s="457"/>
      <c r="P1799" s="767">
        <f>MAX($P$5:P1798)+1</f>
        <v>326</v>
      </c>
      <c r="Q1799" s="80" t="s">
        <v>3243</v>
      </c>
    </row>
    <row r="1800" spans="2:17" ht="15.2" customHeight="1">
      <c r="B1800" s="766" t="s">
        <v>88</v>
      </c>
      <c r="C1800" s="766"/>
      <c r="D1800" s="84" t="s">
        <v>1301</v>
      </c>
      <c r="E1800" s="88">
        <v>0.61099999999999999</v>
      </c>
      <c r="F1800" s="86" t="s">
        <v>453</v>
      </c>
      <c r="G1800" s="470">
        <f>중기사용료!$M$1575</f>
        <v>0</v>
      </c>
      <c r="H1800" s="470">
        <f t="shared" ref="H1800:H1807" si="446">TRUNC(E1800*G1800,0)</f>
        <v>0</v>
      </c>
      <c r="I1800" s="470">
        <f>중기사용료!$M$1569</f>
        <v>0</v>
      </c>
      <c r="J1800" s="470">
        <f t="shared" ref="J1800:J1807" si="447">TRUNC(I1800*E1800,0)</f>
        <v>0</v>
      </c>
      <c r="K1800" s="470">
        <f>중기사용료!$M$1563</f>
        <v>243</v>
      </c>
      <c r="L1800" s="470">
        <f t="shared" ref="L1800:L1807" si="448">TRUNC(K1800*E1800,0)</f>
        <v>148</v>
      </c>
      <c r="M1800" s="470">
        <f t="shared" ref="M1800:M1807" si="449">G1800+I1800+K1800</f>
        <v>243</v>
      </c>
      <c r="N1800" s="470">
        <f t="shared" ref="N1800:N1807" si="450">H1800+J1800+L1800</f>
        <v>148</v>
      </c>
      <c r="O1800" s="460">
        <f>중기사용료!$A$1560</f>
        <v>83</v>
      </c>
      <c r="P1800" s="767"/>
    </row>
    <row r="1801" spans="2:17" ht="15.2" customHeight="1">
      <c r="B1801" s="766" t="s">
        <v>910</v>
      </c>
      <c r="C1801" s="766"/>
      <c r="D1801" s="84" t="s">
        <v>913</v>
      </c>
      <c r="E1801" s="95">
        <v>3.3300000000000001E-3</v>
      </c>
      <c r="F1801" s="86" t="s">
        <v>969</v>
      </c>
      <c r="G1801" s="470">
        <f>사급자재!$M$98</f>
        <v>360000</v>
      </c>
      <c r="H1801" s="470">
        <f t="shared" si="446"/>
        <v>1198</v>
      </c>
      <c r="I1801" s="470">
        <f>중기사용료!$M$1569</f>
        <v>0</v>
      </c>
      <c r="J1801" s="470">
        <f t="shared" si="447"/>
        <v>0</v>
      </c>
      <c r="K1801" s="470"/>
      <c r="L1801" s="470">
        <f t="shared" si="448"/>
        <v>0</v>
      </c>
      <c r="M1801" s="470">
        <f t="shared" si="449"/>
        <v>360000</v>
      </c>
      <c r="N1801" s="470">
        <f t="shared" si="450"/>
        <v>1198</v>
      </c>
      <c r="O1801" s="464"/>
      <c r="P1801" s="767"/>
    </row>
    <row r="1802" spans="2:17" ht="15.2" customHeight="1">
      <c r="B1802" s="766" t="s">
        <v>3219</v>
      </c>
      <c r="C1802" s="766"/>
      <c r="D1802" s="84" t="s">
        <v>3218</v>
      </c>
      <c r="E1802" s="87">
        <v>0.05</v>
      </c>
      <c r="F1802" s="86" t="s">
        <v>933</v>
      </c>
      <c r="G1802" s="470">
        <f>SUM(J1803:J1805)</f>
        <v>23327</v>
      </c>
      <c r="H1802" s="470">
        <f t="shared" si="446"/>
        <v>1166</v>
      </c>
      <c r="I1802" s="470"/>
      <c r="J1802" s="470">
        <f t="shared" si="447"/>
        <v>0</v>
      </c>
      <c r="K1802" s="470"/>
      <c r="L1802" s="470">
        <f t="shared" si="448"/>
        <v>0</v>
      </c>
      <c r="M1802" s="470">
        <f t="shared" si="449"/>
        <v>23327</v>
      </c>
      <c r="N1802" s="470">
        <f t="shared" si="450"/>
        <v>1166</v>
      </c>
      <c r="O1802" s="457"/>
      <c r="P1802" s="767"/>
    </row>
    <row r="1803" spans="2:17" ht="15.2" customHeight="1">
      <c r="B1803" s="766" t="s">
        <v>3187</v>
      </c>
      <c r="C1803" s="766"/>
      <c r="D1803" s="84"/>
      <c r="E1803" s="88">
        <v>5.7000000000000002E-2</v>
      </c>
      <c r="F1803" s="86" t="s">
        <v>1163</v>
      </c>
      <c r="G1803" s="470"/>
      <c r="H1803" s="470">
        <f t="shared" si="446"/>
        <v>0</v>
      </c>
      <c r="I1803" s="470">
        <f>SUMIF('노임(2015)'!$B$4:$B$87,B1803,'노임(2015)'!$C$4:$C$87)+SUMIF('노임(2015)'!$E$4:$E$87,B1803,'노임(2015)'!$F$4:$F$87)</f>
        <v>90909</v>
      </c>
      <c r="J1803" s="470">
        <f t="shared" si="447"/>
        <v>5181</v>
      </c>
      <c r="K1803" s="470"/>
      <c r="L1803" s="470">
        <f t="shared" si="448"/>
        <v>0</v>
      </c>
      <c r="M1803" s="470">
        <f t="shared" si="449"/>
        <v>90909</v>
      </c>
      <c r="N1803" s="470">
        <f t="shared" si="450"/>
        <v>5181</v>
      </c>
      <c r="O1803" s="457"/>
      <c r="P1803" s="767"/>
    </row>
    <row r="1804" spans="2:17" ht="15.2" customHeight="1">
      <c r="B1804" s="766" t="s">
        <v>1165</v>
      </c>
      <c r="C1804" s="766"/>
      <c r="D1804" s="84"/>
      <c r="E1804" s="88">
        <v>6.7000000000000004E-2</v>
      </c>
      <c r="F1804" s="86" t="s">
        <v>1163</v>
      </c>
      <c r="G1804" s="470"/>
      <c r="H1804" s="470">
        <f t="shared" si="446"/>
        <v>0</v>
      </c>
      <c r="I1804" s="470">
        <f>SUMIF('노임(2015)'!$B$4:$B$87,B1804,'노임(2015)'!$C$4:$C$87)+SUMIF('노임(2015)'!$E$4:$E$87,B1804,'노임(2015)'!$F$4:$F$87)</f>
        <v>111771</v>
      </c>
      <c r="J1804" s="470">
        <f t="shared" si="447"/>
        <v>7488</v>
      </c>
      <c r="K1804" s="470"/>
      <c r="L1804" s="470">
        <f t="shared" si="448"/>
        <v>0</v>
      </c>
      <c r="M1804" s="470">
        <f t="shared" si="449"/>
        <v>111771</v>
      </c>
      <c r="N1804" s="470">
        <f t="shared" si="450"/>
        <v>7488</v>
      </c>
      <c r="O1804" s="457"/>
      <c r="P1804" s="767"/>
    </row>
    <row r="1805" spans="2:17" ht="15.2" customHeight="1">
      <c r="B1805" s="766" t="s">
        <v>1162</v>
      </c>
      <c r="C1805" s="766"/>
      <c r="D1805" s="84"/>
      <c r="E1805" s="88">
        <v>0.11899999999999999</v>
      </c>
      <c r="F1805" s="86" t="s">
        <v>1163</v>
      </c>
      <c r="G1805" s="470"/>
      <c r="H1805" s="470">
        <f t="shared" si="446"/>
        <v>0</v>
      </c>
      <c r="I1805" s="470">
        <f>SUMIF('노임(2015)'!$B$4:$B$87,B1805,'노임(2015)'!$C$4:$C$87)+SUMIF('노임(2015)'!$E$4:$E$87,B1805,'노임(2015)'!$F$4:$F$87)</f>
        <v>89566</v>
      </c>
      <c r="J1805" s="470">
        <f t="shared" si="447"/>
        <v>10658</v>
      </c>
      <c r="K1805" s="470"/>
      <c r="L1805" s="470">
        <f t="shared" si="448"/>
        <v>0</v>
      </c>
      <c r="M1805" s="470">
        <f t="shared" si="449"/>
        <v>89566</v>
      </c>
      <c r="N1805" s="470">
        <f t="shared" si="450"/>
        <v>10658</v>
      </c>
      <c r="O1805" s="457"/>
      <c r="P1805" s="767"/>
    </row>
    <row r="1806" spans="2:17" ht="15.2" customHeight="1">
      <c r="B1806" s="766" t="s">
        <v>912</v>
      </c>
      <c r="C1806" s="766"/>
      <c r="D1806" s="84" t="s">
        <v>3241</v>
      </c>
      <c r="E1806" s="448">
        <v>1</v>
      </c>
      <c r="F1806" s="86" t="s">
        <v>1357</v>
      </c>
      <c r="G1806" s="470">
        <f>$H$340</f>
        <v>135</v>
      </c>
      <c r="H1806" s="470">
        <f t="shared" si="446"/>
        <v>135</v>
      </c>
      <c r="I1806" s="470">
        <f>$J$340</f>
        <v>2713</v>
      </c>
      <c r="J1806" s="470">
        <f t="shared" si="447"/>
        <v>2713</v>
      </c>
      <c r="K1806" s="470">
        <f>$L$340</f>
        <v>122</v>
      </c>
      <c r="L1806" s="470">
        <f t="shared" si="448"/>
        <v>122</v>
      </c>
      <c r="M1806" s="470">
        <f t="shared" si="449"/>
        <v>2970</v>
      </c>
      <c r="N1806" s="470">
        <f t="shared" si="450"/>
        <v>2970</v>
      </c>
      <c r="O1806" s="462">
        <f>$P$335</f>
        <v>50</v>
      </c>
      <c r="P1806" s="767"/>
    </row>
    <row r="1807" spans="2:17" ht="15.2" customHeight="1">
      <c r="B1807" s="766" t="s">
        <v>1984</v>
      </c>
      <c r="C1807" s="766"/>
      <c r="D1807" s="84" t="s">
        <v>1403</v>
      </c>
      <c r="E1807" s="88">
        <v>1.7000000000000001E-2</v>
      </c>
      <c r="F1807" s="86" t="s">
        <v>1168</v>
      </c>
      <c r="G1807" s="470">
        <f>$H$9</f>
        <v>98700</v>
      </c>
      <c r="H1807" s="470">
        <f t="shared" si="446"/>
        <v>1677</v>
      </c>
      <c r="I1807" s="470">
        <f>$J$9</f>
        <v>59113</v>
      </c>
      <c r="J1807" s="470">
        <f t="shared" si="447"/>
        <v>1004</v>
      </c>
      <c r="K1807" s="470">
        <f>$L$9</f>
        <v>17680</v>
      </c>
      <c r="L1807" s="470">
        <f t="shared" si="448"/>
        <v>300</v>
      </c>
      <c r="M1807" s="470">
        <f t="shared" si="449"/>
        <v>175493</v>
      </c>
      <c r="N1807" s="470">
        <f t="shared" si="450"/>
        <v>2981</v>
      </c>
      <c r="O1807" s="462">
        <f>$P$5</f>
        <v>1</v>
      </c>
      <c r="P1807" s="767"/>
    </row>
    <row r="1808" spans="2:17" ht="15.2" customHeight="1">
      <c r="B1808" s="766" t="s">
        <v>855</v>
      </c>
      <c r="C1808" s="766"/>
      <c r="D1808" s="84"/>
      <c r="E1808" s="87"/>
      <c r="F1808" s="86"/>
      <c r="G1808" s="470"/>
      <c r="H1808" s="470">
        <f>SUM(H1800:H1807)</f>
        <v>4176</v>
      </c>
      <c r="I1808" s="470"/>
      <c r="J1808" s="470">
        <f>SUM(J1800:J1807)</f>
        <v>27044</v>
      </c>
      <c r="K1808" s="470"/>
      <c r="L1808" s="470">
        <f>SUM(L1800:L1807)</f>
        <v>570</v>
      </c>
      <c r="M1808" s="470"/>
      <c r="N1808" s="470">
        <f>SUM(N1800:N1807)</f>
        <v>31790</v>
      </c>
      <c r="O1808" s="457"/>
      <c r="P1808" s="767"/>
      <c r="Q1808" s="80" t="s">
        <v>3244</v>
      </c>
    </row>
    <row r="1809" spans="2:17" ht="15.2" customHeight="1">
      <c r="B1809" s="96">
        <f>P1809</f>
        <v>327</v>
      </c>
      <c r="C1809" s="770" t="s">
        <v>1375</v>
      </c>
      <c r="D1809" s="770"/>
      <c r="E1809" s="770"/>
      <c r="F1809" s="771"/>
      <c r="G1809" s="470"/>
      <c r="H1809" s="470"/>
      <c r="I1809" s="470"/>
      <c r="J1809" s="470"/>
      <c r="K1809" s="470"/>
      <c r="L1809" s="470"/>
      <c r="M1809" s="470"/>
      <c r="N1809" s="470"/>
      <c r="O1809" s="457"/>
      <c r="P1809" s="767">
        <f>MAX($P$5:P1808)+1</f>
        <v>327</v>
      </c>
      <c r="Q1809" s="80" t="s">
        <v>3243</v>
      </c>
    </row>
    <row r="1810" spans="2:17" ht="15.2" customHeight="1">
      <c r="B1810" s="766" t="s">
        <v>88</v>
      </c>
      <c r="C1810" s="766"/>
      <c r="D1810" s="84" t="s">
        <v>1301</v>
      </c>
      <c r="E1810" s="88">
        <v>0.35</v>
      </c>
      <c r="F1810" s="86" t="s">
        <v>453</v>
      </c>
      <c r="G1810" s="470">
        <f>중기사용료!$M$1575</f>
        <v>0</v>
      </c>
      <c r="H1810" s="470">
        <f t="shared" ref="H1810:H1816" si="451">TRUNC(E1810*G1810,0)</f>
        <v>0</v>
      </c>
      <c r="I1810" s="470">
        <f>중기사용료!$M$1569</f>
        <v>0</v>
      </c>
      <c r="J1810" s="470">
        <f t="shared" ref="J1810:J1816" si="452">TRUNC(I1810*E1810,0)</f>
        <v>0</v>
      </c>
      <c r="K1810" s="470">
        <f>중기사용료!$M$1563</f>
        <v>243</v>
      </c>
      <c r="L1810" s="470">
        <f t="shared" ref="L1810:L1816" si="453">TRUNC(K1810*E1810,0)</f>
        <v>85</v>
      </c>
      <c r="M1810" s="470">
        <f t="shared" ref="M1810:M1816" si="454">G1810+I1810+K1810</f>
        <v>243</v>
      </c>
      <c r="N1810" s="470">
        <f t="shared" ref="N1810:N1816" si="455">H1810+J1810+L1810</f>
        <v>85</v>
      </c>
      <c r="O1810" s="460">
        <f>중기사용료!$A$1560</f>
        <v>83</v>
      </c>
      <c r="P1810" s="767"/>
    </row>
    <row r="1811" spans="2:17" ht="15.2" customHeight="1">
      <c r="B1811" s="766" t="s">
        <v>910</v>
      </c>
      <c r="C1811" s="766"/>
      <c r="D1811" s="84" t="s">
        <v>911</v>
      </c>
      <c r="E1811" s="95">
        <v>3.3300000000000001E-3</v>
      </c>
      <c r="F1811" s="86" t="s">
        <v>969</v>
      </c>
      <c r="G1811" s="470">
        <f>사급자재!$M$95</f>
        <v>172000</v>
      </c>
      <c r="H1811" s="470">
        <f t="shared" si="451"/>
        <v>572</v>
      </c>
      <c r="I1811" s="470">
        <f>중기사용료!$M$1569</f>
        <v>0</v>
      </c>
      <c r="J1811" s="470">
        <f t="shared" si="452"/>
        <v>0</v>
      </c>
      <c r="K1811" s="470"/>
      <c r="L1811" s="470">
        <f t="shared" si="453"/>
        <v>0</v>
      </c>
      <c r="M1811" s="470">
        <f t="shared" si="454"/>
        <v>172000</v>
      </c>
      <c r="N1811" s="470">
        <f t="shared" si="455"/>
        <v>572</v>
      </c>
      <c r="O1811" s="464"/>
      <c r="P1811" s="767"/>
    </row>
    <row r="1812" spans="2:17" ht="15.2" customHeight="1">
      <c r="B1812" s="766" t="s">
        <v>3219</v>
      </c>
      <c r="C1812" s="766"/>
      <c r="D1812" s="84" t="s">
        <v>3218</v>
      </c>
      <c r="E1812" s="87">
        <v>0.05</v>
      </c>
      <c r="F1812" s="86" t="s">
        <v>933</v>
      </c>
      <c r="G1812" s="470">
        <f>SUM(J1813:J1815)</f>
        <v>13336</v>
      </c>
      <c r="H1812" s="470">
        <f t="shared" si="451"/>
        <v>666</v>
      </c>
      <c r="I1812" s="470"/>
      <c r="J1812" s="470">
        <f t="shared" si="452"/>
        <v>0</v>
      </c>
      <c r="K1812" s="470"/>
      <c r="L1812" s="470">
        <f t="shared" si="453"/>
        <v>0</v>
      </c>
      <c r="M1812" s="470">
        <f t="shared" si="454"/>
        <v>13336</v>
      </c>
      <c r="N1812" s="470">
        <f t="shared" si="455"/>
        <v>666</v>
      </c>
      <c r="O1812" s="457"/>
      <c r="P1812" s="767"/>
    </row>
    <row r="1813" spans="2:17" ht="15.2" customHeight="1">
      <c r="B1813" s="766" t="s">
        <v>3187</v>
      </c>
      <c r="C1813" s="766"/>
      <c r="D1813" s="84"/>
      <c r="E1813" s="88">
        <v>3.3000000000000002E-2</v>
      </c>
      <c r="F1813" s="86" t="s">
        <v>1163</v>
      </c>
      <c r="G1813" s="470"/>
      <c r="H1813" s="470">
        <f t="shared" si="451"/>
        <v>0</v>
      </c>
      <c r="I1813" s="470">
        <f>SUMIF('노임(2015)'!$B$4:$B$87,B1813,'노임(2015)'!$C$4:$C$87)+SUMIF('노임(2015)'!$E$4:$E$87,B1813,'노임(2015)'!$F$4:$F$87)</f>
        <v>90909</v>
      </c>
      <c r="J1813" s="470">
        <f t="shared" si="452"/>
        <v>2999</v>
      </c>
      <c r="K1813" s="470"/>
      <c r="L1813" s="470">
        <f t="shared" si="453"/>
        <v>0</v>
      </c>
      <c r="M1813" s="470">
        <f t="shared" si="454"/>
        <v>90909</v>
      </c>
      <c r="N1813" s="470">
        <f t="shared" si="455"/>
        <v>2999</v>
      </c>
      <c r="O1813" s="457"/>
      <c r="P1813" s="767"/>
    </row>
    <row r="1814" spans="2:17" ht="15.2" customHeight="1">
      <c r="B1814" s="766" t="s">
        <v>1165</v>
      </c>
      <c r="C1814" s="766"/>
      <c r="D1814" s="84"/>
      <c r="E1814" s="88">
        <v>3.7999999999999999E-2</v>
      </c>
      <c r="F1814" s="86" t="s">
        <v>1163</v>
      </c>
      <c r="G1814" s="470"/>
      <c r="H1814" s="470">
        <f t="shared" si="451"/>
        <v>0</v>
      </c>
      <c r="I1814" s="470">
        <f>SUMIF('노임(2015)'!$B$4:$B$87,B1814,'노임(2015)'!$C$4:$C$87)+SUMIF('노임(2015)'!$E$4:$E$87,B1814,'노임(2015)'!$F$4:$F$87)</f>
        <v>111771</v>
      </c>
      <c r="J1814" s="470">
        <f t="shared" si="452"/>
        <v>4247</v>
      </c>
      <c r="K1814" s="470"/>
      <c r="L1814" s="470">
        <f t="shared" si="453"/>
        <v>0</v>
      </c>
      <c r="M1814" s="470">
        <f t="shared" si="454"/>
        <v>111771</v>
      </c>
      <c r="N1814" s="470">
        <f t="shared" si="455"/>
        <v>4247</v>
      </c>
      <c r="O1814" s="457"/>
      <c r="P1814" s="767"/>
    </row>
    <row r="1815" spans="2:17" ht="15.2" customHeight="1">
      <c r="B1815" s="766" t="s">
        <v>1162</v>
      </c>
      <c r="C1815" s="766"/>
      <c r="D1815" s="84"/>
      <c r="E1815" s="88">
        <v>6.8000000000000005E-2</v>
      </c>
      <c r="F1815" s="86" t="s">
        <v>1163</v>
      </c>
      <c r="G1815" s="470"/>
      <c r="H1815" s="470">
        <f t="shared" si="451"/>
        <v>0</v>
      </c>
      <c r="I1815" s="470">
        <f>SUMIF('노임(2015)'!$B$4:$B$87,B1815,'노임(2015)'!$C$4:$C$87)+SUMIF('노임(2015)'!$E$4:$E$87,B1815,'노임(2015)'!$F$4:$F$87)</f>
        <v>89566</v>
      </c>
      <c r="J1815" s="470">
        <f t="shared" si="452"/>
        <v>6090</v>
      </c>
      <c r="K1815" s="470"/>
      <c r="L1815" s="470">
        <f t="shared" si="453"/>
        <v>0</v>
      </c>
      <c r="M1815" s="470">
        <f t="shared" si="454"/>
        <v>89566</v>
      </c>
      <c r="N1815" s="470">
        <f t="shared" si="455"/>
        <v>6090</v>
      </c>
      <c r="O1815" s="457"/>
      <c r="P1815" s="767"/>
    </row>
    <row r="1816" spans="2:17" ht="15.2" customHeight="1">
      <c r="B1816" s="766" t="s">
        <v>1984</v>
      </c>
      <c r="C1816" s="766"/>
      <c r="D1816" s="84" t="s">
        <v>1403</v>
      </c>
      <c r="E1816" s="88">
        <v>6.0000000000000001E-3</v>
      </c>
      <c r="F1816" s="86" t="s">
        <v>1168</v>
      </c>
      <c r="G1816" s="470">
        <f>$H$9</f>
        <v>98700</v>
      </c>
      <c r="H1816" s="470">
        <f t="shared" si="451"/>
        <v>592</v>
      </c>
      <c r="I1816" s="470">
        <f>$J$9</f>
        <v>59113</v>
      </c>
      <c r="J1816" s="470">
        <f t="shared" si="452"/>
        <v>354</v>
      </c>
      <c r="K1816" s="470">
        <f>$L$9</f>
        <v>17680</v>
      </c>
      <c r="L1816" s="470">
        <f t="shared" si="453"/>
        <v>106</v>
      </c>
      <c r="M1816" s="470">
        <f t="shared" si="454"/>
        <v>175493</v>
      </c>
      <c r="N1816" s="470">
        <f t="shared" si="455"/>
        <v>1052</v>
      </c>
      <c r="O1816" s="462">
        <f>$P$5</f>
        <v>1</v>
      </c>
      <c r="P1816" s="767"/>
    </row>
    <row r="1817" spans="2:17" ht="15.2" customHeight="1">
      <c r="B1817" s="766" t="s">
        <v>855</v>
      </c>
      <c r="C1817" s="766"/>
      <c r="D1817" s="84"/>
      <c r="E1817" s="87"/>
      <c r="F1817" s="86"/>
      <c r="G1817" s="470"/>
      <c r="H1817" s="470">
        <f>SUM(H1810:H1816)</f>
        <v>1830</v>
      </c>
      <c r="I1817" s="470"/>
      <c r="J1817" s="470">
        <f>SUM(J1810:J1816)</f>
        <v>13690</v>
      </c>
      <c r="K1817" s="470"/>
      <c r="L1817" s="470">
        <f>SUM(L1810:L1816)</f>
        <v>191</v>
      </c>
      <c r="M1817" s="470"/>
      <c r="N1817" s="470">
        <f>SUM(N1810:N1816)</f>
        <v>15711</v>
      </c>
      <c r="O1817" s="457"/>
      <c r="P1817" s="767"/>
      <c r="Q1817" s="80" t="s">
        <v>3244</v>
      </c>
    </row>
    <row r="1818" spans="2:17" ht="15.2" customHeight="1">
      <c r="B1818" s="96">
        <f>P1818</f>
        <v>328</v>
      </c>
      <c r="C1818" s="770" t="s">
        <v>1376</v>
      </c>
      <c r="D1818" s="770"/>
      <c r="E1818" s="770"/>
      <c r="F1818" s="771"/>
      <c r="G1818" s="470"/>
      <c r="H1818" s="470"/>
      <c r="I1818" s="470"/>
      <c r="J1818" s="470"/>
      <c r="K1818" s="470"/>
      <c r="L1818" s="470"/>
      <c r="M1818" s="470"/>
      <c r="N1818" s="470"/>
      <c r="O1818" s="457"/>
      <c r="P1818" s="767">
        <f>MAX($P$5:P1817)+1</f>
        <v>328</v>
      </c>
      <c r="Q1818" s="80" t="s">
        <v>3243</v>
      </c>
    </row>
    <row r="1819" spans="2:17" ht="15.2" customHeight="1">
      <c r="B1819" s="766" t="s">
        <v>88</v>
      </c>
      <c r="C1819" s="766"/>
      <c r="D1819" s="84" t="s">
        <v>1301</v>
      </c>
      <c r="E1819" s="88">
        <v>0.71599999999999997</v>
      </c>
      <c r="F1819" s="86" t="s">
        <v>453</v>
      </c>
      <c r="G1819" s="470">
        <f>중기사용료!$M$1575</f>
        <v>0</v>
      </c>
      <c r="H1819" s="470">
        <f t="shared" ref="H1819:H1826" si="456">TRUNC(E1819*G1819,0)</f>
        <v>0</v>
      </c>
      <c r="I1819" s="470">
        <f>중기사용료!$M$1569</f>
        <v>0</v>
      </c>
      <c r="J1819" s="470">
        <f t="shared" ref="J1819:J1826" si="457">TRUNC(I1819*E1819,0)</f>
        <v>0</v>
      </c>
      <c r="K1819" s="470">
        <f>중기사용료!$M$1563</f>
        <v>243</v>
      </c>
      <c r="L1819" s="470">
        <f t="shared" ref="L1819:L1826" si="458">TRUNC(K1819*E1819,0)</f>
        <v>173</v>
      </c>
      <c r="M1819" s="470">
        <f t="shared" ref="M1819:M1826" si="459">G1819+I1819+K1819</f>
        <v>243</v>
      </c>
      <c r="N1819" s="470">
        <f t="shared" ref="N1819:N1826" si="460">H1819+J1819+L1819</f>
        <v>173</v>
      </c>
      <c r="O1819" s="460">
        <f>중기사용료!$A$1560</f>
        <v>83</v>
      </c>
      <c r="P1819" s="767"/>
    </row>
    <row r="1820" spans="2:17" ht="15.2" customHeight="1">
      <c r="B1820" s="766" t="s">
        <v>910</v>
      </c>
      <c r="C1820" s="766"/>
      <c r="D1820" s="84" t="s">
        <v>913</v>
      </c>
      <c r="E1820" s="95">
        <v>3.3300000000000001E-3</v>
      </c>
      <c r="F1820" s="86" t="s">
        <v>969</v>
      </c>
      <c r="G1820" s="470">
        <f>사급자재!$M$98</f>
        <v>360000</v>
      </c>
      <c r="H1820" s="470">
        <f t="shared" si="456"/>
        <v>1198</v>
      </c>
      <c r="I1820" s="470">
        <f>중기사용료!$M$1569</f>
        <v>0</v>
      </c>
      <c r="J1820" s="470">
        <f t="shared" si="457"/>
        <v>0</v>
      </c>
      <c r="K1820" s="470"/>
      <c r="L1820" s="470">
        <f t="shared" si="458"/>
        <v>0</v>
      </c>
      <c r="M1820" s="470">
        <f t="shared" si="459"/>
        <v>360000</v>
      </c>
      <c r="N1820" s="470">
        <f t="shared" si="460"/>
        <v>1198</v>
      </c>
      <c r="O1820" s="464"/>
      <c r="P1820" s="767"/>
    </row>
    <row r="1821" spans="2:17" ht="15.2" customHeight="1">
      <c r="B1821" s="766" t="s">
        <v>3219</v>
      </c>
      <c r="C1821" s="766"/>
      <c r="D1821" s="84" t="s">
        <v>3218</v>
      </c>
      <c r="E1821" s="87">
        <v>0.05</v>
      </c>
      <c r="F1821" s="86" t="s">
        <v>933</v>
      </c>
      <c r="G1821" s="470">
        <f>SUM(J1822:J1824)</f>
        <v>24853</v>
      </c>
      <c r="H1821" s="470">
        <f t="shared" si="456"/>
        <v>1242</v>
      </c>
      <c r="I1821" s="470"/>
      <c r="J1821" s="470">
        <f t="shared" si="457"/>
        <v>0</v>
      </c>
      <c r="K1821" s="470"/>
      <c r="L1821" s="470">
        <f t="shared" si="458"/>
        <v>0</v>
      </c>
      <c r="M1821" s="470">
        <f t="shared" si="459"/>
        <v>24853</v>
      </c>
      <c r="N1821" s="470">
        <f t="shared" si="460"/>
        <v>1242</v>
      </c>
      <c r="O1821" s="457"/>
      <c r="P1821" s="767"/>
    </row>
    <row r="1822" spans="2:17" ht="15.2" customHeight="1">
      <c r="B1822" s="766" t="s">
        <v>3187</v>
      </c>
      <c r="C1822" s="766"/>
      <c r="D1822" s="84"/>
      <c r="E1822" s="88">
        <v>0.06</v>
      </c>
      <c r="F1822" s="86" t="s">
        <v>1163</v>
      </c>
      <c r="G1822" s="470"/>
      <c r="H1822" s="470">
        <f t="shared" si="456"/>
        <v>0</v>
      </c>
      <c r="I1822" s="470">
        <f>SUMIF('노임(2015)'!$B$4:$B$87,B1822,'노임(2015)'!$C$4:$C$87)+SUMIF('노임(2015)'!$E$4:$E$87,B1822,'노임(2015)'!$F$4:$F$87)</f>
        <v>90909</v>
      </c>
      <c r="J1822" s="470">
        <f t="shared" si="457"/>
        <v>5454</v>
      </c>
      <c r="K1822" s="470"/>
      <c r="L1822" s="470">
        <f t="shared" si="458"/>
        <v>0</v>
      </c>
      <c r="M1822" s="470">
        <f t="shared" si="459"/>
        <v>90909</v>
      </c>
      <c r="N1822" s="470">
        <f t="shared" si="460"/>
        <v>5454</v>
      </c>
      <c r="O1822" s="457"/>
      <c r="P1822" s="767"/>
    </row>
    <row r="1823" spans="2:17" ht="15.2" customHeight="1">
      <c r="B1823" s="766" t="s">
        <v>1165</v>
      </c>
      <c r="C1823" s="766"/>
      <c r="D1823" s="84"/>
      <c r="E1823" s="88">
        <v>7.0999999999999994E-2</v>
      </c>
      <c r="F1823" s="86" t="s">
        <v>1163</v>
      </c>
      <c r="G1823" s="470"/>
      <c r="H1823" s="470">
        <f t="shared" si="456"/>
        <v>0</v>
      </c>
      <c r="I1823" s="470">
        <f>SUMIF('노임(2015)'!$B$4:$B$87,B1823,'노임(2015)'!$C$4:$C$87)+SUMIF('노임(2015)'!$E$4:$E$87,B1823,'노임(2015)'!$F$4:$F$87)</f>
        <v>111771</v>
      </c>
      <c r="J1823" s="470">
        <f t="shared" si="457"/>
        <v>7935</v>
      </c>
      <c r="K1823" s="470"/>
      <c r="L1823" s="470">
        <f t="shared" si="458"/>
        <v>0</v>
      </c>
      <c r="M1823" s="470">
        <f t="shared" si="459"/>
        <v>111771</v>
      </c>
      <c r="N1823" s="470">
        <f t="shared" si="460"/>
        <v>7935</v>
      </c>
      <c r="O1823" s="457"/>
      <c r="P1823" s="767"/>
    </row>
    <row r="1824" spans="2:17" ht="15.2" customHeight="1">
      <c r="B1824" s="766" t="s">
        <v>1162</v>
      </c>
      <c r="C1824" s="766"/>
      <c r="D1824" s="84"/>
      <c r="E1824" s="88">
        <v>0.128</v>
      </c>
      <c r="F1824" s="86" t="s">
        <v>1163</v>
      </c>
      <c r="G1824" s="470"/>
      <c r="H1824" s="470">
        <f t="shared" si="456"/>
        <v>0</v>
      </c>
      <c r="I1824" s="470">
        <f>SUMIF('노임(2015)'!$B$4:$B$87,B1824,'노임(2015)'!$C$4:$C$87)+SUMIF('노임(2015)'!$E$4:$E$87,B1824,'노임(2015)'!$F$4:$F$87)</f>
        <v>89566</v>
      </c>
      <c r="J1824" s="470">
        <f t="shared" si="457"/>
        <v>11464</v>
      </c>
      <c r="K1824" s="470"/>
      <c r="L1824" s="470">
        <f t="shared" si="458"/>
        <v>0</v>
      </c>
      <c r="M1824" s="470">
        <f t="shared" si="459"/>
        <v>89566</v>
      </c>
      <c r="N1824" s="470">
        <f t="shared" si="460"/>
        <v>11464</v>
      </c>
      <c r="O1824" s="457"/>
      <c r="P1824" s="767"/>
    </row>
    <row r="1825" spans="2:17" ht="15.2" customHeight="1">
      <c r="B1825" s="766" t="s">
        <v>912</v>
      </c>
      <c r="C1825" s="766"/>
      <c r="D1825" s="84" t="s">
        <v>3241</v>
      </c>
      <c r="E1825" s="448">
        <v>1</v>
      </c>
      <c r="F1825" s="86" t="s">
        <v>1357</v>
      </c>
      <c r="G1825" s="470">
        <f>$H$340</f>
        <v>135</v>
      </c>
      <c r="H1825" s="470">
        <f t="shared" si="456"/>
        <v>135</v>
      </c>
      <c r="I1825" s="470">
        <f>$J$340</f>
        <v>2713</v>
      </c>
      <c r="J1825" s="470">
        <f t="shared" si="457"/>
        <v>2713</v>
      </c>
      <c r="K1825" s="470">
        <f>$L$340</f>
        <v>122</v>
      </c>
      <c r="L1825" s="470">
        <f t="shared" si="458"/>
        <v>122</v>
      </c>
      <c r="M1825" s="470">
        <f t="shared" si="459"/>
        <v>2970</v>
      </c>
      <c r="N1825" s="470">
        <f t="shared" si="460"/>
        <v>2970</v>
      </c>
      <c r="O1825" s="462">
        <f>$P$335</f>
        <v>50</v>
      </c>
      <c r="P1825" s="767"/>
    </row>
    <row r="1826" spans="2:17" ht="15.2" customHeight="1">
      <c r="B1826" s="766" t="s">
        <v>1984</v>
      </c>
      <c r="C1826" s="766"/>
      <c r="D1826" s="84" t="s">
        <v>1403</v>
      </c>
      <c r="E1826" s="88">
        <v>1.7000000000000001E-2</v>
      </c>
      <c r="F1826" s="86" t="s">
        <v>1168</v>
      </c>
      <c r="G1826" s="470">
        <f>$H$9</f>
        <v>98700</v>
      </c>
      <c r="H1826" s="470">
        <f t="shared" si="456"/>
        <v>1677</v>
      </c>
      <c r="I1826" s="470">
        <f>$J$9</f>
        <v>59113</v>
      </c>
      <c r="J1826" s="470">
        <f t="shared" si="457"/>
        <v>1004</v>
      </c>
      <c r="K1826" s="470">
        <f>$L$9</f>
        <v>17680</v>
      </c>
      <c r="L1826" s="470">
        <f t="shared" si="458"/>
        <v>300</v>
      </c>
      <c r="M1826" s="470">
        <f t="shared" si="459"/>
        <v>175493</v>
      </c>
      <c r="N1826" s="470">
        <f t="shared" si="460"/>
        <v>2981</v>
      </c>
      <c r="O1826" s="462">
        <f>$P$5</f>
        <v>1</v>
      </c>
      <c r="P1826" s="767"/>
    </row>
    <row r="1827" spans="2:17" ht="15.2" customHeight="1">
      <c r="B1827" s="766" t="s">
        <v>855</v>
      </c>
      <c r="C1827" s="766"/>
      <c r="D1827" s="84"/>
      <c r="E1827" s="87"/>
      <c r="F1827" s="86"/>
      <c r="G1827" s="470"/>
      <c r="H1827" s="470">
        <f>SUM(H1819:H1826)</f>
        <v>4252</v>
      </c>
      <c r="I1827" s="470"/>
      <c r="J1827" s="470">
        <f>SUM(J1819:J1826)</f>
        <v>28570</v>
      </c>
      <c r="K1827" s="470"/>
      <c r="L1827" s="470">
        <f>SUM(L1819:L1826)</f>
        <v>595</v>
      </c>
      <c r="M1827" s="470"/>
      <c r="N1827" s="470">
        <f>SUM(N1819:N1826)</f>
        <v>33417</v>
      </c>
      <c r="O1827" s="457"/>
      <c r="P1827" s="767"/>
      <c r="Q1827" s="80" t="s">
        <v>3244</v>
      </c>
    </row>
    <row r="1828" spans="2:17" ht="15.2" customHeight="1">
      <c r="B1828" s="96">
        <f>P1828</f>
        <v>329</v>
      </c>
      <c r="C1828" s="770" t="s">
        <v>1377</v>
      </c>
      <c r="D1828" s="770"/>
      <c r="E1828" s="770"/>
      <c r="F1828" s="771"/>
      <c r="G1828" s="470"/>
      <c r="H1828" s="470"/>
      <c r="I1828" s="470"/>
      <c r="J1828" s="470"/>
      <c r="K1828" s="470"/>
      <c r="L1828" s="470"/>
      <c r="M1828" s="470"/>
      <c r="N1828" s="470"/>
      <c r="O1828" s="457"/>
      <c r="P1828" s="767">
        <f>MAX($P$5:P1827)+1</f>
        <v>329</v>
      </c>
      <c r="Q1828" s="80" t="s">
        <v>3243</v>
      </c>
    </row>
    <row r="1829" spans="2:17" ht="15.2" customHeight="1">
      <c r="B1829" s="766" t="s">
        <v>88</v>
      </c>
      <c r="C1829" s="766"/>
      <c r="D1829" s="84" t="s">
        <v>1301</v>
      </c>
      <c r="E1829" s="88">
        <v>0.14000000000000001</v>
      </c>
      <c r="F1829" s="86" t="s">
        <v>453</v>
      </c>
      <c r="G1829" s="470">
        <f>중기사용료!$M$1575</f>
        <v>0</v>
      </c>
      <c r="H1829" s="470">
        <f t="shared" ref="H1829:H1836" si="461">TRUNC(E1829*G1829,0)</f>
        <v>0</v>
      </c>
      <c r="I1829" s="470">
        <f>중기사용료!$M$1569</f>
        <v>0</v>
      </c>
      <c r="J1829" s="470">
        <f t="shared" ref="J1829:J1836" si="462">TRUNC(I1829*E1829,0)</f>
        <v>0</v>
      </c>
      <c r="K1829" s="470">
        <f>중기사용료!$M$1563</f>
        <v>243</v>
      </c>
      <c r="L1829" s="470">
        <f t="shared" ref="L1829:L1836" si="463">TRUNC(K1829*E1829,0)</f>
        <v>34</v>
      </c>
      <c r="M1829" s="470">
        <f t="shared" ref="M1829:M1835" si="464">G1829+I1829+K1829</f>
        <v>243</v>
      </c>
      <c r="N1829" s="470">
        <f t="shared" ref="N1829:N1835" si="465">H1829+J1829+L1829</f>
        <v>34</v>
      </c>
      <c r="O1829" s="460">
        <f>중기사용료!$A$1560</f>
        <v>83</v>
      </c>
      <c r="P1829" s="767"/>
    </row>
    <row r="1830" spans="2:17" ht="15.2" customHeight="1">
      <c r="B1830" s="766" t="s">
        <v>910</v>
      </c>
      <c r="C1830" s="766"/>
      <c r="D1830" s="84" t="s">
        <v>911</v>
      </c>
      <c r="E1830" s="95">
        <v>3.3300000000000001E-3</v>
      </c>
      <c r="F1830" s="86" t="s">
        <v>969</v>
      </c>
      <c r="G1830" s="470">
        <f>사급자재!$M$95</f>
        <v>172000</v>
      </c>
      <c r="H1830" s="470">
        <f t="shared" si="461"/>
        <v>572</v>
      </c>
      <c r="I1830" s="470">
        <f>중기사용료!$M$1569</f>
        <v>0</v>
      </c>
      <c r="J1830" s="470">
        <f t="shared" si="462"/>
        <v>0</v>
      </c>
      <c r="K1830" s="470"/>
      <c r="L1830" s="470">
        <f t="shared" si="463"/>
        <v>0</v>
      </c>
      <c r="M1830" s="470">
        <f t="shared" si="464"/>
        <v>172000</v>
      </c>
      <c r="N1830" s="470">
        <f t="shared" si="465"/>
        <v>572</v>
      </c>
      <c r="O1830" s="464"/>
      <c r="P1830" s="767"/>
    </row>
    <row r="1831" spans="2:17" ht="15.2" customHeight="1">
      <c r="B1831" s="766" t="s">
        <v>3219</v>
      </c>
      <c r="C1831" s="766"/>
      <c r="D1831" s="84" t="s">
        <v>3218</v>
      </c>
      <c r="E1831" s="87">
        <v>0.05</v>
      </c>
      <c r="F1831" s="86" t="s">
        <v>933</v>
      </c>
      <c r="G1831" s="470">
        <f>SUM(J1832:J1834)</f>
        <v>8419</v>
      </c>
      <c r="H1831" s="470">
        <f t="shared" si="461"/>
        <v>420</v>
      </c>
      <c r="I1831" s="470"/>
      <c r="J1831" s="470">
        <f t="shared" si="462"/>
        <v>0</v>
      </c>
      <c r="K1831" s="470"/>
      <c r="L1831" s="470">
        <f t="shared" si="463"/>
        <v>0</v>
      </c>
      <c r="M1831" s="470">
        <f t="shared" si="464"/>
        <v>8419</v>
      </c>
      <c r="N1831" s="470">
        <f t="shared" si="465"/>
        <v>420</v>
      </c>
      <c r="O1831" s="457"/>
      <c r="P1831" s="767"/>
    </row>
    <row r="1832" spans="2:17" ht="15.2" customHeight="1">
      <c r="B1832" s="766" t="s">
        <v>3187</v>
      </c>
      <c r="C1832" s="766"/>
      <c r="D1832" s="84"/>
      <c r="E1832" s="88">
        <v>2.1000000000000001E-2</v>
      </c>
      <c r="F1832" s="86" t="s">
        <v>1163</v>
      </c>
      <c r="G1832" s="470"/>
      <c r="H1832" s="470">
        <f t="shared" si="461"/>
        <v>0</v>
      </c>
      <c r="I1832" s="470">
        <f>SUMIF('노임(2015)'!$B$4:$B$87,B1832,'노임(2015)'!$C$4:$C$87)+SUMIF('노임(2015)'!$E$4:$E$87,B1832,'노임(2015)'!$F$4:$F$87)</f>
        <v>90909</v>
      </c>
      <c r="J1832" s="470">
        <f t="shared" si="462"/>
        <v>1909</v>
      </c>
      <c r="K1832" s="470"/>
      <c r="L1832" s="470">
        <f t="shared" si="463"/>
        <v>0</v>
      </c>
      <c r="M1832" s="470">
        <f t="shared" si="464"/>
        <v>90909</v>
      </c>
      <c r="N1832" s="470">
        <f t="shared" si="465"/>
        <v>1909</v>
      </c>
      <c r="O1832" s="457"/>
      <c r="P1832" s="767"/>
    </row>
    <row r="1833" spans="2:17" ht="15.2" customHeight="1">
      <c r="B1833" s="766" t="s">
        <v>1165</v>
      </c>
      <c r="C1833" s="766"/>
      <c r="D1833" s="84"/>
      <c r="E1833" s="88">
        <v>2.3E-2</v>
      </c>
      <c r="F1833" s="86" t="s">
        <v>1163</v>
      </c>
      <c r="G1833" s="470"/>
      <c r="H1833" s="470">
        <f t="shared" si="461"/>
        <v>0</v>
      </c>
      <c r="I1833" s="470">
        <f>SUMIF('노임(2015)'!$B$4:$B$87,B1833,'노임(2015)'!$C$4:$C$87)+SUMIF('노임(2015)'!$E$4:$E$87,B1833,'노임(2015)'!$F$4:$F$87)</f>
        <v>111771</v>
      </c>
      <c r="J1833" s="470">
        <f t="shared" si="462"/>
        <v>2570</v>
      </c>
      <c r="K1833" s="470"/>
      <c r="L1833" s="470">
        <f t="shared" si="463"/>
        <v>0</v>
      </c>
      <c r="M1833" s="470">
        <f t="shared" si="464"/>
        <v>111771</v>
      </c>
      <c r="N1833" s="470">
        <f t="shared" si="465"/>
        <v>2570</v>
      </c>
      <c r="O1833" s="457"/>
      <c r="P1833" s="767"/>
    </row>
    <row r="1834" spans="2:17" ht="15.2" customHeight="1">
      <c r="B1834" s="766" t="s">
        <v>1162</v>
      </c>
      <c r="C1834" s="766"/>
      <c r="D1834" s="84"/>
      <c r="E1834" s="88">
        <v>4.3999999999999997E-2</v>
      </c>
      <c r="F1834" s="86" t="s">
        <v>1163</v>
      </c>
      <c r="G1834" s="470"/>
      <c r="H1834" s="470">
        <f t="shared" si="461"/>
        <v>0</v>
      </c>
      <c r="I1834" s="470">
        <f>SUMIF('노임(2015)'!$B$4:$B$87,B1834,'노임(2015)'!$C$4:$C$87)+SUMIF('노임(2015)'!$E$4:$E$87,B1834,'노임(2015)'!$F$4:$F$87)</f>
        <v>89566</v>
      </c>
      <c r="J1834" s="470">
        <f t="shared" si="462"/>
        <v>3940</v>
      </c>
      <c r="K1834" s="470"/>
      <c r="L1834" s="470">
        <f t="shared" si="463"/>
        <v>0</v>
      </c>
      <c r="M1834" s="470">
        <f t="shared" si="464"/>
        <v>89566</v>
      </c>
      <c r="N1834" s="470">
        <f t="shared" si="465"/>
        <v>3940</v>
      </c>
      <c r="O1834" s="457"/>
      <c r="P1834" s="767"/>
    </row>
    <row r="1835" spans="2:17" ht="15.2" customHeight="1">
      <c r="B1835" s="766" t="s">
        <v>141</v>
      </c>
      <c r="C1835" s="766"/>
      <c r="D1835" s="84" t="s">
        <v>142</v>
      </c>
      <c r="E1835" s="87">
        <v>1</v>
      </c>
      <c r="F1835" s="86" t="s">
        <v>143</v>
      </c>
      <c r="G1835" s="470">
        <f>사급자재!$M$203</f>
        <v>46900</v>
      </c>
      <c r="H1835" s="470">
        <f t="shared" si="461"/>
        <v>46900</v>
      </c>
      <c r="I1835" s="470"/>
      <c r="J1835" s="470">
        <f t="shared" si="462"/>
        <v>0</v>
      </c>
      <c r="K1835" s="470"/>
      <c r="L1835" s="470">
        <f t="shared" si="463"/>
        <v>0</v>
      </c>
      <c r="M1835" s="470">
        <f t="shared" si="464"/>
        <v>46900</v>
      </c>
      <c r="N1835" s="470">
        <f t="shared" si="465"/>
        <v>46900</v>
      </c>
      <c r="O1835" s="457"/>
      <c r="P1835" s="767"/>
    </row>
    <row r="1836" spans="2:17" ht="15.2" customHeight="1">
      <c r="B1836" s="766" t="s">
        <v>3609</v>
      </c>
      <c r="C1836" s="766"/>
      <c r="D1836" s="84" t="s">
        <v>3611</v>
      </c>
      <c r="E1836" s="88">
        <v>0.03</v>
      </c>
      <c r="F1836" s="86" t="s">
        <v>1190</v>
      </c>
      <c r="G1836" s="470"/>
      <c r="H1836" s="470">
        <f t="shared" si="461"/>
        <v>0</v>
      </c>
      <c r="I1836" s="470">
        <f>SUMIF('노임(2015)'!$B$4:$B$87,B1836,'노임(2015)'!$C$4:$C$87)+SUMIF('노임(2015)'!$E$4:$E$87,B1836,'노임(2015)'!$F$4:$F$87)</f>
        <v>118066</v>
      </c>
      <c r="J1836" s="470">
        <f t="shared" si="462"/>
        <v>3541</v>
      </c>
      <c r="K1836" s="470"/>
      <c r="L1836" s="470">
        <f t="shared" si="463"/>
        <v>0</v>
      </c>
      <c r="M1836" s="470">
        <f>G1836+I1836+K1836</f>
        <v>118066</v>
      </c>
      <c r="N1836" s="470">
        <f>H1836+J1836+L1836</f>
        <v>3541</v>
      </c>
      <c r="O1836" s="457"/>
      <c r="P1836" s="767"/>
    </row>
    <row r="1837" spans="2:17" ht="15.2" customHeight="1">
      <c r="B1837" s="766" t="s">
        <v>855</v>
      </c>
      <c r="C1837" s="766"/>
      <c r="D1837" s="84"/>
      <c r="E1837" s="87"/>
      <c r="F1837" s="86"/>
      <c r="G1837" s="470"/>
      <c r="H1837" s="470">
        <f>SUM(H1829:H1836)</f>
        <v>47892</v>
      </c>
      <c r="I1837" s="470"/>
      <c r="J1837" s="470">
        <f>SUM(J1829:J1836)</f>
        <v>11960</v>
      </c>
      <c r="K1837" s="470"/>
      <c r="L1837" s="470">
        <f>SUM(L1829:L1836)</f>
        <v>34</v>
      </c>
      <c r="M1837" s="470"/>
      <c r="N1837" s="470">
        <f>SUM(N1829:N1836)</f>
        <v>59886</v>
      </c>
      <c r="O1837" s="457"/>
      <c r="P1837" s="767"/>
      <c r="Q1837" s="80" t="s">
        <v>3244</v>
      </c>
    </row>
    <row r="1838" spans="2:17" ht="15.2" customHeight="1">
      <c r="B1838" s="96">
        <f>P1838</f>
        <v>330</v>
      </c>
      <c r="C1838" s="770" t="s">
        <v>1378</v>
      </c>
      <c r="D1838" s="770"/>
      <c r="E1838" s="770"/>
      <c r="F1838" s="771"/>
      <c r="G1838" s="470"/>
      <c r="H1838" s="470"/>
      <c r="I1838" s="470"/>
      <c r="J1838" s="470"/>
      <c r="K1838" s="470"/>
      <c r="L1838" s="470"/>
      <c r="M1838" s="470"/>
      <c r="N1838" s="470"/>
      <c r="O1838" s="457"/>
      <c r="P1838" s="767">
        <f>MAX($P$5:P1837)+1</f>
        <v>330</v>
      </c>
      <c r="Q1838" s="80" t="s">
        <v>3243</v>
      </c>
    </row>
    <row r="1839" spans="2:17" ht="15.2" customHeight="1">
      <c r="B1839" s="766" t="s">
        <v>88</v>
      </c>
      <c r="C1839" s="766"/>
      <c r="D1839" s="84" t="s">
        <v>1301</v>
      </c>
      <c r="E1839" s="88">
        <v>0.185</v>
      </c>
      <c r="F1839" s="86" t="s">
        <v>453</v>
      </c>
      <c r="G1839" s="470">
        <f>중기사용료!$M$1575</f>
        <v>0</v>
      </c>
      <c r="H1839" s="470">
        <f t="shared" ref="H1839:H1846" si="466">TRUNC(E1839*G1839,0)</f>
        <v>0</v>
      </c>
      <c r="I1839" s="470">
        <f>중기사용료!$M$1569</f>
        <v>0</v>
      </c>
      <c r="J1839" s="470">
        <f t="shared" ref="J1839:J1846" si="467">TRUNC(I1839*E1839,0)</f>
        <v>0</v>
      </c>
      <c r="K1839" s="470">
        <f>중기사용료!$M$1563</f>
        <v>243</v>
      </c>
      <c r="L1839" s="470">
        <f t="shared" ref="L1839:L1846" si="468">TRUNC(K1839*E1839,0)</f>
        <v>44</v>
      </c>
      <c r="M1839" s="470">
        <f t="shared" ref="M1839:M1845" si="469">G1839+I1839+K1839</f>
        <v>243</v>
      </c>
      <c r="N1839" s="470">
        <f t="shared" ref="N1839:N1845" si="470">H1839+J1839+L1839</f>
        <v>44</v>
      </c>
      <c r="O1839" s="460">
        <f>중기사용료!$A$1560</f>
        <v>83</v>
      </c>
      <c r="P1839" s="767"/>
    </row>
    <row r="1840" spans="2:17" ht="15.2" customHeight="1">
      <c r="B1840" s="766" t="s">
        <v>910</v>
      </c>
      <c r="C1840" s="766"/>
      <c r="D1840" s="84" t="s">
        <v>911</v>
      </c>
      <c r="E1840" s="95">
        <v>3.3300000000000001E-3</v>
      </c>
      <c r="F1840" s="86" t="s">
        <v>969</v>
      </c>
      <c r="G1840" s="470">
        <f>사급자재!$M$95</f>
        <v>172000</v>
      </c>
      <c r="H1840" s="470">
        <f t="shared" si="466"/>
        <v>572</v>
      </c>
      <c r="I1840" s="470">
        <f>중기사용료!$M$1569</f>
        <v>0</v>
      </c>
      <c r="J1840" s="470">
        <f t="shared" si="467"/>
        <v>0</v>
      </c>
      <c r="K1840" s="470"/>
      <c r="L1840" s="470">
        <f t="shared" si="468"/>
        <v>0</v>
      </c>
      <c r="M1840" s="470">
        <f t="shared" si="469"/>
        <v>172000</v>
      </c>
      <c r="N1840" s="470">
        <f t="shared" si="470"/>
        <v>572</v>
      </c>
      <c r="O1840" s="464"/>
      <c r="P1840" s="767"/>
    </row>
    <row r="1841" spans="2:17" ht="15.2" customHeight="1">
      <c r="B1841" s="766" t="s">
        <v>3219</v>
      </c>
      <c r="C1841" s="766"/>
      <c r="D1841" s="84" t="s">
        <v>3218</v>
      </c>
      <c r="E1841" s="87">
        <v>0.05</v>
      </c>
      <c r="F1841" s="86" t="s">
        <v>933</v>
      </c>
      <c r="G1841" s="470">
        <f>SUM(J1842:J1844)</f>
        <v>9274</v>
      </c>
      <c r="H1841" s="470">
        <f t="shared" si="466"/>
        <v>463</v>
      </c>
      <c r="I1841" s="470"/>
      <c r="J1841" s="470">
        <f t="shared" si="467"/>
        <v>0</v>
      </c>
      <c r="K1841" s="470"/>
      <c r="L1841" s="470">
        <f t="shared" si="468"/>
        <v>0</v>
      </c>
      <c r="M1841" s="470">
        <f t="shared" si="469"/>
        <v>9274</v>
      </c>
      <c r="N1841" s="470">
        <f t="shared" si="470"/>
        <v>463</v>
      </c>
      <c r="O1841" s="457"/>
      <c r="P1841" s="767"/>
    </row>
    <row r="1842" spans="2:17" ht="15.2" customHeight="1">
      <c r="B1842" s="766" t="s">
        <v>3187</v>
      </c>
      <c r="C1842" s="766"/>
      <c r="D1842" s="84"/>
      <c r="E1842" s="88">
        <v>2.4E-2</v>
      </c>
      <c r="F1842" s="86" t="s">
        <v>1163</v>
      </c>
      <c r="G1842" s="470"/>
      <c r="H1842" s="470">
        <f t="shared" si="466"/>
        <v>0</v>
      </c>
      <c r="I1842" s="470">
        <f>SUMIF('노임(2015)'!$B$4:$B$87,B1842,'노임(2015)'!$C$4:$C$87)+SUMIF('노임(2015)'!$E$4:$E$87,B1842,'노임(2015)'!$F$4:$F$87)</f>
        <v>90909</v>
      </c>
      <c r="J1842" s="470">
        <f t="shared" si="467"/>
        <v>2181</v>
      </c>
      <c r="K1842" s="470"/>
      <c r="L1842" s="470">
        <f t="shared" si="468"/>
        <v>0</v>
      </c>
      <c r="M1842" s="470">
        <f t="shared" si="469"/>
        <v>90909</v>
      </c>
      <c r="N1842" s="470">
        <f t="shared" si="470"/>
        <v>2181</v>
      </c>
      <c r="O1842" s="457"/>
      <c r="P1842" s="767"/>
    </row>
    <row r="1843" spans="2:17" ht="15.2" customHeight="1">
      <c r="B1843" s="766" t="s">
        <v>1165</v>
      </c>
      <c r="C1843" s="766"/>
      <c r="D1843" s="84"/>
      <c r="E1843" s="88">
        <v>2.5000000000000001E-2</v>
      </c>
      <c r="F1843" s="86" t="s">
        <v>1163</v>
      </c>
      <c r="G1843" s="470"/>
      <c r="H1843" s="470">
        <f t="shared" si="466"/>
        <v>0</v>
      </c>
      <c r="I1843" s="470">
        <f>SUMIF('노임(2015)'!$B$4:$B$87,B1843,'노임(2015)'!$C$4:$C$87)+SUMIF('노임(2015)'!$E$4:$E$87,B1843,'노임(2015)'!$F$4:$F$87)</f>
        <v>111771</v>
      </c>
      <c r="J1843" s="470">
        <f t="shared" si="467"/>
        <v>2794</v>
      </c>
      <c r="K1843" s="470"/>
      <c r="L1843" s="470">
        <f t="shared" si="468"/>
        <v>0</v>
      </c>
      <c r="M1843" s="470">
        <f t="shared" si="469"/>
        <v>111771</v>
      </c>
      <c r="N1843" s="470">
        <f t="shared" si="470"/>
        <v>2794</v>
      </c>
      <c r="O1843" s="457"/>
      <c r="P1843" s="767"/>
    </row>
    <row r="1844" spans="2:17" ht="15.2" customHeight="1">
      <c r="B1844" s="766" t="s">
        <v>1162</v>
      </c>
      <c r="C1844" s="766"/>
      <c r="D1844" s="84"/>
      <c r="E1844" s="88">
        <v>4.8000000000000001E-2</v>
      </c>
      <c r="F1844" s="86" t="s">
        <v>1163</v>
      </c>
      <c r="G1844" s="470"/>
      <c r="H1844" s="470">
        <f t="shared" si="466"/>
        <v>0</v>
      </c>
      <c r="I1844" s="470">
        <f>SUMIF('노임(2015)'!$B$4:$B$87,B1844,'노임(2015)'!$C$4:$C$87)+SUMIF('노임(2015)'!$E$4:$E$87,B1844,'노임(2015)'!$F$4:$F$87)</f>
        <v>89566</v>
      </c>
      <c r="J1844" s="470">
        <f t="shared" si="467"/>
        <v>4299</v>
      </c>
      <c r="K1844" s="470"/>
      <c r="L1844" s="470">
        <f t="shared" si="468"/>
        <v>0</v>
      </c>
      <c r="M1844" s="470">
        <f t="shared" si="469"/>
        <v>89566</v>
      </c>
      <c r="N1844" s="470">
        <f t="shared" si="470"/>
        <v>4299</v>
      </c>
      <c r="O1844" s="457"/>
      <c r="P1844" s="767"/>
    </row>
    <row r="1845" spans="2:17" ht="15.2" customHeight="1">
      <c r="B1845" s="766" t="s">
        <v>141</v>
      </c>
      <c r="C1845" s="766"/>
      <c r="D1845" s="84" t="s">
        <v>142</v>
      </c>
      <c r="E1845" s="87">
        <v>1</v>
      </c>
      <c r="F1845" s="86" t="s">
        <v>143</v>
      </c>
      <c r="G1845" s="470">
        <f>사급자재!$M$203</f>
        <v>46900</v>
      </c>
      <c r="H1845" s="470">
        <f t="shared" si="466"/>
        <v>46900</v>
      </c>
      <c r="I1845" s="470"/>
      <c r="J1845" s="470">
        <f t="shared" si="467"/>
        <v>0</v>
      </c>
      <c r="K1845" s="470"/>
      <c r="L1845" s="470">
        <f t="shared" si="468"/>
        <v>0</v>
      </c>
      <c r="M1845" s="470">
        <f t="shared" si="469"/>
        <v>46900</v>
      </c>
      <c r="N1845" s="470">
        <f t="shared" si="470"/>
        <v>46900</v>
      </c>
      <c r="O1845" s="457"/>
      <c r="P1845" s="767"/>
    </row>
    <row r="1846" spans="2:17" ht="15.2" customHeight="1">
      <c r="B1846" s="766" t="s">
        <v>3609</v>
      </c>
      <c r="C1846" s="766"/>
      <c r="D1846" s="84" t="s">
        <v>3611</v>
      </c>
      <c r="E1846" s="88">
        <v>0.03</v>
      </c>
      <c r="F1846" s="86" t="s">
        <v>3610</v>
      </c>
      <c r="G1846" s="470"/>
      <c r="H1846" s="470">
        <f t="shared" si="466"/>
        <v>0</v>
      </c>
      <c r="I1846" s="470">
        <f>SUMIF('노임(2015)'!$B$4:$B$87,B1846,'노임(2015)'!$C$4:$C$87)+SUMIF('노임(2015)'!$E$4:$E$87,B1846,'노임(2015)'!$F$4:$F$87)</f>
        <v>118066</v>
      </c>
      <c r="J1846" s="470">
        <f t="shared" si="467"/>
        <v>3541</v>
      </c>
      <c r="K1846" s="470"/>
      <c r="L1846" s="470">
        <f t="shared" si="468"/>
        <v>0</v>
      </c>
      <c r="M1846" s="470">
        <f>G1846+I1846+K1846</f>
        <v>118066</v>
      </c>
      <c r="N1846" s="470">
        <f>H1846+J1846+L1846</f>
        <v>3541</v>
      </c>
      <c r="O1846" s="457"/>
      <c r="P1846" s="767"/>
    </row>
    <row r="1847" spans="2:17" ht="15.2" customHeight="1">
      <c r="B1847" s="766" t="s">
        <v>855</v>
      </c>
      <c r="C1847" s="766"/>
      <c r="D1847" s="84"/>
      <c r="E1847" s="87"/>
      <c r="F1847" s="86"/>
      <c r="G1847" s="470"/>
      <c r="H1847" s="470">
        <f>SUM(H1839:H1846)</f>
        <v>47935</v>
      </c>
      <c r="I1847" s="470"/>
      <c r="J1847" s="470">
        <f>SUM(J1839:J1846)</f>
        <v>12815</v>
      </c>
      <c r="K1847" s="470"/>
      <c r="L1847" s="470">
        <f>SUM(L1839:L1846)</f>
        <v>44</v>
      </c>
      <c r="M1847" s="470"/>
      <c r="N1847" s="470">
        <f>SUM(N1839:N1846)</f>
        <v>60794</v>
      </c>
      <c r="O1847" s="457"/>
      <c r="P1847" s="767"/>
      <c r="Q1847" s="80" t="s">
        <v>3244</v>
      </c>
    </row>
    <row r="1848" spans="2:17" ht="15.2" customHeight="1">
      <c r="B1848" s="96">
        <f>P1848</f>
        <v>331</v>
      </c>
      <c r="C1848" s="770" t="s">
        <v>1379</v>
      </c>
      <c r="D1848" s="770"/>
      <c r="E1848" s="770"/>
      <c r="F1848" s="771"/>
      <c r="G1848" s="470"/>
      <c r="H1848" s="470"/>
      <c r="I1848" s="470"/>
      <c r="J1848" s="470"/>
      <c r="K1848" s="470"/>
      <c r="L1848" s="470"/>
      <c r="M1848" s="470"/>
      <c r="N1848" s="470"/>
      <c r="O1848" s="457"/>
      <c r="P1848" s="767">
        <f>MAX($P$5:P1847)+1</f>
        <v>331</v>
      </c>
      <c r="Q1848" s="80" t="s">
        <v>3243</v>
      </c>
    </row>
    <row r="1849" spans="2:17" ht="15.2" customHeight="1">
      <c r="B1849" s="766" t="s">
        <v>88</v>
      </c>
      <c r="C1849" s="766"/>
      <c r="D1849" s="84" t="s">
        <v>1301</v>
      </c>
      <c r="E1849" s="88">
        <v>0.21</v>
      </c>
      <c r="F1849" s="86" t="s">
        <v>453</v>
      </c>
      <c r="G1849" s="470">
        <f>중기사용료!$M$1575</f>
        <v>0</v>
      </c>
      <c r="H1849" s="470">
        <f t="shared" ref="H1849:H1856" si="471">TRUNC(E1849*G1849,0)</f>
        <v>0</v>
      </c>
      <c r="I1849" s="470">
        <f>중기사용료!$M$1569</f>
        <v>0</v>
      </c>
      <c r="J1849" s="470">
        <f t="shared" ref="J1849:J1856" si="472">TRUNC(I1849*E1849,0)</f>
        <v>0</v>
      </c>
      <c r="K1849" s="470">
        <f>중기사용료!$M$1563</f>
        <v>243</v>
      </c>
      <c r="L1849" s="470">
        <f t="shared" ref="L1849:L1856" si="473">TRUNC(K1849*E1849,0)</f>
        <v>51</v>
      </c>
      <c r="M1849" s="470">
        <f t="shared" ref="M1849:M1855" si="474">G1849+I1849+K1849</f>
        <v>243</v>
      </c>
      <c r="N1849" s="470">
        <f t="shared" ref="N1849:N1855" si="475">H1849+J1849+L1849</f>
        <v>51</v>
      </c>
      <c r="O1849" s="460">
        <f>중기사용료!$A$1560</f>
        <v>83</v>
      </c>
      <c r="P1849" s="767"/>
    </row>
    <row r="1850" spans="2:17" ht="15.2" customHeight="1">
      <c r="B1850" s="766" t="s">
        <v>910</v>
      </c>
      <c r="C1850" s="766"/>
      <c r="D1850" s="84" t="s">
        <v>911</v>
      </c>
      <c r="E1850" s="95">
        <v>3.3300000000000001E-3</v>
      </c>
      <c r="F1850" s="86" t="s">
        <v>969</v>
      </c>
      <c r="G1850" s="470">
        <f>사급자재!$M$95</f>
        <v>172000</v>
      </c>
      <c r="H1850" s="470">
        <f t="shared" si="471"/>
        <v>572</v>
      </c>
      <c r="I1850" s="470">
        <f>중기사용료!$M$1569</f>
        <v>0</v>
      </c>
      <c r="J1850" s="470">
        <f t="shared" si="472"/>
        <v>0</v>
      </c>
      <c r="K1850" s="470"/>
      <c r="L1850" s="470">
        <f t="shared" si="473"/>
        <v>0</v>
      </c>
      <c r="M1850" s="470">
        <f t="shared" si="474"/>
        <v>172000</v>
      </c>
      <c r="N1850" s="470">
        <f t="shared" si="475"/>
        <v>572</v>
      </c>
      <c r="O1850" s="464"/>
      <c r="P1850" s="767"/>
    </row>
    <row r="1851" spans="2:17" ht="15.2" customHeight="1">
      <c r="B1851" s="766" t="s">
        <v>3219</v>
      </c>
      <c r="C1851" s="766"/>
      <c r="D1851" s="84" t="s">
        <v>3218</v>
      </c>
      <c r="E1851" s="87">
        <v>0.05</v>
      </c>
      <c r="F1851" s="86" t="s">
        <v>933</v>
      </c>
      <c r="G1851" s="470">
        <f>SUM(J1852:J1854)</f>
        <v>10058</v>
      </c>
      <c r="H1851" s="470">
        <f t="shared" si="471"/>
        <v>502</v>
      </c>
      <c r="I1851" s="470"/>
      <c r="J1851" s="470">
        <f t="shared" si="472"/>
        <v>0</v>
      </c>
      <c r="K1851" s="470"/>
      <c r="L1851" s="470">
        <f t="shared" si="473"/>
        <v>0</v>
      </c>
      <c r="M1851" s="470">
        <f t="shared" si="474"/>
        <v>10058</v>
      </c>
      <c r="N1851" s="470">
        <f t="shared" si="475"/>
        <v>502</v>
      </c>
      <c r="O1851" s="457"/>
      <c r="P1851" s="767"/>
    </row>
    <row r="1852" spans="2:17" ht="15.2" customHeight="1">
      <c r="B1852" s="766" t="s">
        <v>3187</v>
      </c>
      <c r="C1852" s="766"/>
      <c r="D1852" s="84"/>
      <c r="E1852" s="88">
        <v>2.5000000000000001E-2</v>
      </c>
      <c r="F1852" s="86" t="s">
        <v>1163</v>
      </c>
      <c r="G1852" s="470"/>
      <c r="H1852" s="470">
        <f t="shared" si="471"/>
        <v>0</v>
      </c>
      <c r="I1852" s="470">
        <f>SUMIF('노임(2015)'!$B$4:$B$87,B1852,'노임(2015)'!$C$4:$C$87)+SUMIF('노임(2015)'!$E$4:$E$87,B1852,'노임(2015)'!$F$4:$F$87)</f>
        <v>90909</v>
      </c>
      <c r="J1852" s="470">
        <f t="shared" si="472"/>
        <v>2272</v>
      </c>
      <c r="K1852" s="470"/>
      <c r="L1852" s="470">
        <f t="shared" si="473"/>
        <v>0</v>
      </c>
      <c r="M1852" s="470">
        <f t="shared" si="474"/>
        <v>90909</v>
      </c>
      <c r="N1852" s="470">
        <f t="shared" si="475"/>
        <v>2272</v>
      </c>
      <c r="O1852" s="457"/>
      <c r="P1852" s="767"/>
    </row>
    <row r="1853" spans="2:17" ht="15.2" customHeight="1">
      <c r="B1853" s="766" t="s">
        <v>1165</v>
      </c>
      <c r="C1853" s="766"/>
      <c r="D1853" s="84"/>
      <c r="E1853" s="88">
        <v>2.8000000000000001E-2</v>
      </c>
      <c r="F1853" s="86" t="s">
        <v>1163</v>
      </c>
      <c r="G1853" s="470"/>
      <c r="H1853" s="470">
        <f t="shared" si="471"/>
        <v>0</v>
      </c>
      <c r="I1853" s="470">
        <f>SUMIF('노임(2015)'!$B$4:$B$87,B1853,'노임(2015)'!$C$4:$C$87)+SUMIF('노임(2015)'!$E$4:$E$87,B1853,'노임(2015)'!$F$4:$F$87)</f>
        <v>111771</v>
      </c>
      <c r="J1853" s="470">
        <f t="shared" si="472"/>
        <v>3129</v>
      </c>
      <c r="K1853" s="470"/>
      <c r="L1853" s="470">
        <f t="shared" si="473"/>
        <v>0</v>
      </c>
      <c r="M1853" s="470">
        <f t="shared" si="474"/>
        <v>111771</v>
      </c>
      <c r="N1853" s="470">
        <f t="shared" si="475"/>
        <v>3129</v>
      </c>
      <c r="O1853" s="457"/>
      <c r="P1853" s="767"/>
    </row>
    <row r="1854" spans="2:17" ht="15.2" customHeight="1">
      <c r="B1854" s="766" t="s">
        <v>1162</v>
      </c>
      <c r="C1854" s="766"/>
      <c r="D1854" s="84"/>
      <c r="E1854" s="88">
        <v>5.1999999999999998E-2</v>
      </c>
      <c r="F1854" s="86" t="s">
        <v>1163</v>
      </c>
      <c r="G1854" s="470"/>
      <c r="H1854" s="470">
        <f t="shared" si="471"/>
        <v>0</v>
      </c>
      <c r="I1854" s="470">
        <f>SUMIF('노임(2015)'!$B$4:$B$87,B1854,'노임(2015)'!$C$4:$C$87)+SUMIF('노임(2015)'!$E$4:$E$87,B1854,'노임(2015)'!$F$4:$F$87)</f>
        <v>89566</v>
      </c>
      <c r="J1854" s="470">
        <f t="shared" si="472"/>
        <v>4657</v>
      </c>
      <c r="K1854" s="470"/>
      <c r="L1854" s="470">
        <f t="shared" si="473"/>
        <v>0</v>
      </c>
      <c r="M1854" s="470">
        <f t="shared" si="474"/>
        <v>89566</v>
      </c>
      <c r="N1854" s="470">
        <f t="shared" si="475"/>
        <v>4657</v>
      </c>
      <c r="O1854" s="457"/>
      <c r="P1854" s="767"/>
    </row>
    <row r="1855" spans="2:17" ht="15.2" customHeight="1">
      <c r="B1855" s="766" t="s">
        <v>141</v>
      </c>
      <c r="C1855" s="766"/>
      <c r="D1855" s="84" t="s">
        <v>142</v>
      </c>
      <c r="E1855" s="87">
        <v>1</v>
      </c>
      <c r="F1855" s="86" t="s">
        <v>143</v>
      </c>
      <c r="G1855" s="470">
        <f>사급자재!$M$203</f>
        <v>46900</v>
      </c>
      <c r="H1855" s="470">
        <f t="shared" si="471"/>
        <v>46900</v>
      </c>
      <c r="I1855" s="470"/>
      <c r="J1855" s="470">
        <f t="shared" si="472"/>
        <v>0</v>
      </c>
      <c r="K1855" s="470"/>
      <c r="L1855" s="470">
        <f t="shared" si="473"/>
        <v>0</v>
      </c>
      <c r="M1855" s="470">
        <f t="shared" si="474"/>
        <v>46900</v>
      </c>
      <c r="N1855" s="470">
        <f t="shared" si="475"/>
        <v>46900</v>
      </c>
      <c r="O1855" s="457"/>
      <c r="P1855" s="767"/>
    </row>
    <row r="1856" spans="2:17" ht="15.2" customHeight="1">
      <c r="B1856" s="766" t="s">
        <v>3609</v>
      </c>
      <c r="C1856" s="766"/>
      <c r="D1856" s="84" t="s">
        <v>3611</v>
      </c>
      <c r="E1856" s="88">
        <v>0.03</v>
      </c>
      <c r="F1856" s="86" t="s">
        <v>3610</v>
      </c>
      <c r="G1856" s="470"/>
      <c r="H1856" s="470">
        <f t="shared" si="471"/>
        <v>0</v>
      </c>
      <c r="I1856" s="470">
        <f>SUMIF('노임(2015)'!$B$4:$B$87,B1856,'노임(2015)'!$C$4:$C$87)+SUMIF('노임(2015)'!$E$4:$E$87,B1856,'노임(2015)'!$F$4:$F$87)</f>
        <v>118066</v>
      </c>
      <c r="J1856" s="470">
        <f t="shared" si="472"/>
        <v>3541</v>
      </c>
      <c r="K1856" s="470"/>
      <c r="L1856" s="470">
        <f t="shared" si="473"/>
        <v>0</v>
      </c>
      <c r="M1856" s="470">
        <f>G1856+I1856+K1856</f>
        <v>118066</v>
      </c>
      <c r="N1856" s="470">
        <f>H1856+J1856+L1856</f>
        <v>3541</v>
      </c>
      <c r="O1856" s="457"/>
      <c r="P1856" s="767"/>
    </row>
    <row r="1857" spans="2:17" ht="15.2" customHeight="1">
      <c r="B1857" s="766" t="s">
        <v>855</v>
      </c>
      <c r="C1857" s="766"/>
      <c r="D1857" s="84"/>
      <c r="E1857" s="87"/>
      <c r="F1857" s="86"/>
      <c r="G1857" s="470"/>
      <c r="H1857" s="470">
        <f>SUM(H1849:H1856)</f>
        <v>47974</v>
      </c>
      <c r="I1857" s="470"/>
      <c r="J1857" s="470">
        <f>SUM(J1849:J1856)</f>
        <v>13599</v>
      </c>
      <c r="K1857" s="470"/>
      <c r="L1857" s="470">
        <f>SUM(L1849:L1856)</f>
        <v>51</v>
      </c>
      <c r="M1857" s="470"/>
      <c r="N1857" s="470">
        <f>SUM(N1849:N1856)</f>
        <v>61624</v>
      </c>
      <c r="O1857" s="457"/>
      <c r="P1857" s="767"/>
      <c r="Q1857" s="80" t="s">
        <v>3244</v>
      </c>
    </row>
    <row r="1858" spans="2:17" ht="15.2" customHeight="1">
      <c r="B1858" s="96">
        <f>P1858</f>
        <v>332</v>
      </c>
      <c r="C1858" s="770" t="s">
        <v>1380</v>
      </c>
      <c r="D1858" s="770"/>
      <c r="E1858" s="770"/>
      <c r="F1858" s="771"/>
      <c r="G1858" s="470"/>
      <c r="H1858" s="470"/>
      <c r="I1858" s="470"/>
      <c r="J1858" s="470"/>
      <c r="K1858" s="470"/>
      <c r="L1858" s="470"/>
      <c r="M1858" s="470"/>
      <c r="N1858" s="470"/>
      <c r="O1858" s="457"/>
      <c r="P1858" s="767">
        <f>MAX($P$5:P1857)+1</f>
        <v>332</v>
      </c>
      <c r="Q1858" s="80" t="s">
        <v>3243</v>
      </c>
    </row>
    <row r="1859" spans="2:17" ht="15.2" customHeight="1">
      <c r="B1859" s="766" t="s">
        <v>88</v>
      </c>
      <c r="C1859" s="766"/>
      <c r="D1859" s="84" t="s">
        <v>1301</v>
      </c>
      <c r="E1859" s="88">
        <v>0.24</v>
      </c>
      <c r="F1859" s="86" t="s">
        <v>453</v>
      </c>
      <c r="G1859" s="470">
        <f>중기사용료!$M$1575</f>
        <v>0</v>
      </c>
      <c r="H1859" s="470">
        <f t="shared" ref="H1859:H1866" si="476">TRUNC(E1859*G1859,0)</f>
        <v>0</v>
      </c>
      <c r="I1859" s="470">
        <f>중기사용료!$M$1569</f>
        <v>0</v>
      </c>
      <c r="J1859" s="470">
        <f t="shared" ref="J1859:J1866" si="477">TRUNC(I1859*E1859,0)</f>
        <v>0</v>
      </c>
      <c r="K1859" s="470">
        <f>중기사용료!$M$1563</f>
        <v>243</v>
      </c>
      <c r="L1859" s="470">
        <f t="shared" ref="L1859:L1866" si="478">TRUNC(K1859*E1859,0)</f>
        <v>58</v>
      </c>
      <c r="M1859" s="470">
        <f t="shared" ref="M1859:M1865" si="479">G1859+I1859+K1859</f>
        <v>243</v>
      </c>
      <c r="N1859" s="470">
        <f t="shared" ref="N1859:N1865" si="480">H1859+J1859+L1859</f>
        <v>58</v>
      </c>
      <c r="O1859" s="460">
        <f>중기사용료!$A$1560</f>
        <v>83</v>
      </c>
      <c r="P1859" s="767"/>
    </row>
    <row r="1860" spans="2:17" ht="15.2" customHeight="1">
      <c r="B1860" s="766" t="s">
        <v>910</v>
      </c>
      <c r="C1860" s="766"/>
      <c r="D1860" s="84" t="s">
        <v>911</v>
      </c>
      <c r="E1860" s="95">
        <v>3.3300000000000001E-3</v>
      </c>
      <c r="F1860" s="86" t="s">
        <v>969</v>
      </c>
      <c r="G1860" s="470">
        <f>사급자재!$M$95</f>
        <v>172000</v>
      </c>
      <c r="H1860" s="470">
        <f t="shared" si="476"/>
        <v>572</v>
      </c>
      <c r="I1860" s="470">
        <f>중기사용료!$M$1569</f>
        <v>0</v>
      </c>
      <c r="J1860" s="470">
        <f t="shared" si="477"/>
        <v>0</v>
      </c>
      <c r="K1860" s="470"/>
      <c r="L1860" s="470">
        <f t="shared" si="478"/>
        <v>0</v>
      </c>
      <c r="M1860" s="470">
        <f t="shared" si="479"/>
        <v>172000</v>
      </c>
      <c r="N1860" s="470">
        <f t="shared" si="480"/>
        <v>572</v>
      </c>
      <c r="O1860" s="464"/>
      <c r="P1860" s="767"/>
    </row>
    <row r="1861" spans="2:17" ht="15.2" customHeight="1">
      <c r="B1861" s="766" t="s">
        <v>3219</v>
      </c>
      <c r="C1861" s="766"/>
      <c r="D1861" s="84" t="s">
        <v>3218</v>
      </c>
      <c r="E1861" s="87">
        <v>0.05</v>
      </c>
      <c r="F1861" s="86" t="s">
        <v>933</v>
      </c>
      <c r="G1861" s="470">
        <f>SUM(J1862:J1864)</f>
        <v>10552</v>
      </c>
      <c r="H1861" s="470">
        <f t="shared" si="476"/>
        <v>527</v>
      </c>
      <c r="I1861" s="470"/>
      <c r="J1861" s="470">
        <f t="shared" si="477"/>
        <v>0</v>
      </c>
      <c r="K1861" s="470"/>
      <c r="L1861" s="470">
        <f t="shared" si="478"/>
        <v>0</v>
      </c>
      <c r="M1861" s="470">
        <f t="shared" si="479"/>
        <v>10552</v>
      </c>
      <c r="N1861" s="470">
        <f t="shared" si="480"/>
        <v>527</v>
      </c>
      <c r="O1861" s="457"/>
      <c r="P1861" s="767"/>
    </row>
    <row r="1862" spans="2:17" ht="15.2" customHeight="1">
      <c r="B1862" s="766" t="s">
        <v>3187</v>
      </c>
      <c r="C1862" s="766"/>
      <c r="D1862" s="84"/>
      <c r="E1862" s="88">
        <v>2.5999999999999999E-2</v>
      </c>
      <c r="F1862" s="86" t="s">
        <v>1163</v>
      </c>
      <c r="G1862" s="470"/>
      <c r="H1862" s="470">
        <f t="shared" si="476"/>
        <v>0</v>
      </c>
      <c r="I1862" s="470">
        <f>SUMIF('노임(2015)'!$B$4:$B$87,B1862,'노임(2015)'!$C$4:$C$87)+SUMIF('노임(2015)'!$E$4:$E$87,B1862,'노임(2015)'!$F$4:$F$87)</f>
        <v>90909</v>
      </c>
      <c r="J1862" s="470">
        <f t="shared" si="477"/>
        <v>2363</v>
      </c>
      <c r="K1862" s="470"/>
      <c r="L1862" s="470">
        <f t="shared" si="478"/>
        <v>0</v>
      </c>
      <c r="M1862" s="470">
        <f t="shared" si="479"/>
        <v>90909</v>
      </c>
      <c r="N1862" s="470">
        <f t="shared" si="480"/>
        <v>2363</v>
      </c>
      <c r="O1862" s="457"/>
      <c r="P1862" s="767"/>
    </row>
    <row r="1863" spans="2:17" ht="15.2" customHeight="1">
      <c r="B1863" s="766" t="s">
        <v>1165</v>
      </c>
      <c r="C1863" s="766"/>
      <c r="D1863" s="84"/>
      <c r="E1863" s="88">
        <v>0.03</v>
      </c>
      <c r="F1863" s="86" t="s">
        <v>1163</v>
      </c>
      <c r="G1863" s="470"/>
      <c r="H1863" s="470">
        <f t="shared" si="476"/>
        <v>0</v>
      </c>
      <c r="I1863" s="470">
        <f>SUMIF('노임(2015)'!$B$4:$B$87,B1863,'노임(2015)'!$C$4:$C$87)+SUMIF('노임(2015)'!$E$4:$E$87,B1863,'노임(2015)'!$F$4:$F$87)</f>
        <v>111771</v>
      </c>
      <c r="J1863" s="470">
        <f t="shared" si="477"/>
        <v>3353</v>
      </c>
      <c r="K1863" s="470"/>
      <c r="L1863" s="470">
        <f t="shared" si="478"/>
        <v>0</v>
      </c>
      <c r="M1863" s="470">
        <f t="shared" si="479"/>
        <v>111771</v>
      </c>
      <c r="N1863" s="470">
        <f t="shared" si="480"/>
        <v>3353</v>
      </c>
      <c r="O1863" s="457"/>
      <c r="P1863" s="767"/>
    </row>
    <row r="1864" spans="2:17" ht="15.2" customHeight="1">
      <c r="B1864" s="766" t="s">
        <v>1162</v>
      </c>
      <c r="C1864" s="766"/>
      <c r="D1864" s="84"/>
      <c r="E1864" s="88">
        <v>5.3999999999999999E-2</v>
      </c>
      <c r="F1864" s="86" t="s">
        <v>1163</v>
      </c>
      <c r="G1864" s="470"/>
      <c r="H1864" s="470">
        <f t="shared" si="476"/>
        <v>0</v>
      </c>
      <c r="I1864" s="470">
        <f>SUMIF('노임(2015)'!$B$4:$B$87,B1864,'노임(2015)'!$C$4:$C$87)+SUMIF('노임(2015)'!$E$4:$E$87,B1864,'노임(2015)'!$F$4:$F$87)</f>
        <v>89566</v>
      </c>
      <c r="J1864" s="470">
        <f t="shared" si="477"/>
        <v>4836</v>
      </c>
      <c r="K1864" s="470"/>
      <c r="L1864" s="470">
        <f t="shared" si="478"/>
        <v>0</v>
      </c>
      <c r="M1864" s="470">
        <f t="shared" si="479"/>
        <v>89566</v>
      </c>
      <c r="N1864" s="470">
        <f t="shared" si="480"/>
        <v>4836</v>
      </c>
      <c r="O1864" s="457"/>
      <c r="P1864" s="767"/>
    </row>
    <row r="1865" spans="2:17" ht="15.2" customHeight="1">
      <c r="B1865" s="766" t="s">
        <v>141</v>
      </c>
      <c r="C1865" s="766"/>
      <c r="D1865" s="84" t="s">
        <v>142</v>
      </c>
      <c r="E1865" s="87">
        <v>1</v>
      </c>
      <c r="F1865" s="86" t="s">
        <v>143</v>
      </c>
      <c r="G1865" s="470">
        <f>사급자재!$M$203</f>
        <v>46900</v>
      </c>
      <c r="H1865" s="470">
        <f t="shared" si="476"/>
        <v>46900</v>
      </c>
      <c r="I1865" s="470"/>
      <c r="J1865" s="470">
        <f t="shared" si="477"/>
        <v>0</v>
      </c>
      <c r="K1865" s="470"/>
      <c r="L1865" s="470">
        <f t="shared" si="478"/>
        <v>0</v>
      </c>
      <c r="M1865" s="470">
        <f t="shared" si="479"/>
        <v>46900</v>
      </c>
      <c r="N1865" s="470">
        <f t="shared" si="480"/>
        <v>46900</v>
      </c>
      <c r="O1865" s="457"/>
      <c r="P1865" s="767"/>
    </row>
    <row r="1866" spans="2:17" ht="15.2" customHeight="1">
      <c r="B1866" s="766" t="s">
        <v>3609</v>
      </c>
      <c r="C1866" s="766"/>
      <c r="D1866" s="84" t="s">
        <v>3611</v>
      </c>
      <c r="E1866" s="88">
        <v>0.03</v>
      </c>
      <c r="F1866" s="86" t="s">
        <v>3610</v>
      </c>
      <c r="G1866" s="470"/>
      <c r="H1866" s="470">
        <f t="shared" si="476"/>
        <v>0</v>
      </c>
      <c r="I1866" s="470">
        <f>SUMIF('노임(2015)'!$B$4:$B$87,B1866,'노임(2015)'!$C$4:$C$87)+SUMIF('노임(2015)'!$E$4:$E$87,B1866,'노임(2015)'!$F$4:$F$87)</f>
        <v>118066</v>
      </c>
      <c r="J1866" s="470">
        <f t="shared" si="477"/>
        <v>3541</v>
      </c>
      <c r="K1866" s="470"/>
      <c r="L1866" s="470">
        <f t="shared" si="478"/>
        <v>0</v>
      </c>
      <c r="M1866" s="470">
        <f>G1866+I1866+K1866</f>
        <v>118066</v>
      </c>
      <c r="N1866" s="470">
        <f>H1866+J1866+L1866</f>
        <v>3541</v>
      </c>
      <c r="O1866" s="457"/>
      <c r="P1866" s="767"/>
    </row>
    <row r="1867" spans="2:17" ht="15.2" customHeight="1">
      <c r="B1867" s="766" t="s">
        <v>855</v>
      </c>
      <c r="C1867" s="766"/>
      <c r="D1867" s="84"/>
      <c r="E1867" s="87"/>
      <c r="F1867" s="86"/>
      <c r="G1867" s="470"/>
      <c r="H1867" s="470">
        <f>SUM(H1859:H1866)</f>
        <v>47999</v>
      </c>
      <c r="I1867" s="470"/>
      <c r="J1867" s="470">
        <f>SUM(J1859:J1866)</f>
        <v>14093</v>
      </c>
      <c r="K1867" s="470"/>
      <c r="L1867" s="470">
        <f>SUM(L1859:L1866)</f>
        <v>58</v>
      </c>
      <c r="M1867" s="470"/>
      <c r="N1867" s="470">
        <f>SUM(N1859:N1866)</f>
        <v>62150</v>
      </c>
      <c r="O1867" s="457"/>
      <c r="P1867" s="767"/>
      <c r="Q1867" s="80" t="s">
        <v>3244</v>
      </c>
    </row>
    <row r="1868" spans="2:17" ht="15.2" customHeight="1">
      <c r="B1868" s="96">
        <f>P1868</f>
        <v>333</v>
      </c>
      <c r="C1868" s="770" t="s">
        <v>1381</v>
      </c>
      <c r="D1868" s="770"/>
      <c r="E1868" s="770"/>
      <c r="F1868" s="771"/>
      <c r="G1868" s="470"/>
      <c r="H1868" s="470"/>
      <c r="I1868" s="470"/>
      <c r="J1868" s="470"/>
      <c r="K1868" s="470"/>
      <c r="L1868" s="470"/>
      <c r="M1868" s="470"/>
      <c r="N1868" s="470"/>
      <c r="O1868" s="457"/>
      <c r="P1868" s="767">
        <f>MAX($P$5:P1867)+1</f>
        <v>333</v>
      </c>
      <c r="Q1868" s="80" t="s">
        <v>3243</v>
      </c>
    </row>
    <row r="1869" spans="2:17" ht="15.2" customHeight="1">
      <c r="B1869" s="766" t="s">
        <v>88</v>
      </c>
      <c r="C1869" s="766"/>
      <c r="D1869" s="84" t="s">
        <v>1301</v>
      </c>
      <c r="E1869" s="88">
        <v>0.27300000000000002</v>
      </c>
      <c r="F1869" s="86" t="s">
        <v>453</v>
      </c>
      <c r="G1869" s="470">
        <f>중기사용료!$M$1575</f>
        <v>0</v>
      </c>
      <c r="H1869" s="470">
        <f t="shared" ref="H1869:H1876" si="481">TRUNC(E1869*G1869,0)</f>
        <v>0</v>
      </c>
      <c r="I1869" s="470">
        <f>중기사용료!$M$1569</f>
        <v>0</v>
      </c>
      <c r="J1869" s="470">
        <f t="shared" ref="J1869:J1876" si="482">TRUNC(I1869*E1869,0)</f>
        <v>0</v>
      </c>
      <c r="K1869" s="470">
        <f>중기사용료!$M$1563</f>
        <v>243</v>
      </c>
      <c r="L1869" s="470">
        <f t="shared" ref="L1869:L1876" si="483">TRUNC(K1869*E1869,0)</f>
        <v>66</v>
      </c>
      <c r="M1869" s="470">
        <f t="shared" ref="M1869:M1875" si="484">G1869+I1869+K1869</f>
        <v>243</v>
      </c>
      <c r="N1869" s="470">
        <f t="shared" ref="N1869:N1875" si="485">H1869+J1869+L1869</f>
        <v>66</v>
      </c>
      <c r="O1869" s="460">
        <f>중기사용료!$A$1560</f>
        <v>83</v>
      </c>
      <c r="P1869" s="767"/>
    </row>
    <row r="1870" spans="2:17" ht="15.2" customHeight="1">
      <c r="B1870" s="766" t="s">
        <v>910</v>
      </c>
      <c r="C1870" s="766"/>
      <c r="D1870" s="84" t="s">
        <v>911</v>
      </c>
      <c r="E1870" s="95">
        <v>3.3300000000000001E-3</v>
      </c>
      <c r="F1870" s="86" t="s">
        <v>969</v>
      </c>
      <c r="G1870" s="470">
        <f>사급자재!$M$95</f>
        <v>172000</v>
      </c>
      <c r="H1870" s="470">
        <f t="shared" si="481"/>
        <v>572</v>
      </c>
      <c r="I1870" s="470">
        <f>중기사용료!$M$1569</f>
        <v>0</v>
      </c>
      <c r="J1870" s="470">
        <f t="shared" si="482"/>
        <v>0</v>
      </c>
      <c r="K1870" s="470"/>
      <c r="L1870" s="470">
        <f t="shared" si="483"/>
        <v>0</v>
      </c>
      <c r="M1870" s="470">
        <f t="shared" si="484"/>
        <v>172000</v>
      </c>
      <c r="N1870" s="470">
        <f t="shared" si="485"/>
        <v>572</v>
      </c>
      <c r="O1870" s="464"/>
      <c r="P1870" s="767"/>
    </row>
    <row r="1871" spans="2:17" ht="15.2" customHeight="1">
      <c r="B1871" s="766" t="s">
        <v>3219</v>
      </c>
      <c r="C1871" s="766"/>
      <c r="D1871" s="84" t="s">
        <v>3218</v>
      </c>
      <c r="E1871" s="87">
        <v>0.05</v>
      </c>
      <c r="F1871" s="86" t="s">
        <v>933</v>
      </c>
      <c r="G1871" s="470">
        <f>SUM(J1872:J1874)</f>
        <v>11135</v>
      </c>
      <c r="H1871" s="470">
        <f t="shared" si="481"/>
        <v>556</v>
      </c>
      <c r="I1871" s="470"/>
      <c r="J1871" s="470">
        <f t="shared" si="482"/>
        <v>0</v>
      </c>
      <c r="K1871" s="470"/>
      <c r="L1871" s="470">
        <f t="shared" si="483"/>
        <v>0</v>
      </c>
      <c r="M1871" s="470">
        <f t="shared" si="484"/>
        <v>11135</v>
      </c>
      <c r="N1871" s="470">
        <f t="shared" si="485"/>
        <v>556</v>
      </c>
      <c r="O1871" s="457"/>
      <c r="P1871" s="767"/>
    </row>
    <row r="1872" spans="2:17" ht="15.2" customHeight="1">
      <c r="B1872" s="766" t="s">
        <v>3187</v>
      </c>
      <c r="C1872" s="766"/>
      <c r="D1872" s="84"/>
      <c r="E1872" s="88">
        <v>2.7E-2</v>
      </c>
      <c r="F1872" s="86" t="s">
        <v>1163</v>
      </c>
      <c r="G1872" s="470"/>
      <c r="H1872" s="470">
        <f t="shared" si="481"/>
        <v>0</v>
      </c>
      <c r="I1872" s="470">
        <f>SUMIF('노임(2015)'!$B$4:$B$87,B1872,'노임(2015)'!$C$4:$C$87)+SUMIF('노임(2015)'!$E$4:$E$87,B1872,'노임(2015)'!$F$4:$F$87)</f>
        <v>90909</v>
      </c>
      <c r="J1872" s="470">
        <f t="shared" si="482"/>
        <v>2454</v>
      </c>
      <c r="K1872" s="470"/>
      <c r="L1872" s="470">
        <f t="shared" si="483"/>
        <v>0</v>
      </c>
      <c r="M1872" s="470">
        <f t="shared" si="484"/>
        <v>90909</v>
      </c>
      <c r="N1872" s="470">
        <f t="shared" si="485"/>
        <v>2454</v>
      </c>
      <c r="O1872" s="457"/>
      <c r="P1872" s="767"/>
    </row>
    <row r="1873" spans="1:17" ht="15.2" customHeight="1">
      <c r="B1873" s="766" t="s">
        <v>1165</v>
      </c>
      <c r="C1873" s="766"/>
      <c r="D1873" s="84"/>
      <c r="E1873" s="88">
        <v>3.2000000000000001E-2</v>
      </c>
      <c r="F1873" s="86" t="s">
        <v>1163</v>
      </c>
      <c r="G1873" s="470"/>
      <c r="H1873" s="470">
        <f t="shared" si="481"/>
        <v>0</v>
      </c>
      <c r="I1873" s="470">
        <f>SUMIF('노임(2015)'!$B$4:$B$87,B1873,'노임(2015)'!$C$4:$C$87)+SUMIF('노임(2015)'!$E$4:$E$87,B1873,'노임(2015)'!$F$4:$F$87)</f>
        <v>111771</v>
      </c>
      <c r="J1873" s="470">
        <f t="shared" si="482"/>
        <v>3576</v>
      </c>
      <c r="K1873" s="470"/>
      <c r="L1873" s="470">
        <f t="shared" si="483"/>
        <v>0</v>
      </c>
      <c r="M1873" s="470">
        <f t="shared" si="484"/>
        <v>111771</v>
      </c>
      <c r="N1873" s="470">
        <f t="shared" si="485"/>
        <v>3576</v>
      </c>
      <c r="O1873" s="457"/>
      <c r="P1873" s="767"/>
    </row>
    <row r="1874" spans="1:17" ht="15.2" customHeight="1">
      <c r="B1874" s="766" t="s">
        <v>1162</v>
      </c>
      <c r="C1874" s="766"/>
      <c r="D1874" s="84"/>
      <c r="E1874" s="88">
        <v>5.7000000000000002E-2</v>
      </c>
      <c r="F1874" s="86" t="s">
        <v>1163</v>
      </c>
      <c r="G1874" s="470"/>
      <c r="H1874" s="470">
        <f t="shared" si="481"/>
        <v>0</v>
      </c>
      <c r="I1874" s="470">
        <f>SUMIF('노임(2015)'!$B$4:$B$87,B1874,'노임(2015)'!$C$4:$C$87)+SUMIF('노임(2015)'!$E$4:$E$87,B1874,'노임(2015)'!$F$4:$F$87)</f>
        <v>89566</v>
      </c>
      <c r="J1874" s="470">
        <f t="shared" si="482"/>
        <v>5105</v>
      </c>
      <c r="K1874" s="470"/>
      <c r="L1874" s="470">
        <f t="shared" si="483"/>
        <v>0</v>
      </c>
      <c r="M1874" s="470">
        <f t="shared" si="484"/>
        <v>89566</v>
      </c>
      <c r="N1874" s="470">
        <f t="shared" si="485"/>
        <v>5105</v>
      </c>
      <c r="O1874" s="457"/>
      <c r="P1874" s="767"/>
    </row>
    <row r="1875" spans="1:17" ht="15.2" customHeight="1">
      <c r="B1875" s="766" t="s">
        <v>141</v>
      </c>
      <c r="C1875" s="766"/>
      <c r="D1875" s="84" t="s">
        <v>142</v>
      </c>
      <c r="E1875" s="87">
        <v>1</v>
      </c>
      <c r="F1875" s="86" t="s">
        <v>143</v>
      </c>
      <c r="G1875" s="470">
        <f>사급자재!$M$203</f>
        <v>46900</v>
      </c>
      <c r="H1875" s="470">
        <f t="shared" si="481"/>
        <v>46900</v>
      </c>
      <c r="I1875" s="470"/>
      <c r="J1875" s="470">
        <f t="shared" si="482"/>
        <v>0</v>
      </c>
      <c r="K1875" s="470"/>
      <c r="L1875" s="470">
        <f t="shared" si="483"/>
        <v>0</v>
      </c>
      <c r="M1875" s="470">
        <f t="shared" si="484"/>
        <v>46900</v>
      </c>
      <c r="N1875" s="470">
        <f t="shared" si="485"/>
        <v>46900</v>
      </c>
      <c r="O1875" s="457"/>
      <c r="P1875" s="767"/>
    </row>
    <row r="1876" spans="1:17" ht="15.2" customHeight="1">
      <c r="B1876" s="766" t="s">
        <v>3609</v>
      </c>
      <c r="C1876" s="766"/>
      <c r="D1876" s="84" t="s">
        <v>3611</v>
      </c>
      <c r="E1876" s="88">
        <v>0.03</v>
      </c>
      <c r="F1876" s="86" t="s">
        <v>3610</v>
      </c>
      <c r="G1876" s="470"/>
      <c r="H1876" s="470">
        <f t="shared" si="481"/>
        <v>0</v>
      </c>
      <c r="I1876" s="470">
        <f>SUMIF('노임(2015)'!$B$4:$B$87,B1876,'노임(2015)'!$C$4:$C$87)+SUMIF('노임(2015)'!$E$4:$E$87,B1876,'노임(2015)'!$F$4:$F$87)</f>
        <v>118066</v>
      </c>
      <c r="J1876" s="470">
        <f t="shared" si="482"/>
        <v>3541</v>
      </c>
      <c r="K1876" s="470"/>
      <c r="L1876" s="470">
        <f t="shared" si="483"/>
        <v>0</v>
      </c>
      <c r="M1876" s="470">
        <f>G1876+I1876+K1876</f>
        <v>118066</v>
      </c>
      <c r="N1876" s="470">
        <f>H1876+J1876+L1876</f>
        <v>3541</v>
      </c>
      <c r="O1876" s="457"/>
      <c r="P1876" s="767"/>
    </row>
    <row r="1877" spans="1:17" ht="15.2" customHeight="1">
      <c r="B1877" s="766" t="s">
        <v>855</v>
      </c>
      <c r="C1877" s="766"/>
      <c r="D1877" s="84"/>
      <c r="E1877" s="87"/>
      <c r="F1877" s="86"/>
      <c r="G1877" s="470"/>
      <c r="H1877" s="470">
        <f>SUM(H1869:H1876)</f>
        <v>48028</v>
      </c>
      <c r="I1877" s="470"/>
      <c r="J1877" s="470">
        <f>SUM(J1869:J1876)</f>
        <v>14676</v>
      </c>
      <c r="K1877" s="470"/>
      <c r="L1877" s="470">
        <f>SUM(L1869:L1876)</f>
        <v>66</v>
      </c>
      <c r="M1877" s="470"/>
      <c r="N1877" s="470">
        <f>SUM(N1869:N1876)</f>
        <v>62770</v>
      </c>
      <c r="O1877" s="457"/>
      <c r="P1877" s="767"/>
      <c r="Q1877" s="80" t="s">
        <v>3244</v>
      </c>
    </row>
    <row r="1878" spans="1:17" ht="15.2" customHeight="1">
      <c r="A1878" s="80" t="s">
        <v>3215</v>
      </c>
      <c r="B1878" s="96">
        <f>P1878</f>
        <v>334</v>
      </c>
      <c r="C1878" s="770" t="s">
        <v>1382</v>
      </c>
      <c r="D1878" s="770"/>
      <c r="E1878" s="770"/>
      <c r="F1878" s="771"/>
      <c r="G1878" s="470"/>
      <c r="H1878" s="470"/>
      <c r="I1878" s="470"/>
      <c r="J1878" s="470"/>
      <c r="K1878" s="470"/>
      <c r="L1878" s="470"/>
      <c r="M1878" s="470"/>
      <c r="N1878" s="470"/>
      <c r="O1878" s="457"/>
      <c r="P1878" s="767">
        <f>MAX($P$5:P1877)+1</f>
        <v>334</v>
      </c>
      <c r="Q1878" s="80" t="s">
        <v>3243</v>
      </c>
    </row>
    <row r="1879" spans="1:17" ht="15.2" customHeight="1">
      <c r="B1879" s="766" t="s">
        <v>88</v>
      </c>
      <c r="C1879" s="766"/>
      <c r="D1879" s="84" t="s">
        <v>1301</v>
      </c>
      <c r="E1879" s="88">
        <v>0.29899999999999999</v>
      </c>
      <c r="F1879" s="86" t="s">
        <v>453</v>
      </c>
      <c r="G1879" s="470">
        <f>중기사용료!$M$1575</f>
        <v>0</v>
      </c>
      <c r="H1879" s="470">
        <f t="shared" ref="H1879:H1886" si="486">TRUNC(E1879*G1879,0)</f>
        <v>0</v>
      </c>
      <c r="I1879" s="470">
        <f>중기사용료!$M$1569</f>
        <v>0</v>
      </c>
      <c r="J1879" s="470">
        <f t="shared" ref="J1879:J1886" si="487">TRUNC(I1879*E1879,0)</f>
        <v>0</v>
      </c>
      <c r="K1879" s="470">
        <f>중기사용료!$M$1563</f>
        <v>243</v>
      </c>
      <c r="L1879" s="470">
        <f t="shared" ref="L1879:L1886" si="488">TRUNC(K1879*E1879,0)</f>
        <v>72</v>
      </c>
      <c r="M1879" s="470">
        <f t="shared" ref="M1879:M1885" si="489">G1879+I1879+K1879</f>
        <v>243</v>
      </c>
      <c r="N1879" s="470">
        <f t="shared" ref="N1879:N1885" si="490">H1879+J1879+L1879</f>
        <v>72</v>
      </c>
      <c r="O1879" s="460">
        <f>중기사용료!$A$1560</f>
        <v>83</v>
      </c>
      <c r="P1879" s="767"/>
    </row>
    <row r="1880" spans="1:17" ht="15.2" customHeight="1">
      <c r="B1880" s="766" t="s">
        <v>910</v>
      </c>
      <c r="C1880" s="766"/>
      <c r="D1880" s="84" t="s">
        <v>911</v>
      </c>
      <c r="E1880" s="95">
        <v>3.3300000000000001E-3</v>
      </c>
      <c r="F1880" s="86" t="s">
        <v>969</v>
      </c>
      <c r="G1880" s="470">
        <f>사급자재!$M$95</f>
        <v>172000</v>
      </c>
      <c r="H1880" s="470">
        <f t="shared" si="486"/>
        <v>572</v>
      </c>
      <c r="I1880" s="470">
        <f>중기사용료!$M$1569</f>
        <v>0</v>
      </c>
      <c r="J1880" s="470">
        <f t="shared" si="487"/>
        <v>0</v>
      </c>
      <c r="K1880" s="470"/>
      <c r="L1880" s="470">
        <f t="shared" si="488"/>
        <v>0</v>
      </c>
      <c r="M1880" s="470">
        <f t="shared" si="489"/>
        <v>172000</v>
      </c>
      <c r="N1880" s="470">
        <f t="shared" si="490"/>
        <v>572</v>
      </c>
      <c r="O1880" s="464"/>
      <c r="P1880" s="767"/>
    </row>
    <row r="1881" spans="1:17" ht="15.2" customHeight="1">
      <c r="B1881" s="766" t="s">
        <v>3219</v>
      </c>
      <c r="C1881" s="766"/>
      <c r="D1881" s="84" t="s">
        <v>3218</v>
      </c>
      <c r="E1881" s="87">
        <v>0.05</v>
      </c>
      <c r="F1881" s="86" t="s">
        <v>933</v>
      </c>
      <c r="G1881" s="470">
        <f>SUM(J1882:J1884)</f>
        <v>12370</v>
      </c>
      <c r="H1881" s="470">
        <f t="shared" si="486"/>
        <v>618</v>
      </c>
      <c r="I1881" s="470"/>
      <c r="J1881" s="470">
        <f t="shared" si="487"/>
        <v>0</v>
      </c>
      <c r="K1881" s="470"/>
      <c r="L1881" s="470">
        <f t="shared" si="488"/>
        <v>0</v>
      </c>
      <c r="M1881" s="470">
        <f t="shared" si="489"/>
        <v>12370</v>
      </c>
      <c r="N1881" s="470">
        <f t="shared" si="490"/>
        <v>618</v>
      </c>
      <c r="O1881" s="457"/>
      <c r="P1881" s="767"/>
    </row>
    <row r="1882" spans="1:17" ht="15.2" customHeight="1">
      <c r="B1882" s="766" t="s">
        <v>3187</v>
      </c>
      <c r="C1882" s="766"/>
      <c r="D1882" s="84"/>
      <c r="E1882" s="88">
        <v>0.03</v>
      </c>
      <c r="F1882" s="86" t="s">
        <v>1163</v>
      </c>
      <c r="G1882" s="470"/>
      <c r="H1882" s="470">
        <f t="shared" si="486"/>
        <v>0</v>
      </c>
      <c r="I1882" s="470">
        <f>SUMIF('노임(2015)'!$B$4:$B$87,B1882,'노임(2015)'!$C$4:$C$87)+SUMIF('노임(2015)'!$E$4:$E$87,B1882,'노임(2015)'!$F$4:$F$87)</f>
        <v>90909</v>
      </c>
      <c r="J1882" s="470">
        <f t="shared" si="487"/>
        <v>2727</v>
      </c>
      <c r="K1882" s="470"/>
      <c r="L1882" s="470">
        <f t="shared" si="488"/>
        <v>0</v>
      </c>
      <c r="M1882" s="470">
        <f t="shared" si="489"/>
        <v>90909</v>
      </c>
      <c r="N1882" s="470">
        <f t="shared" si="490"/>
        <v>2727</v>
      </c>
      <c r="O1882" s="457"/>
      <c r="P1882" s="767"/>
    </row>
    <row r="1883" spans="1:17" ht="15.2" customHeight="1">
      <c r="B1883" s="766" t="s">
        <v>1165</v>
      </c>
      <c r="C1883" s="766"/>
      <c r="D1883" s="84"/>
      <c r="E1883" s="88">
        <v>3.5000000000000003E-2</v>
      </c>
      <c r="F1883" s="86" t="s">
        <v>1163</v>
      </c>
      <c r="G1883" s="470"/>
      <c r="H1883" s="470">
        <f t="shared" si="486"/>
        <v>0</v>
      </c>
      <c r="I1883" s="470">
        <f>SUMIF('노임(2015)'!$B$4:$B$87,B1883,'노임(2015)'!$C$4:$C$87)+SUMIF('노임(2015)'!$E$4:$E$87,B1883,'노임(2015)'!$F$4:$F$87)</f>
        <v>111771</v>
      </c>
      <c r="J1883" s="470">
        <f t="shared" si="487"/>
        <v>3911</v>
      </c>
      <c r="K1883" s="470"/>
      <c r="L1883" s="470">
        <f t="shared" si="488"/>
        <v>0</v>
      </c>
      <c r="M1883" s="470">
        <f t="shared" si="489"/>
        <v>111771</v>
      </c>
      <c r="N1883" s="470">
        <f t="shared" si="490"/>
        <v>3911</v>
      </c>
      <c r="O1883" s="457"/>
      <c r="P1883" s="767"/>
    </row>
    <row r="1884" spans="1:17" ht="15.2" customHeight="1">
      <c r="B1884" s="766" t="s">
        <v>1162</v>
      </c>
      <c r="C1884" s="766"/>
      <c r="D1884" s="84"/>
      <c r="E1884" s="88">
        <v>6.4000000000000001E-2</v>
      </c>
      <c r="F1884" s="86" t="s">
        <v>1163</v>
      </c>
      <c r="G1884" s="470"/>
      <c r="H1884" s="470">
        <f t="shared" si="486"/>
        <v>0</v>
      </c>
      <c r="I1884" s="470">
        <f>SUMIF('노임(2015)'!$B$4:$B$87,B1884,'노임(2015)'!$C$4:$C$87)+SUMIF('노임(2015)'!$E$4:$E$87,B1884,'노임(2015)'!$F$4:$F$87)</f>
        <v>89566</v>
      </c>
      <c r="J1884" s="470">
        <f t="shared" si="487"/>
        <v>5732</v>
      </c>
      <c r="K1884" s="470"/>
      <c r="L1884" s="470">
        <f t="shared" si="488"/>
        <v>0</v>
      </c>
      <c r="M1884" s="470">
        <f t="shared" si="489"/>
        <v>89566</v>
      </c>
      <c r="N1884" s="470">
        <f t="shared" si="490"/>
        <v>5732</v>
      </c>
      <c r="O1884" s="457"/>
      <c r="P1884" s="767"/>
    </row>
    <row r="1885" spans="1:17" ht="15.2" customHeight="1">
      <c r="B1885" s="766" t="s">
        <v>141</v>
      </c>
      <c r="C1885" s="766"/>
      <c r="D1885" s="84" t="s">
        <v>142</v>
      </c>
      <c r="E1885" s="87">
        <v>1</v>
      </c>
      <c r="F1885" s="86" t="s">
        <v>143</v>
      </c>
      <c r="G1885" s="470">
        <f>사급자재!$M$203</f>
        <v>46900</v>
      </c>
      <c r="H1885" s="470">
        <f t="shared" si="486"/>
        <v>46900</v>
      </c>
      <c r="I1885" s="470"/>
      <c r="J1885" s="470">
        <f t="shared" si="487"/>
        <v>0</v>
      </c>
      <c r="K1885" s="470"/>
      <c r="L1885" s="470">
        <f t="shared" si="488"/>
        <v>0</v>
      </c>
      <c r="M1885" s="470">
        <f t="shared" si="489"/>
        <v>46900</v>
      </c>
      <c r="N1885" s="470">
        <f t="shared" si="490"/>
        <v>46900</v>
      </c>
      <c r="O1885" s="457"/>
      <c r="P1885" s="767"/>
    </row>
    <row r="1886" spans="1:17" ht="15.2" customHeight="1">
      <c r="B1886" s="766" t="s">
        <v>3609</v>
      </c>
      <c r="C1886" s="766"/>
      <c r="D1886" s="84" t="s">
        <v>3611</v>
      </c>
      <c r="E1886" s="88">
        <v>0.03</v>
      </c>
      <c r="F1886" s="86" t="s">
        <v>3610</v>
      </c>
      <c r="G1886" s="470"/>
      <c r="H1886" s="470">
        <f t="shared" si="486"/>
        <v>0</v>
      </c>
      <c r="I1886" s="470">
        <f>SUMIF('노임(2015)'!$B$4:$B$87,B1886,'노임(2015)'!$C$4:$C$87)+SUMIF('노임(2015)'!$E$4:$E$87,B1886,'노임(2015)'!$F$4:$F$87)</f>
        <v>118066</v>
      </c>
      <c r="J1886" s="470">
        <f t="shared" si="487"/>
        <v>3541</v>
      </c>
      <c r="K1886" s="470"/>
      <c r="L1886" s="470">
        <f t="shared" si="488"/>
        <v>0</v>
      </c>
      <c r="M1886" s="470">
        <f>G1886+I1886+K1886</f>
        <v>118066</v>
      </c>
      <c r="N1886" s="470">
        <f>H1886+J1886+L1886</f>
        <v>3541</v>
      </c>
      <c r="O1886" s="457"/>
      <c r="P1886" s="767"/>
    </row>
    <row r="1887" spans="1:17" ht="15.2" customHeight="1">
      <c r="B1887" s="766" t="s">
        <v>855</v>
      </c>
      <c r="C1887" s="766"/>
      <c r="D1887" s="84"/>
      <c r="E1887" s="87"/>
      <c r="F1887" s="86"/>
      <c r="G1887" s="470"/>
      <c r="H1887" s="470">
        <f>SUM(H1879:H1886)</f>
        <v>48090</v>
      </c>
      <c r="I1887" s="470"/>
      <c r="J1887" s="470">
        <f>SUM(J1879:J1886)</f>
        <v>15911</v>
      </c>
      <c r="K1887" s="470"/>
      <c r="L1887" s="470">
        <f>SUM(L1879:L1886)</f>
        <v>72</v>
      </c>
      <c r="M1887" s="470"/>
      <c r="N1887" s="470">
        <f>SUM(N1879:N1886)</f>
        <v>64073</v>
      </c>
      <c r="O1887" s="457"/>
      <c r="P1887" s="767"/>
      <c r="Q1887" s="80" t="s">
        <v>3244</v>
      </c>
    </row>
    <row r="1888" spans="1:17" ht="15.2" customHeight="1">
      <c r="A1888" s="80" t="s">
        <v>3215</v>
      </c>
      <c r="B1888" s="96">
        <f>P1888</f>
        <v>335</v>
      </c>
      <c r="C1888" s="770" t="s">
        <v>1383</v>
      </c>
      <c r="D1888" s="770"/>
      <c r="E1888" s="770"/>
      <c r="F1888" s="771"/>
      <c r="G1888" s="470"/>
      <c r="H1888" s="470"/>
      <c r="I1888" s="470"/>
      <c r="J1888" s="470"/>
      <c r="K1888" s="470"/>
      <c r="L1888" s="470"/>
      <c r="M1888" s="470"/>
      <c r="N1888" s="470"/>
      <c r="O1888" s="457"/>
      <c r="P1888" s="767">
        <f>MAX($P$5:P1887)+1</f>
        <v>335</v>
      </c>
      <c r="Q1888" s="80" t="s">
        <v>3243</v>
      </c>
    </row>
    <row r="1889" spans="1:17" ht="15.2" customHeight="1">
      <c r="B1889" s="766" t="s">
        <v>88</v>
      </c>
      <c r="C1889" s="766"/>
      <c r="D1889" s="84" t="s">
        <v>1301</v>
      </c>
      <c r="E1889" s="88">
        <v>0.35</v>
      </c>
      <c r="F1889" s="86" t="s">
        <v>453</v>
      </c>
      <c r="G1889" s="470">
        <f>중기사용료!$M$1575</f>
        <v>0</v>
      </c>
      <c r="H1889" s="470">
        <f t="shared" ref="H1889:H1896" si="491">TRUNC(E1889*G1889,0)</f>
        <v>0</v>
      </c>
      <c r="I1889" s="470">
        <f>중기사용료!$M$1569</f>
        <v>0</v>
      </c>
      <c r="J1889" s="470">
        <f t="shared" ref="J1889:J1896" si="492">TRUNC(I1889*E1889,0)</f>
        <v>0</v>
      </c>
      <c r="K1889" s="470">
        <f>중기사용료!$M$1563</f>
        <v>243</v>
      </c>
      <c r="L1889" s="470">
        <f t="shared" ref="L1889:L1896" si="493">TRUNC(K1889*E1889,0)</f>
        <v>85</v>
      </c>
      <c r="M1889" s="470">
        <f t="shared" ref="M1889:M1895" si="494">G1889+I1889+K1889</f>
        <v>243</v>
      </c>
      <c r="N1889" s="470">
        <f t="shared" ref="N1889:N1895" si="495">H1889+J1889+L1889</f>
        <v>85</v>
      </c>
      <c r="O1889" s="460">
        <f>중기사용료!$A$1560</f>
        <v>83</v>
      </c>
      <c r="P1889" s="767"/>
    </row>
    <row r="1890" spans="1:17" ht="15.2" customHeight="1">
      <c r="B1890" s="766" t="s">
        <v>910</v>
      </c>
      <c r="C1890" s="766"/>
      <c r="D1890" s="84" t="s">
        <v>911</v>
      </c>
      <c r="E1890" s="95">
        <v>3.3300000000000001E-3</v>
      </c>
      <c r="F1890" s="86" t="s">
        <v>969</v>
      </c>
      <c r="G1890" s="470">
        <f>사급자재!$M$95</f>
        <v>172000</v>
      </c>
      <c r="H1890" s="470">
        <f t="shared" si="491"/>
        <v>572</v>
      </c>
      <c r="I1890" s="470">
        <f>중기사용료!$M$1569</f>
        <v>0</v>
      </c>
      <c r="J1890" s="470">
        <f t="shared" si="492"/>
        <v>0</v>
      </c>
      <c r="K1890" s="470"/>
      <c r="L1890" s="470">
        <f t="shared" si="493"/>
        <v>0</v>
      </c>
      <c r="M1890" s="470">
        <f t="shared" si="494"/>
        <v>172000</v>
      </c>
      <c r="N1890" s="470">
        <f t="shared" si="495"/>
        <v>572</v>
      </c>
      <c r="O1890" s="464"/>
      <c r="P1890" s="767"/>
    </row>
    <row r="1891" spans="1:17" ht="15.2" customHeight="1">
      <c r="B1891" s="766" t="s">
        <v>3219</v>
      </c>
      <c r="C1891" s="766"/>
      <c r="D1891" s="84" t="s">
        <v>3218</v>
      </c>
      <c r="E1891" s="87">
        <v>0.05</v>
      </c>
      <c r="F1891" s="86" t="s">
        <v>933</v>
      </c>
      <c r="G1891" s="470">
        <f>SUM(J1892:J1894)</f>
        <v>13336</v>
      </c>
      <c r="H1891" s="470">
        <f t="shared" si="491"/>
        <v>666</v>
      </c>
      <c r="I1891" s="470"/>
      <c r="J1891" s="470">
        <f t="shared" si="492"/>
        <v>0</v>
      </c>
      <c r="K1891" s="470"/>
      <c r="L1891" s="470">
        <f t="shared" si="493"/>
        <v>0</v>
      </c>
      <c r="M1891" s="470">
        <f t="shared" si="494"/>
        <v>13336</v>
      </c>
      <c r="N1891" s="470">
        <f t="shared" si="495"/>
        <v>666</v>
      </c>
      <c r="O1891" s="457"/>
      <c r="P1891" s="767"/>
    </row>
    <row r="1892" spans="1:17" ht="15.2" customHeight="1">
      <c r="B1892" s="766" t="s">
        <v>3187</v>
      </c>
      <c r="C1892" s="766"/>
      <c r="D1892" s="84"/>
      <c r="E1892" s="88">
        <v>3.3000000000000002E-2</v>
      </c>
      <c r="F1892" s="86" t="s">
        <v>1163</v>
      </c>
      <c r="G1892" s="470"/>
      <c r="H1892" s="470">
        <f t="shared" si="491"/>
        <v>0</v>
      </c>
      <c r="I1892" s="470">
        <f>SUMIF('노임(2015)'!$B$4:$B$87,B1892,'노임(2015)'!$C$4:$C$87)+SUMIF('노임(2015)'!$E$4:$E$87,B1892,'노임(2015)'!$F$4:$F$87)</f>
        <v>90909</v>
      </c>
      <c r="J1892" s="470">
        <f t="shared" si="492"/>
        <v>2999</v>
      </c>
      <c r="K1892" s="470"/>
      <c r="L1892" s="470">
        <f t="shared" si="493"/>
        <v>0</v>
      </c>
      <c r="M1892" s="470">
        <f t="shared" si="494"/>
        <v>90909</v>
      </c>
      <c r="N1892" s="470">
        <f t="shared" si="495"/>
        <v>2999</v>
      </c>
      <c r="O1892" s="457"/>
      <c r="P1892" s="767"/>
    </row>
    <row r="1893" spans="1:17" ht="15.2" customHeight="1">
      <c r="B1893" s="766" t="s">
        <v>1165</v>
      </c>
      <c r="C1893" s="766"/>
      <c r="D1893" s="84"/>
      <c r="E1893" s="88">
        <v>3.7999999999999999E-2</v>
      </c>
      <c r="F1893" s="86" t="s">
        <v>1163</v>
      </c>
      <c r="G1893" s="470"/>
      <c r="H1893" s="470">
        <f t="shared" si="491"/>
        <v>0</v>
      </c>
      <c r="I1893" s="470">
        <f>SUMIF('노임(2015)'!$B$4:$B$87,B1893,'노임(2015)'!$C$4:$C$87)+SUMIF('노임(2015)'!$E$4:$E$87,B1893,'노임(2015)'!$F$4:$F$87)</f>
        <v>111771</v>
      </c>
      <c r="J1893" s="470">
        <f t="shared" si="492"/>
        <v>4247</v>
      </c>
      <c r="K1893" s="470"/>
      <c r="L1893" s="470">
        <f t="shared" si="493"/>
        <v>0</v>
      </c>
      <c r="M1893" s="470">
        <f t="shared" si="494"/>
        <v>111771</v>
      </c>
      <c r="N1893" s="470">
        <f t="shared" si="495"/>
        <v>4247</v>
      </c>
      <c r="O1893" s="457"/>
      <c r="P1893" s="767"/>
    </row>
    <row r="1894" spans="1:17" ht="15.2" customHeight="1">
      <c r="B1894" s="766" t="s">
        <v>1162</v>
      </c>
      <c r="C1894" s="766"/>
      <c r="D1894" s="84"/>
      <c r="E1894" s="88">
        <v>6.8000000000000005E-2</v>
      </c>
      <c r="F1894" s="86" t="s">
        <v>1163</v>
      </c>
      <c r="G1894" s="470"/>
      <c r="H1894" s="470">
        <f t="shared" si="491"/>
        <v>0</v>
      </c>
      <c r="I1894" s="470">
        <f>SUMIF('노임(2015)'!$B$4:$B$87,B1894,'노임(2015)'!$C$4:$C$87)+SUMIF('노임(2015)'!$E$4:$E$87,B1894,'노임(2015)'!$F$4:$F$87)</f>
        <v>89566</v>
      </c>
      <c r="J1894" s="470">
        <f t="shared" si="492"/>
        <v>6090</v>
      </c>
      <c r="K1894" s="470"/>
      <c r="L1894" s="470">
        <f t="shared" si="493"/>
        <v>0</v>
      </c>
      <c r="M1894" s="470">
        <f t="shared" si="494"/>
        <v>89566</v>
      </c>
      <c r="N1894" s="470">
        <f t="shared" si="495"/>
        <v>6090</v>
      </c>
      <c r="O1894" s="457"/>
      <c r="P1894" s="767"/>
    </row>
    <row r="1895" spans="1:17" ht="15.2" customHeight="1">
      <c r="B1895" s="766" t="s">
        <v>141</v>
      </c>
      <c r="C1895" s="766"/>
      <c r="D1895" s="84" t="s">
        <v>142</v>
      </c>
      <c r="E1895" s="87">
        <v>1</v>
      </c>
      <c r="F1895" s="86" t="s">
        <v>143</v>
      </c>
      <c r="G1895" s="470">
        <f>사급자재!$M$203</f>
        <v>46900</v>
      </c>
      <c r="H1895" s="470">
        <f t="shared" si="491"/>
        <v>46900</v>
      </c>
      <c r="I1895" s="470"/>
      <c r="J1895" s="470">
        <f t="shared" si="492"/>
        <v>0</v>
      </c>
      <c r="K1895" s="470"/>
      <c r="L1895" s="470">
        <f t="shared" si="493"/>
        <v>0</v>
      </c>
      <c r="M1895" s="470">
        <f t="shared" si="494"/>
        <v>46900</v>
      </c>
      <c r="N1895" s="470">
        <f t="shared" si="495"/>
        <v>46900</v>
      </c>
      <c r="O1895" s="457"/>
      <c r="P1895" s="767"/>
    </row>
    <row r="1896" spans="1:17" ht="15.2" customHeight="1">
      <c r="B1896" s="766" t="s">
        <v>3609</v>
      </c>
      <c r="C1896" s="766"/>
      <c r="D1896" s="84" t="s">
        <v>3611</v>
      </c>
      <c r="E1896" s="88">
        <v>0.03</v>
      </c>
      <c r="F1896" s="86" t="s">
        <v>3610</v>
      </c>
      <c r="G1896" s="470"/>
      <c r="H1896" s="470">
        <f t="shared" si="491"/>
        <v>0</v>
      </c>
      <c r="I1896" s="470">
        <f>SUMIF('노임(2015)'!$B$4:$B$87,B1896,'노임(2015)'!$C$4:$C$87)+SUMIF('노임(2015)'!$E$4:$E$87,B1896,'노임(2015)'!$F$4:$F$87)</f>
        <v>118066</v>
      </c>
      <c r="J1896" s="470">
        <f t="shared" si="492"/>
        <v>3541</v>
      </c>
      <c r="K1896" s="470"/>
      <c r="L1896" s="470">
        <f t="shared" si="493"/>
        <v>0</v>
      </c>
      <c r="M1896" s="470">
        <f>G1896+I1896+K1896</f>
        <v>118066</v>
      </c>
      <c r="N1896" s="470">
        <f>H1896+J1896+L1896</f>
        <v>3541</v>
      </c>
      <c r="O1896" s="457"/>
      <c r="P1896" s="767"/>
    </row>
    <row r="1897" spans="1:17" ht="15.2" customHeight="1">
      <c r="B1897" s="766" t="s">
        <v>855</v>
      </c>
      <c r="C1897" s="766"/>
      <c r="D1897" s="84"/>
      <c r="E1897" s="87"/>
      <c r="F1897" s="86"/>
      <c r="G1897" s="470"/>
      <c r="H1897" s="470">
        <f>SUM(H1889:H1896)</f>
        <v>48138</v>
      </c>
      <c r="I1897" s="470"/>
      <c r="J1897" s="470">
        <f>SUM(J1889:J1896)</f>
        <v>16877</v>
      </c>
      <c r="K1897" s="470"/>
      <c r="L1897" s="470">
        <f>SUM(L1889:L1896)</f>
        <v>85</v>
      </c>
      <c r="M1897" s="470"/>
      <c r="N1897" s="470">
        <f>SUM(N1889:N1896)</f>
        <v>65100</v>
      </c>
      <c r="O1897" s="457"/>
      <c r="P1897" s="767"/>
      <c r="Q1897" s="80" t="s">
        <v>3244</v>
      </c>
    </row>
    <row r="1898" spans="1:17" ht="15.2" customHeight="1">
      <c r="A1898" s="80" t="s">
        <v>3215</v>
      </c>
      <c r="B1898" s="96">
        <f>P1898</f>
        <v>336</v>
      </c>
      <c r="C1898" s="770" t="s">
        <v>3758</v>
      </c>
      <c r="D1898" s="770"/>
      <c r="E1898" s="770"/>
      <c r="F1898" s="771"/>
      <c r="G1898" s="470"/>
      <c r="H1898" s="470"/>
      <c r="I1898" s="470"/>
      <c r="J1898" s="470"/>
      <c r="K1898" s="470"/>
      <c r="L1898" s="470"/>
      <c r="M1898" s="470"/>
      <c r="N1898" s="470"/>
      <c r="O1898" s="457"/>
      <c r="P1898" s="767">
        <f>MAX($P$5:P1897)+1</f>
        <v>336</v>
      </c>
      <c r="Q1898" s="80" t="s">
        <v>3243</v>
      </c>
    </row>
    <row r="1899" spans="1:17" ht="15.2" customHeight="1">
      <c r="B1899" s="766" t="s">
        <v>88</v>
      </c>
      <c r="C1899" s="766"/>
      <c r="D1899" s="84" t="s">
        <v>1301</v>
      </c>
      <c r="E1899" s="88">
        <v>0.23400000000000001</v>
      </c>
      <c r="F1899" s="86" t="s">
        <v>453</v>
      </c>
      <c r="G1899" s="470">
        <f>중기사용료!$M$1575</f>
        <v>0</v>
      </c>
      <c r="H1899" s="470">
        <f t="shared" ref="H1899:H1906" si="496">TRUNC(E1899*G1899,0)</f>
        <v>0</v>
      </c>
      <c r="I1899" s="470">
        <f>중기사용료!$M$1569</f>
        <v>0</v>
      </c>
      <c r="J1899" s="470">
        <f t="shared" ref="J1899:J1906" si="497">TRUNC(I1899*E1899,0)</f>
        <v>0</v>
      </c>
      <c r="K1899" s="470">
        <f>중기사용료!$M$1563</f>
        <v>243</v>
      </c>
      <c r="L1899" s="470">
        <f t="shared" ref="L1899:L1906" si="498">TRUNC(K1899*E1899,0)</f>
        <v>56</v>
      </c>
      <c r="M1899" s="470">
        <f t="shared" ref="M1899:M1905" si="499">G1899+I1899+K1899</f>
        <v>243</v>
      </c>
      <c r="N1899" s="470">
        <f t="shared" ref="N1899:N1905" si="500">H1899+J1899+L1899</f>
        <v>56</v>
      </c>
      <c r="O1899" s="460">
        <f>중기사용료!$A$1560</f>
        <v>83</v>
      </c>
      <c r="P1899" s="767"/>
    </row>
    <row r="1900" spans="1:17" ht="15.2" customHeight="1">
      <c r="B1900" s="766" t="s">
        <v>910</v>
      </c>
      <c r="C1900" s="766"/>
      <c r="D1900" s="84" t="s">
        <v>3786</v>
      </c>
      <c r="E1900" s="95">
        <v>3.3300000000000001E-3</v>
      </c>
      <c r="F1900" s="86" t="s">
        <v>969</v>
      </c>
      <c r="G1900" s="470">
        <f>사급자재!$M$98</f>
        <v>360000</v>
      </c>
      <c r="H1900" s="470">
        <f t="shared" si="496"/>
        <v>1198</v>
      </c>
      <c r="I1900" s="470">
        <f>중기사용료!$M$1569</f>
        <v>0</v>
      </c>
      <c r="J1900" s="470">
        <f t="shared" si="497"/>
        <v>0</v>
      </c>
      <c r="K1900" s="470"/>
      <c r="L1900" s="470">
        <f t="shared" si="498"/>
        <v>0</v>
      </c>
      <c r="M1900" s="470">
        <f t="shared" si="499"/>
        <v>360000</v>
      </c>
      <c r="N1900" s="470">
        <f t="shared" si="500"/>
        <v>1198</v>
      </c>
      <c r="O1900" s="464"/>
      <c r="P1900" s="767"/>
    </row>
    <row r="1901" spans="1:17" ht="15.2" customHeight="1">
      <c r="B1901" s="766" t="s">
        <v>3219</v>
      </c>
      <c r="C1901" s="766"/>
      <c r="D1901" s="84" t="s">
        <v>3218</v>
      </c>
      <c r="E1901" s="87">
        <v>0.05</v>
      </c>
      <c r="F1901" s="86" t="s">
        <v>933</v>
      </c>
      <c r="G1901" s="470">
        <f>SUM(J1902:J1904)</f>
        <v>13966</v>
      </c>
      <c r="H1901" s="470">
        <f t="shared" si="496"/>
        <v>698</v>
      </c>
      <c r="I1901" s="470"/>
      <c r="J1901" s="470">
        <f t="shared" si="497"/>
        <v>0</v>
      </c>
      <c r="K1901" s="470"/>
      <c r="L1901" s="470">
        <f t="shared" si="498"/>
        <v>0</v>
      </c>
      <c r="M1901" s="470">
        <f t="shared" si="499"/>
        <v>13966</v>
      </c>
      <c r="N1901" s="470">
        <f t="shared" si="500"/>
        <v>698</v>
      </c>
      <c r="O1901" s="457"/>
      <c r="P1901" s="767"/>
    </row>
    <row r="1902" spans="1:17" ht="15.2" customHeight="1">
      <c r="B1902" s="766" t="s">
        <v>3187</v>
      </c>
      <c r="C1902" s="766"/>
      <c r="D1902" s="84"/>
      <c r="E1902" s="88">
        <v>3.5000000000000003E-2</v>
      </c>
      <c r="F1902" s="86" t="s">
        <v>1163</v>
      </c>
      <c r="G1902" s="470"/>
      <c r="H1902" s="470">
        <f t="shared" si="496"/>
        <v>0</v>
      </c>
      <c r="I1902" s="470">
        <f>SUMIF('노임(2015)'!$B$4:$B$87,B1902,'노임(2015)'!$C$4:$C$87)+SUMIF('노임(2015)'!$E$4:$E$87,B1902,'노임(2015)'!$F$4:$F$87)</f>
        <v>90909</v>
      </c>
      <c r="J1902" s="470">
        <f t="shared" si="497"/>
        <v>3181</v>
      </c>
      <c r="K1902" s="470"/>
      <c r="L1902" s="470">
        <f t="shared" si="498"/>
        <v>0</v>
      </c>
      <c r="M1902" s="470">
        <f t="shared" si="499"/>
        <v>90909</v>
      </c>
      <c r="N1902" s="470">
        <f t="shared" si="500"/>
        <v>3181</v>
      </c>
      <c r="O1902" s="457"/>
      <c r="P1902" s="767"/>
    </row>
    <row r="1903" spans="1:17" ht="15.2" customHeight="1">
      <c r="B1903" s="766" t="s">
        <v>1165</v>
      </c>
      <c r="C1903" s="766"/>
      <c r="D1903" s="84"/>
      <c r="E1903" s="88">
        <v>3.7999999999999999E-2</v>
      </c>
      <c r="F1903" s="86" t="s">
        <v>1163</v>
      </c>
      <c r="G1903" s="470"/>
      <c r="H1903" s="470">
        <f t="shared" si="496"/>
        <v>0</v>
      </c>
      <c r="I1903" s="470">
        <f>SUMIF('노임(2015)'!$B$4:$B$87,B1903,'노임(2015)'!$C$4:$C$87)+SUMIF('노임(2015)'!$E$4:$E$87,B1903,'노임(2015)'!$F$4:$F$87)</f>
        <v>111771</v>
      </c>
      <c r="J1903" s="470">
        <f t="shared" si="497"/>
        <v>4247</v>
      </c>
      <c r="K1903" s="470"/>
      <c r="L1903" s="470">
        <f t="shared" si="498"/>
        <v>0</v>
      </c>
      <c r="M1903" s="470">
        <f t="shared" si="499"/>
        <v>111771</v>
      </c>
      <c r="N1903" s="470">
        <f t="shared" si="500"/>
        <v>4247</v>
      </c>
      <c r="O1903" s="457"/>
      <c r="P1903" s="767"/>
    </row>
    <row r="1904" spans="1:17" ht="15.2" customHeight="1">
      <c r="B1904" s="766" t="s">
        <v>1162</v>
      </c>
      <c r="C1904" s="766"/>
      <c r="D1904" s="84"/>
      <c r="E1904" s="88">
        <v>7.2999999999999995E-2</v>
      </c>
      <c r="F1904" s="86" t="s">
        <v>1163</v>
      </c>
      <c r="G1904" s="470"/>
      <c r="H1904" s="470">
        <f t="shared" si="496"/>
        <v>0</v>
      </c>
      <c r="I1904" s="470">
        <f>SUMIF('노임(2015)'!$B$4:$B$87,B1904,'노임(2015)'!$C$4:$C$87)+SUMIF('노임(2015)'!$E$4:$E$87,B1904,'노임(2015)'!$F$4:$F$87)</f>
        <v>89566</v>
      </c>
      <c r="J1904" s="470">
        <f t="shared" si="497"/>
        <v>6538</v>
      </c>
      <c r="K1904" s="470"/>
      <c r="L1904" s="470">
        <f t="shared" si="498"/>
        <v>0</v>
      </c>
      <c r="M1904" s="470">
        <f t="shared" si="499"/>
        <v>89566</v>
      </c>
      <c r="N1904" s="470">
        <f t="shared" si="500"/>
        <v>6538</v>
      </c>
      <c r="O1904" s="457"/>
      <c r="P1904" s="767"/>
    </row>
    <row r="1905" spans="1:17" ht="15.2" customHeight="1">
      <c r="B1905" s="766" t="s">
        <v>141</v>
      </c>
      <c r="C1905" s="766"/>
      <c r="D1905" s="84" t="s">
        <v>1701</v>
      </c>
      <c r="E1905" s="87">
        <v>1</v>
      </c>
      <c r="F1905" s="86" t="s">
        <v>143</v>
      </c>
      <c r="G1905" s="470">
        <f>사급자재!$M$204</f>
        <v>121000</v>
      </c>
      <c r="H1905" s="470">
        <f t="shared" si="496"/>
        <v>121000</v>
      </c>
      <c r="I1905" s="470"/>
      <c r="J1905" s="470">
        <f t="shared" si="497"/>
        <v>0</v>
      </c>
      <c r="K1905" s="470"/>
      <c r="L1905" s="470">
        <f t="shared" si="498"/>
        <v>0</v>
      </c>
      <c r="M1905" s="470">
        <f t="shared" si="499"/>
        <v>121000</v>
      </c>
      <c r="N1905" s="470">
        <f t="shared" si="500"/>
        <v>121000</v>
      </c>
      <c r="O1905" s="457"/>
      <c r="P1905" s="767"/>
    </row>
    <row r="1906" spans="1:17" ht="15.2" customHeight="1">
      <c r="B1906" s="766" t="s">
        <v>3609</v>
      </c>
      <c r="C1906" s="766"/>
      <c r="D1906" s="84" t="s">
        <v>3765</v>
      </c>
      <c r="E1906" s="88">
        <v>7.5999999999999998E-2</v>
      </c>
      <c r="F1906" s="86" t="s">
        <v>1163</v>
      </c>
      <c r="G1906" s="470"/>
      <c r="H1906" s="470">
        <f t="shared" si="496"/>
        <v>0</v>
      </c>
      <c r="I1906" s="470">
        <f>SUMIF('노임(2015)'!$B$4:$B$87,B1906,'노임(2015)'!$C$4:$C$87)+SUMIF('노임(2015)'!$E$4:$E$87,B1906,'노임(2015)'!$F$4:$F$87)</f>
        <v>118066</v>
      </c>
      <c r="J1906" s="470">
        <f t="shared" si="497"/>
        <v>8973</v>
      </c>
      <c r="K1906" s="470"/>
      <c r="L1906" s="470">
        <f t="shared" si="498"/>
        <v>0</v>
      </c>
      <c r="M1906" s="470">
        <f>G1906+I1906+K1906</f>
        <v>118066</v>
      </c>
      <c r="N1906" s="470">
        <f>H1906+J1906+L1906</f>
        <v>8973</v>
      </c>
      <c r="O1906" s="457"/>
      <c r="P1906" s="767"/>
    </row>
    <row r="1907" spans="1:17" ht="15.2" customHeight="1">
      <c r="B1907" s="766" t="s">
        <v>855</v>
      </c>
      <c r="C1907" s="766"/>
      <c r="D1907" s="84"/>
      <c r="E1907" s="87"/>
      <c r="F1907" s="86"/>
      <c r="G1907" s="470"/>
      <c r="H1907" s="470">
        <f>SUM(H1899:H1906)</f>
        <v>122896</v>
      </c>
      <c r="I1907" s="470"/>
      <c r="J1907" s="470">
        <f>SUM(J1899:J1906)</f>
        <v>22939</v>
      </c>
      <c r="K1907" s="470"/>
      <c r="L1907" s="470">
        <f>SUM(L1899:L1906)</f>
        <v>56</v>
      </c>
      <c r="M1907" s="470"/>
      <c r="N1907" s="470">
        <f>SUM(N1899:N1906)</f>
        <v>145891</v>
      </c>
      <c r="O1907" s="457"/>
      <c r="P1907" s="767"/>
      <c r="Q1907" s="80" t="s">
        <v>1164</v>
      </c>
    </row>
    <row r="1908" spans="1:17" ht="15.2" customHeight="1">
      <c r="A1908" s="80" t="s">
        <v>3215</v>
      </c>
      <c r="B1908" s="96">
        <f>P1908</f>
        <v>337</v>
      </c>
      <c r="C1908" s="770" t="s">
        <v>3759</v>
      </c>
      <c r="D1908" s="770"/>
      <c r="E1908" s="770"/>
      <c r="F1908" s="771"/>
      <c r="G1908" s="470"/>
      <c r="H1908" s="470"/>
      <c r="I1908" s="470"/>
      <c r="J1908" s="470"/>
      <c r="K1908" s="470"/>
      <c r="L1908" s="470"/>
      <c r="M1908" s="470"/>
      <c r="N1908" s="470"/>
      <c r="O1908" s="457"/>
      <c r="P1908" s="767">
        <f>MAX($P$5:P1907)+1</f>
        <v>337</v>
      </c>
      <c r="Q1908" s="80" t="s">
        <v>3243</v>
      </c>
    </row>
    <row r="1909" spans="1:17" ht="15.2" customHeight="1">
      <c r="B1909" s="766" t="s">
        <v>88</v>
      </c>
      <c r="C1909" s="766"/>
      <c r="D1909" s="84" t="s">
        <v>1301</v>
      </c>
      <c r="E1909" s="88">
        <v>0.371</v>
      </c>
      <c r="F1909" s="86" t="s">
        <v>453</v>
      </c>
      <c r="G1909" s="470">
        <f>중기사용료!$M$1575</f>
        <v>0</v>
      </c>
      <c r="H1909" s="470">
        <f t="shared" ref="H1909:H1916" si="501">TRUNC(E1909*G1909,0)</f>
        <v>0</v>
      </c>
      <c r="I1909" s="470">
        <f>중기사용료!$M$1569</f>
        <v>0</v>
      </c>
      <c r="J1909" s="470">
        <f t="shared" ref="J1909:J1916" si="502">TRUNC(I1909*E1909,0)</f>
        <v>0</v>
      </c>
      <c r="K1909" s="470">
        <f>중기사용료!$M$1563</f>
        <v>243</v>
      </c>
      <c r="L1909" s="470">
        <f t="shared" ref="L1909:L1916" si="503">TRUNC(K1909*E1909,0)</f>
        <v>90</v>
      </c>
      <c r="M1909" s="470">
        <f t="shared" ref="M1909:M1915" si="504">G1909+I1909+K1909</f>
        <v>243</v>
      </c>
      <c r="N1909" s="470">
        <f t="shared" ref="N1909:N1915" si="505">H1909+J1909+L1909</f>
        <v>90</v>
      </c>
      <c r="O1909" s="460">
        <f>중기사용료!$A$1560</f>
        <v>83</v>
      </c>
      <c r="P1909" s="767"/>
    </row>
    <row r="1910" spans="1:17" ht="15.2" customHeight="1">
      <c r="B1910" s="766" t="s">
        <v>910</v>
      </c>
      <c r="C1910" s="766"/>
      <c r="D1910" s="84" t="s">
        <v>3786</v>
      </c>
      <c r="E1910" s="95">
        <v>3.3300000000000001E-3</v>
      </c>
      <c r="F1910" s="86" t="s">
        <v>969</v>
      </c>
      <c r="G1910" s="470">
        <f>사급자재!$M$98</f>
        <v>360000</v>
      </c>
      <c r="H1910" s="470">
        <f t="shared" si="501"/>
        <v>1198</v>
      </c>
      <c r="I1910" s="470">
        <f>중기사용료!$M$1569</f>
        <v>0</v>
      </c>
      <c r="J1910" s="470">
        <f t="shared" si="502"/>
        <v>0</v>
      </c>
      <c r="K1910" s="470"/>
      <c r="L1910" s="470">
        <f t="shared" si="503"/>
        <v>0</v>
      </c>
      <c r="M1910" s="470">
        <f t="shared" si="504"/>
        <v>360000</v>
      </c>
      <c r="N1910" s="470">
        <f t="shared" si="505"/>
        <v>1198</v>
      </c>
      <c r="O1910" s="464"/>
      <c r="P1910" s="767"/>
    </row>
    <row r="1911" spans="1:17" ht="15.2" customHeight="1">
      <c r="B1911" s="766" t="s">
        <v>3219</v>
      </c>
      <c r="C1911" s="766"/>
      <c r="D1911" s="84" t="s">
        <v>3218</v>
      </c>
      <c r="E1911" s="87">
        <v>0.05</v>
      </c>
      <c r="F1911" s="86" t="s">
        <v>933</v>
      </c>
      <c r="G1911" s="470">
        <f>SUM(J1912:J1914)</f>
        <v>19444</v>
      </c>
      <c r="H1911" s="470">
        <f t="shared" si="501"/>
        <v>972</v>
      </c>
      <c r="I1911" s="470"/>
      <c r="J1911" s="470">
        <f t="shared" si="502"/>
        <v>0</v>
      </c>
      <c r="K1911" s="470"/>
      <c r="L1911" s="470">
        <f t="shared" si="503"/>
        <v>0</v>
      </c>
      <c r="M1911" s="470">
        <f t="shared" si="504"/>
        <v>19444</v>
      </c>
      <c r="N1911" s="470">
        <f t="shared" si="505"/>
        <v>972</v>
      </c>
      <c r="O1911" s="457"/>
      <c r="P1911" s="767"/>
    </row>
    <row r="1912" spans="1:17" ht="15.2" customHeight="1">
      <c r="B1912" s="766" t="s">
        <v>3187</v>
      </c>
      <c r="C1912" s="766"/>
      <c r="D1912" s="84"/>
      <c r="E1912" s="88">
        <v>4.8000000000000001E-2</v>
      </c>
      <c r="F1912" s="86" t="s">
        <v>1163</v>
      </c>
      <c r="G1912" s="470"/>
      <c r="H1912" s="470">
        <f t="shared" si="501"/>
        <v>0</v>
      </c>
      <c r="I1912" s="470">
        <f>SUMIF('노임(2015)'!$B$4:$B$87,B1912,'노임(2015)'!$C$4:$C$87)+SUMIF('노임(2015)'!$E$4:$E$87,B1912,'노임(2015)'!$F$4:$F$87)</f>
        <v>90909</v>
      </c>
      <c r="J1912" s="470">
        <f t="shared" si="502"/>
        <v>4363</v>
      </c>
      <c r="K1912" s="470"/>
      <c r="L1912" s="470">
        <f t="shared" si="503"/>
        <v>0</v>
      </c>
      <c r="M1912" s="470">
        <f t="shared" si="504"/>
        <v>90909</v>
      </c>
      <c r="N1912" s="470">
        <f t="shared" si="505"/>
        <v>4363</v>
      </c>
      <c r="O1912" s="457"/>
      <c r="P1912" s="767"/>
    </row>
    <row r="1913" spans="1:17" ht="15.2" customHeight="1">
      <c r="B1913" s="766" t="s">
        <v>1165</v>
      </c>
      <c r="C1913" s="766"/>
      <c r="D1913" s="84"/>
      <c r="E1913" s="88">
        <v>5.3999999999999999E-2</v>
      </c>
      <c r="F1913" s="86" t="s">
        <v>1163</v>
      </c>
      <c r="G1913" s="470"/>
      <c r="H1913" s="470">
        <f t="shared" si="501"/>
        <v>0</v>
      </c>
      <c r="I1913" s="470">
        <f>SUMIF('노임(2015)'!$B$4:$B$87,B1913,'노임(2015)'!$C$4:$C$87)+SUMIF('노임(2015)'!$E$4:$E$87,B1913,'노임(2015)'!$F$4:$F$87)</f>
        <v>111771</v>
      </c>
      <c r="J1913" s="470">
        <f t="shared" si="502"/>
        <v>6035</v>
      </c>
      <c r="K1913" s="470"/>
      <c r="L1913" s="470">
        <f t="shared" si="503"/>
        <v>0</v>
      </c>
      <c r="M1913" s="470">
        <f t="shared" si="504"/>
        <v>111771</v>
      </c>
      <c r="N1913" s="470">
        <f t="shared" si="505"/>
        <v>6035</v>
      </c>
      <c r="O1913" s="457"/>
      <c r="P1913" s="767"/>
    </row>
    <row r="1914" spans="1:17" ht="15.2" customHeight="1">
      <c r="B1914" s="766" t="s">
        <v>1162</v>
      </c>
      <c r="C1914" s="766"/>
      <c r="D1914" s="84"/>
      <c r="E1914" s="88">
        <v>0.10100000000000001</v>
      </c>
      <c r="F1914" s="86" t="s">
        <v>1163</v>
      </c>
      <c r="G1914" s="470"/>
      <c r="H1914" s="470">
        <f t="shared" si="501"/>
        <v>0</v>
      </c>
      <c r="I1914" s="470">
        <f>SUMIF('노임(2015)'!$B$4:$B$87,B1914,'노임(2015)'!$C$4:$C$87)+SUMIF('노임(2015)'!$E$4:$E$87,B1914,'노임(2015)'!$F$4:$F$87)</f>
        <v>89566</v>
      </c>
      <c r="J1914" s="470">
        <f t="shared" si="502"/>
        <v>9046</v>
      </c>
      <c r="K1914" s="470"/>
      <c r="L1914" s="470">
        <f t="shared" si="503"/>
        <v>0</v>
      </c>
      <c r="M1914" s="470">
        <f t="shared" si="504"/>
        <v>89566</v>
      </c>
      <c r="N1914" s="470">
        <f t="shared" si="505"/>
        <v>9046</v>
      </c>
      <c r="O1914" s="457"/>
      <c r="P1914" s="767"/>
    </row>
    <row r="1915" spans="1:17" ht="15.2" customHeight="1">
      <c r="B1915" s="766" t="s">
        <v>141</v>
      </c>
      <c r="C1915" s="766"/>
      <c r="D1915" s="84" t="s">
        <v>1701</v>
      </c>
      <c r="E1915" s="87">
        <v>1</v>
      </c>
      <c r="F1915" s="86" t="s">
        <v>143</v>
      </c>
      <c r="G1915" s="470">
        <f>사급자재!$M$204</f>
        <v>121000</v>
      </c>
      <c r="H1915" s="470">
        <f t="shared" si="501"/>
        <v>121000</v>
      </c>
      <c r="I1915" s="470"/>
      <c r="J1915" s="470">
        <f t="shared" si="502"/>
        <v>0</v>
      </c>
      <c r="K1915" s="470"/>
      <c r="L1915" s="470">
        <f t="shared" si="503"/>
        <v>0</v>
      </c>
      <c r="M1915" s="470">
        <f t="shared" si="504"/>
        <v>121000</v>
      </c>
      <c r="N1915" s="470">
        <f t="shared" si="505"/>
        <v>121000</v>
      </c>
      <c r="O1915" s="457"/>
      <c r="P1915" s="767"/>
    </row>
    <row r="1916" spans="1:17" ht="15.2" customHeight="1">
      <c r="B1916" s="766" t="s">
        <v>3609</v>
      </c>
      <c r="C1916" s="766"/>
      <c r="D1916" s="84" t="s">
        <v>3611</v>
      </c>
      <c r="E1916" s="88">
        <v>7.5999999999999998E-2</v>
      </c>
      <c r="F1916" s="86" t="s">
        <v>1163</v>
      </c>
      <c r="G1916" s="470"/>
      <c r="H1916" s="470">
        <f t="shared" si="501"/>
        <v>0</v>
      </c>
      <c r="I1916" s="470">
        <f>SUMIF('노임(2015)'!$B$4:$B$87,B1916,'노임(2015)'!$C$4:$C$87)+SUMIF('노임(2015)'!$E$4:$E$87,B1916,'노임(2015)'!$F$4:$F$87)</f>
        <v>118066</v>
      </c>
      <c r="J1916" s="470">
        <f t="shared" si="502"/>
        <v>8973</v>
      </c>
      <c r="K1916" s="470"/>
      <c r="L1916" s="470">
        <f t="shared" si="503"/>
        <v>0</v>
      </c>
      <c r="M1916" s="470">
        <f>G1916+I1916+K1916</f>
        <v>118066</v>
      </c>
      <c r="N1916" s="470">
        <f>H1916+J1916+L1916</f>
        <v>8973</v>
      </c>
      <c r="O1916" s="457"/>
      <c r="P1916" s="767"/>
    </row>
    <row r="1917" spans="1:17" ht="15.2" customHeight="1">
      <c r="B1917" s="766" t="s">
        <v>855</v>
      </c>
      <c r="C1917" s="766"/>
      <c r="D1917" s="84"/>
      <c r="E1917" s="87"/>
      <c r="F1917" s="86"/>
      <c r="G1917" s="470"/>
      <c r="H1917" s="470">
        <f>SUM(H1909:H1916)</f>
        <v>123170</v>
      </c>
      <c r="I1917" s="470"/>
      <c r="J1917" s="470">
        <f>SUM(J1909:J1916)</f>
        <v>28417</v>
      </c>
      <c r="K1917" s="470"/>
      <c r="L1917" s="470">
        <f>SUM(L1909:L1916)</f>
        <v>90</v>
      </c>
      <c r="M1917" s="470"/>
      <c r="N1917" s="470">
        <f>SUM(N1909:N1916)</f>
        <v>151677</v>
      </c>
      <c r="O1917" s="457"/>
      <c r="P1917" s="767"/>
      <c r="Q1917" s="80" t="s">
        <v>1164</v>
      </c>
    </row>
    <row r="1918" spans="1:17" ht="15.2" customHeight="1">
      <c r="A1918" s="80" t="s">
        <v>3215</v>
      </c>
      <c r="B1918" s="96">
        <f>P1918</f>
        <v>338</v>
      </c>
      <c r="C1918" s="770" t="s">
        <v>3760</v>
      </c>
      <c r="D1918" s="770"/>
      <c r="E1918" s="770"/>
      <c r="F1918" s="771"/>
      <c r="G1918" s="470"/>
      <c r="H1918" s="470"/>
      <c r="I1918" s="470"/>
      <c r="J1918" s="470"/>
      <c r="K1918" s="470"/>
      <c r="L1918" s="470"/>
      <c r="M1918" s="470"/>
      <c r="N1918" s="470"/>
      <c r="O1918" s="457"/>
      <c r="P1918" s="767">
        <f>MAX($P$5:P1917)+1</f>
        <v>338</v>
      </c>
      <c r="Q1918" s="80" t="s">
        <v>3243</v>
      </c>
    </row>
    <row r="1919" spans="1:17" ht="15.2" customHeight="1">
      <c r="B1919" s="766" t="s">
        <v>88</v>
      </c>
      <c r="C1919" s="766"/>
      <c r="D1919" s="84" t="s">
        <v>1301</v>
      </c>
      <c r="E1919" s="88">
        <v>0.42199999999999999</v>
      </c>
      <c r="F1919" s="86" t="s">
        <v>453</v>
      </c>
      <c r="G1919" s="470">
        <f>중기사용료!$M$1575</f>
        <v>0</v>
      </c>
      <c r="H1919" s="470">
        <f t="shared" ref="H1919:H1926" si="506">TRUNC(E1919*G1919,0)</f>
        <v>0</v>
      </c>
      <c r="I1919" s="470">
        <f>중기사용료!$M$1569</f>
        <v>0</v>
      </c>
      <c r="J1919" s="470">
        <f t="shared" ref="J1919:J1926" si="507">TRUNC(I1919*E1919,0)</f>
        <v>0</v>
      </c>
      <c r="K1919" s="470">
        <f>중기사용료!$M$1563</f>
        <v>243</v>
      </c>
      <c r="L1919" s="470">
        <f t="shared" ref="L1919:L1926" si="508">TRUNC(K1919*E1919,0)</f>
        <v>102</v>
      </c>
      <c r="M1919" s="470">
        <f t="shared" ref="M1919:M1925" si="509">G1919+I1919+K1919</f>
        <v>243</v>
      </c>
      <c r="N1919" s="470">
        <f t="shared" ref="N1919:N1925" si="510">H1919+J1919+L1919</f>
        <v>102</v>
      </c>
      <c r="O1919" s="460">
        <f>중기사용료!$A$1560</f>
        <v>83</v>
      </c>
      <c r="P1919" s="767"/>
    </row>
    <row r="1920" spans="1:17" ht="15.2" customHeight="1">
      <c r="B1920" s="766" t="s">
        <v>910</v>
      </c>
      <c r="C1920" s="766"/>
      <c r="D1920" s="84" t="s">
        <v>3786</v>
      </c>
      <c r="E1920" s="95">
        <v>3.3300000000000001E-3</v>
      </c>
      <c r="F1920" s="86" t="s">
        <v>969</v>
      </c>
      <c r="G1920" s="470">
        <f>사급자재!$M$98</f>
        <v>360000</v>
      </c>
      <c r="H1920" s="470">
        <f t="shared" si="506"/>
        <v>1198</v>
      </c>
      <c r="I1920" s="470">
        <f>중기사용료!$M$1569</f>
        <v>0</v>
      </c>
      <c r="J1920" s="470">
        <f t="shared" si="507"/>
        <v>0</v>
      </c>
      <c r="K1920" s="470"/>
      <c r="L1920" s="470">
        <f t="shared" si="508"/>
        <v>0</v>
      </c>
      <c r="M1920" s="470">
        <f t="shared" si="509"/>
        <v>360000</v>
      </c>
      <c r="N1920" s="470">
        <f t="shared" si="510"/>
        <v>1198</v>
      </c>
      <c r="O1920" s="464"/>
      <c r="P1920" s="767"/>
    </row>
    <row r="1921" spans="1:17" ht="15.2" customHeight="1">
      <c r="B1921" s="766" t="s">
        <v>3219</v>
      </c>
      <c r="C1921" s="766"/>
      <c r="D1921" s="84" t="s">
        <v>3218</v>
      </c>
      <c r="E1921" s="87">
        <v>0.05</v>
      </c>
      <c r="F1921" s="86" t="s">
        <v>933</v>
      </c>
      <c r="G1921" s="470">
        <f>SUM(J1922:J1924)</f>
        <v>19938</v>
      </c>
      <c r="H1921" s="470">
        <f t="shared" si="506"/>
        <v>996</v>
      </c>
      <c r="I1921" s="470"/>
      <c r="J1921" s="470">
        <f t="shared" si="507"/>
        <v>0</v>
      </c>
      <c r="K1921" s="470"/>
      <c r="L1921" s="470">
        <f t="shared" si="508"/>
        <v>0</v>
      </c>
      <c r="M1921" s="470">
        <f t="shared" si="509"/>
        <v>19938</v>
      </c>
      <c r="N1921" s="470">
        <f t="shared" si="510"/>
        <v>996</v>
      </c>
      <c r="O1921" s="457"/>
      <c r="P1921" s="767"/>
    </row>
    <row r="1922" spans="1:17" ht="15.2" customHeight="1">
      <c r="B1922" s="766" t="s">
        <v>3187</v>
      </c>
      <c r="C1922" s="766"/>
      <c r="D1922" s="84"/>
      <c r="E1922" s="88">
        <v>4.9000000000000002E-2</v>
      </c>
      <c r="F1922" s="86" t="s">
        <v>1163</v>
      </c>
      <c r="G1922" s="470"/>
      <c r="H1922" s="470">
        <f t="shared" si="506"/>
        <v>0</v>
      </c>
      <c r="I1922" s="470">
        <f>SUMIF('노임(2015)'!$B$4:$B$87,B1922,'노임(2015)'!$C$4:$C$87)+SUMIF('노임(2015)'!$E$4:$E$87,B1922,'노임(2015)'!$F$4:$F$87)</f>
        <v>90909</v>
      </c>
      <c r="J1922" s="470">
        <f t="shared" si="507"/>
        <v>4454</v>
      </c>
      <c r="K1922" s="470"/>
      <c r="L1922" s="470">
        <f t="shared" si="508"/>
        <v>0</v>
      </c>
      <c r="M1922" s="470">
        <f t="shared" si="509"/>
        <v>90909</v>
      </c>
      <c r="N1922" s="470">
        <f t="shared" si="510"/>
        <v>4454</v>
      </c>
      <c r="O1922" s="457"/>
      <c r="P1922" s="767"/>
    </row>
    <row r="1923" spans="1:17" ht="15.2" customHeight="1">
      <c r="B1923" s="766" t="s">
        <v>1165</v>
      </c>
      <c r="C1923" s="766"/>
      <c r="D1923" s="84"/>
      <c r="E1923" s="88">
        <v>5.6000000000000001E-2</v>
      </c>
      <c r="F1923" s="86" t="s">
        <v>1163</v>
      </c>
      <c r="G1923" s="470"/>
      <c r="H1923" s="470">
        <f t="shared" si="506"/>
        <v>0</v>
      </c>
      <c r="I1923" s="470">
        <f>SUMIF('노임(2015)'!$B$4:$B$87,B1923,'노임(2015)'!$C$4:$C$87)+SUMIF('노임(2015)'!$E$4:$E$87,B1923,'노임(2015)'!$F$4:$F$87)</f>
        <v>111771</v>
      </c>
      <c r="J1923" s="470">
        <f t="shared" si="507"/>
        <v>6259</v>
      </c>
      <c r="K1923" s="470"/>
      <c r="L1923" s="470">
        <f t="shared" si="508"/>
        <v>0</v>
      </c>
      <c r="M1923" s="470">
        <f t="shared" si="509"/>
        <v>111771</v>
      </c>
      <c r="N1923" s="470">
        <f t="shared" si="510"/>
        <v>6259</v>
      </c>
      <c r="O1923" s="457"/>
      <c r="P1923" s="767"/>
    </row>
    <row r="1924" spans="1:17" ht="15.2" customHeight="1">
      <c r="B1924" s="766" t="s">
        <v>1162</v>
      </c>
      <c r="C1924" s="766"/>
      <c r="D1924" s="84"/>
      <c r="E1924" s="88">
        <v>0.10299999999999999</v>
      </c>
      <c r="F1924" s="86" t="s">
        <v>1163</v>
      </c>
      <c r="G1924" s="470"/>
      <c r="H1924" s="470">
        <f t="shared" si="506"/>
        <v>0</v>
      </c>
      <c r="I1924" s="470">
        <f>SUMIF('노임(2015)'!$B$4:$B$87,B1924,'노임(2015)'!$C$4:$C$87)+SUMIF('노임(2015)'!$E$4:$E$87,B1924,'노임(2015)'!$F$4:$F$87)</f>
        <v>89566</v>
      </c>
      <c r="J1924" s="470">
        <f t="shared" si="507"/>
        <v>9225</v>
      </c>
      <c r="K1924" s="470"/>
      <c r="L1924" s="470">
        <f t="shared" si="508"/>
        <v>0</v>
      </c>
      <c r="M1924" s="470">
        <f t="shared" si="509"/>
        <v>89566</v>
      </c>
      <c r="N1924" s="470">
        <f t="shared" si="510"/>
        <v>9225</v>
      </c>
      <c r="O1924" s="457"/>
      <c r="P1924" s="767"/>
    </row>
    <row r="1925" spans="1:17" ht="15.2" customHeight="1">
      <c r="B1925" s="766" t="s">
        <v>141</v>
      </c>
      <c r="C1925" s="766"/>
      <c r="D1925" s="84" t="s">
        <v>1701</v>
      </c>
      <c r="E1925" s="87">
        <v>1</v>
      </c>
      <c r="F1925" s="86" t="s">
        <v>143</v>
      </c>
      <c r="G1925" s="470">
        <f>사급자재!$M$204</f>
        <v>121000</v>
      </c>
      <c r="H1925" s="470">
        <f t="shared" si="506"/>
        <v>121000</v>
      </c>
      <c r="I1925" s="470"/>
      <c r="J1925" s="470">
        <f t="shared" si="507"/>
        <v>0</v>
      </c>
      <c r="K1925" s="470"/>
      <c r="L1925" s="470">
        <f t="shared" si="508"/>
        <v>0</v>
      </c>
      <c r="M1925" s="470">
        <f t="shared" si="509"/>
        <v>121000</v>
      </c>
      <c r="N1925" s="470">
        <f t="shared" si="510"/>
        <v>121000</v>
      </c>
      <c r="O1925" s="457"/>
      <c r="P1925" s="767"/>
    </row>
    <row r="1926" spans="1:17" ht="15.2" customHeight="1">
      <c r="B1926" s="766" t="s">
        <v>3609</v>
      </c>
      <c r="C1926" s="766"/>
      <c r="D1926" s="84" t="s">
        <v>3611</v>
      </c>
      <c r="E1926" s="88">
        <v>7.5999999999999998E-2</v>
      </c>
      <c r="F1926" s="86" t="s">
        <v>1163</v>
      </c>
      <c r="G1926" s="470"/>
      <c r="H1926" s="470">
        <f t="shared" si="506"/>
        <v>0</v>
      </c>
      <c r="I1926" s="470">
        <f>SUMIF('노임(2015)'!$B$4:$B$87,B1926,'노임(2015)'!$C$4:$C$87)+SUMIF('노임(2015)'!$E$4:$E$87,B1926,'노임(2015)'!$F$4:$F$87)</f>
        <v>118066</v>
      </c>
      <c r="J1926" s="470">
        <f t="shared" si="507"/>
        <v>8973</v>
      </c>
      <c r="K1926" s="470"/>
      <c r="L1926" s="470">
        <f t="shared" si="508"/>
        <v>0</v>
      </c>
      <c r="M1926" s="470">
        <f>G1926+I1926+K1926</f>
        <v>118066</v>
      </c>
      <c r="N1926" s="470">
        <f>H1926+J1926+L1926</f>
        <v>8973</v>
      </c>
      <c r="O1926" s="457"/>
      <c r="P1926" s="767"/>
    </row>
    <row r="1927" spans="1:17" ht="15.2" customHeight="1">
      <c r="B1927" s="766" t="s">
        <v>855</v>
      </c>
      <c r="C1927" s="766"/>
      <c r="D1927" s="84"/>
      <c r="E1927" s="87"/>
      <c r="F1927" s="86"/>
      <c r="G1927" s="470"/>
      <c r="H1927" s="470">
        <f>SUM(H1919:H1926)</f>
        <v>123194</v>
      </c>
      <c r="I1927" s="470"/>
      <c r="J1927" s="470">
        <f>SUM(J1919:J1926)</f>
        <v>28911</v>
      </c>
      <c r="K1927" s="470"/>
      <c r="L1927" s="470">
        <f>SUM(L1919:L1926)</f>
        <v>102</v>
      </c>
      <c r="M1927" s="470"/>
      <c r="N1927" s="470">
        <f>SUM(N1919:N1926)</f>
        <v>152207</v>
      </c>
      <c r="O1927" s="457"/>
      <c r="P1927" s="767"/>
      <c r="Q1927" s="80" t="s">
        <v>1164</v>
      </c>
    </row>
    <row r="1928" spans="1:17" ht="15.2" customHeight="1">
      <c r="A1928" s="80" t="s">
        <v>3215</v>
      </c>
      <c r="B1928" s="96">
        <f>P1928</f>
        <v>339</v>
      </c>
      <c r="C1928" s="770" t="s">
        <v>3761</v>
      </c>
      <c r="D1928" s="770"/>
      <c r="E1928" s="770"/>
      <c r="F1928" s="771"/>
      <c r="G1928" s="470"/>
      <c r="H1928" s="470"/>
      <c r="I1928" s="470"/>
      <c r="J1928" s="470"/>
      <c r="K1928" s="470"/>
      <c r="L1928" s="470"/>
      <c r="M1928" s="470"/>
      <c r="N1928" s="470"/>
      <c r="O1928" s="457"/>
      <c r="P1928" s="767">
        <f>MAX($P$5:P1927)+1</f>
        <v>339</v>
      </c>
      <c r="Q1928" s="80" t="s">
        <v>3243</v>
      </c>
    </row>
    <row r="1929" spans="1:17" ht="15.2" customHeight="1">
      <c r="B1929" s="766" t="s">
        <v>88</v>
      </c>
      <c r="C1929" s="766"/>
      <c r="D1929" s="84" t="s">
        <v>1301</v>
      </c>
      <c r="E1929" s="88">
        <v>0.48699999999999999</v>
      </c>
      <c r="F1929" s="86" t="s">
        <v>453</v>
      </c>
      <c r="G1929" s="470">
        <f>중기사용료!$M$1575</f>
        <v>0</v>
      </c>
      <c r="H1929" s="470">
        <f t="shared" ref="H1929:H1936" si="511">TRUNC(E1929*G1929,0)</f>
        <v>0</v>
      </c>
      <c r="I1929" s="470">
        <f>중기사용료!$M$1569</f>
        <v>0</v>
      </c>
      <c r="J1929" s="470">
        <f t="shared" ref="J1929:J1936" si="512">TRUNC(I1929*E1929,0)</f>
        <v>0</v>
      </c>
      <c r="K1929" s="470">
        <f>중기사용료!$M$1563</f>
        <v>243</v>
      </c>
      <c r="L1929" s="470">
        <f t="shared" ref="L1929:L1936" si="513">TRUNC(K1929*E1929,0)</f>
        <v>118</v>
      </c>
      <c r="M1929" s="470">
        <f t="shared" ref="M1929:M1935" si="514">G1929+I1929+K1929</f>
        <v>243</v>
      </c>
      <c r="N1929" s="470">
        <f t="shared" ref="N1929:N1935" si="515">H1929+J1929+L1929</f>
        <v>118</v>
      </c>
      <c r="O1929" s="460">
        <f>중기사용료!$A$1560</f>
        <v>83</v>
      </c>
      <c r="P1929" s="767"/>
    </row>
    <row r="1930" spans="1:17" ht="15.2" customHeight="1">
      <c r="B1930" s="766" t="s">
        <v>910</v>
      </c>
      <c r="C1930" s="766"/>
      <c r="D1930" s="84" t="s">
        <v>3786</v>
      </c>
      <c r="E1930" s="95">
        <v>3.3300000000000001E-3</v>
      </c>
      <c r="F1930" s="86" t="s">
        <v>969</v>
      </c>
      <c r="G1930" s="470">
        <f>사급자재!$M$98</f>
        <v>360000</v>
      </c>
      <c r="H1930" s="470">
        <f t="shared" si="511"/>
        <v>1198</v>
      </c>
      <c r="I1930" s="470">
        <f>중기사용료!$M$1569</f>
        <v>0</v>
      </c>
      <c r="J1930" s="470">
        <f t="shared" si="512"/>
        <v>0</v>
      </c>
      <c r="K1930" s="470"/>
      <c r="L1930" s="470">
        <f t="shared" si="513"/>
        <v>0</v>
      </c>
      <c r="M1930" s="470">
        <f t="shared" si="514"/>
        <v>360000</v>
      </c>
      <c r="N1930" s="470">
        <f t="shared" si="515"/>
        <v>1198</v>
      </c>
      <c r="O1930" s="464"/>
      <c r="P1930" s="767"/>
    </row>
    <row r="1931" spans="1:17" ht="15.2" customHeight="1">
      <c r="B1931" s="766" t="s">
        <v>3219</v>
      </c>
      <c r="C1931" s="766"/>
      <c r="D1931" s="84" t="s">
        <v>3218</v>
      </c>
      <c r="E1931" s="87">
        <v>0.05</v>
      </c>
      <c r="F1931" s="86" t="s">
        <v>933</v>
      </c>
      <c r="G1931" s="470">
        <f>SUM(J1932:J1934)</f>
        <v>20813</v>
      </c>
      <c r="H1931" s="470">
        <f t="shared" si="511"/>
        <v>1040</v>
      </c>
      <c r="I1931" s="470"/>
      <c r="J1931" s="470">
        <f t="shared" si="512"/>
        <v>0</v>
      </c>
      <c r="K1931" s="470"/>
      <c r="L1931" s="470">
        <f t="shared" si="513"/>
        <v>0</v>
      </c>
      <c r="M1931" s="470">
        <f t="shared" si="514"/>
        <v>20813</v>
      </c>
      <c r="N1931" s="470">
        <f t="shared" si="515"/>
        <v>1040</v>
      </c>
      <c r="O1931" s="457"/>
      <c r="P1931" s="767"/>
    </row>
    <row r="1932" spans="1:17" ht="15.2" customHeight="1">
      <c r="B1932" s="766" t="s">
        <v>3187</v>
      </c>
      <c r="C1932" s="766"/>
      <c r="D1932" s="84"/>
      <c r="E1932" s="88">
        <v>5.0999999999999997E-2</v>
      </c>
      <c r="F1932" s="86" t="s">
        <v>1163</v>
      </c>
      <c r="G1932" s="470"/>
      <c r="H1932" s="470">
        <f t="shared" si="511"/>
        <v>0</v>
      </c>
      <c r="I1932" s="470">
        <f>SUMIF('노임(2015)'!$B$4:$B$87,B1932,'노임(2015)'!$C$4:$C$87)+SUMIF('노임(2015)'!$E$4:$E$87,B1932,'노임(2015)'!$F$4:$F$87)</f>
        <v>90909</v>
      </c>
      <c r="J1932" s="470">
        <f t="shared" si="512"/>
        <v>4636</v>
      </c>
      <c r="K1932" s="470"/>
      <c r="L1932" s="470">
        <f t="shared" si="513"/>
        <v>0</v>
      </c>
      <c r="M1932" s="470">
        <f t="shared" si="514"/>
        <v>90909</v>
      </c>
      <c r="N1932" s="470">
        <f t="shared" si="515"/>
        <v>4636</v>
      </c>
      <c r="O1932" s="457"/>
      <c r="P1932" s="767"/>
    </row>
    <row r="1933" spans="1:17" ht="15.2" customHeight="1">
      <c r="B1933" s="766" t="s">
        <v>1165</v>
      </c>
      <c r="C1933" s="766"/>
      <c r="D1933" s="84"/>
      <c r="E1933" s="88">
        <v>5.8999999999999997E-2</v>
      </c>
      <c r="F1933" s="86" t="s">
        <v>1163</v>
      </c>
      <c r="G1933" s="470"/>
      <c r="H1933" s="470">
        <f t="shared" si="511"/>
        <v>0</v>
      </c>
      <c r="I1933" s="470">
        <f>SUMIF('노임(2015)'!$B$4:$B$87,B1933,'노임(2015)'!$C$4:$C$87)+SUMIF('노임(2015)'!$E$4:$E$87,B1933,'노임(2015)'!$F$4:$F$87)</f>
        <v>111771</v>
      </c>
      <c r="J1933" s="470">
        <f t="shared" si="512"/>
        <v>6594</v>
      </c>
      <c r="K1933" s="470"/>
      <c r="L1933" s="470">
        <f t="shared" si="513"/>
        <v>0</v>
      </c>
      <c r="M1933" s="470">
        <f t="shared" si="514"/>
        <v>111771</v>
      </c>
      <c r="N1933" s="470">
        <f t="shared" si="515"/>
        <v>6594</v>
      </c>
      <c r="O1933" s="457"/>
      <c r="P1933" s="767"/>
    </row>
    <row r="1934" spans="1:17" ht="15.2" customHeight="1">
      <c r="B1934" s="766" t="s">
        <v>1162</v>
      </c>
      <c r="C1934" s="766"/>
      <c r="D1934" s="84"/>
      <c r="E1934" s="88">
        <v>0.107</v>
      </c>
      <c r="F1934" s="86" t="s">
        <v>1163</v>
      </c>
      <c r="G1934" s="470"/>
      <c r="H1934" s="470">
        <f t="shared" si="511"/>
        <v>0</v>
      </c>
      <c r="I1934" s="470">
        <f>SUMIF('노임(2015)'!$B$4:$B$87,B1934,'노임(2015)'!$C$4:$C$87)+SUMIF('노임(2015)'!$E$4:$E$87,B1934,'노임(2015)'!$F$4:$F$87)</f>
        <v>89566</v>
      </c>
      <c r="J1934" s="470">
        <f t="shared" si="512"/>
        <v>9583</v>
      </c>
      <c r="K1934" s="470"/>
      <c r="L1934" s="470">
        <f t="shared" si="513"/>
        <v>0</v>
      </c>
      <c r="M1934" s="470">
        <f t="shared" si="514"/>
        <v>89566</v>
      </c>
      <c r="N1934" s="470">
        <f t="shared" si="515"/>
        <v>9583</v>
      </c>
      <c r="O1934" s="457"/>
      <c r="P1934" s="767"/>
    </row>
    <row r="1935" spans="1:17" ht="15.2" customHeight="1">
      <c r="B1935" s="766" t="s">
        <v>141</v>
      </c>
      <c r="C1935" s="766"/>
      <c r="D1935" s="84" t="s">
        <v>3766</v>
      </c>
      <c r="E1935" s="87">
        <v>1</v>
      </c>
      <c r="F1935" s="86" t="s">
        <v>143</v>
      </c>
      <c r="G1935" s="470">
        <f>사급자재!$M$204</f>
        <v>121000</v>
      </c>
      <c r="H1935" s="470">
        <f t="shared" si="511"/>
        <v>121000</v>
      </c>
      <c r="I1935" s="470"/>
      <c r="J1935" s="470">
        <f t="shared" si="512"/>
        <v>0</v>
      </c>
      <c r="K1935" s="470"/>
      <c r="L1935" s="470">
        <f t="shared" si="513"/>
        <v>0</v>
      </c>
      <c r="M1935" s="470">
        <f t="shared" si="514"/>
        <v>121000</v>
      </c>
      <c r="N1935" s="470">
        <f t="shared" si="515"/>
        <v>121000</v>
      </c>
      <c r="O1935" s="457"/>
      <c r="P1935" s="767"/>
    </row>
    <row r="1936" spans="1:17" ht="15.2" customHeight="1">
      <c r="B1936" s="766" t="s">
        <v>3609</v>
      </c>
      <c r="C1936" s="766"/>
      <c r="D1936" s="84" t="s">
        <v>3611</v>
      </c>
      <c r="E1936" s="88">
        <v>7.5999999999999998E-2</v>
      </c>
      <c r="F1936" s="86" t="s">
        <v>1163</v>
      </c>
      <c r="G1936" s="470"/>
      <c r="H1936" s="470">
        <f t="shared" si="511"/>
        <v>0</v>
      </c>
      <c r="I1936" s="470">
        <f>SUMIF('노임(2015)'!$B$4:$B$87,B1936,'노임(2015)'!$C$4:$C$87)+SUMIF('노임(2015)'!$E$4:$E$87,B1936,'노임(2015)'!$F$4:$F$87)</f>
        <v>118066</v>
      </c>
      <c r="J1936" s="470">
        <f t="shared" si="512"/>
        <v>8973</v>
      </c>
      <c r="K1936" s="470"/>
      <c r="L1936" s="470">
        <f t="shared" si="513"/>
        <v>0</v>
      </c>
      <c r="M1936" s="470">
        <f>G1936+I1936+K1936</f>
        <v>118066</v>
      </c>
      <c r="N1936" s="470">
        <f>H1936+J1936+L1936</f>
        <v>8973</v>
      </c>
      <c r="O1936" s="457"/>
      <c r="P1936" s="767"/>
    </row>
    <row r="1937" spans="1:17" ht="15.2" customHeight="1">
      <c r="B1937" s="766" t="s">
        <v>855</v>
      </c>
      <c r="C1937" s="766"/>
      <c r="D1937" s="84"/>
      <c r="E1937" s="87"/>
      <c r="F1937" s="86"/>
      <c r="G1937" s="470"/>
      <c r="H1937" s="470">
        <f>SUM(H1929:H1936)</f>
        <v>123238</v>
      </c>
      <c r="I1937" s="470"/>
      <c r="J1937" s="470">
        <f>SUM(J1929:J1936)</f>
        <v>29786</v>
      </c>
      <c r="K1937" s="470"/>
      <c r="L1937" s="470">
        <f>SUM(L1929:L1936)</f>
        <v>118</v>
      </c>
      <c r="M1937" s="470"/>
      <c r="N1937" s="470">
        <f>SUM(N1929:N1936)</f>
        <v>153142</v>
      </c>
      <c r="O1937" s="457"/>
      <c r="P1937" s="767"/>
      <c r="Q1937" s="80" t="s">
        <v>1164</v>
      </c>
    </row>
    <row r="1938" spans="1:17" ht="15.2" customHeight="1">
      <c r="A1938" s="80" t="s">
        <v>3215</v>
      </c>
      <c r="B1938" s="96">
        <f>P1938</f>
        <v>340</v>
      </c>
      <c r="C1938" s="770" t="s">
        <v>3762</v>
      </c>
      <c r="D1938" s="770"/>
      <c r="E1938" s="770"/>
      <c r="F1938" s="771"/>
      <c r="G1938" s="470"/>
      <c r="H1938" s="470"/>
      <c r="I1938" s="470"/>
      <c r="J1938" s="470"/>
      <c r="K1938" s="470"/>
      <c r="L1938" s="470"/>
      <c r="M1938" s="470"/>
      <c r="N1938" s="470"/>
      <c r="O1938" s="457"/>
      <c r="P1938" s="767">
        <f>MAX($P$5:P1937)+1</f>
        <v>340</v>
      </c>
      <c r="Q1938" s="80" t="s">
        <v>3243</v>
      </c>
    </row>
    <row r="1939" spans="1:17" ht="15.2" customHeight="1">
      <c r="B1939" s="766" t="s">
        <v>88</v>
      </c>
      <c r="C1939" s="766"/>
      <c r="D1939" s="84" t="s">
        <v>1301</v>
      </c>
      <c r="E1939" s="88">
        <v>0.55400000000000005</v>
      </c>
      <c r="F1939" s="86" t="s">
        <v>453</v>
      </c>
      <c r="G1939" s="470">
        <f>중기사용료!$M$1575</f>
        <v>0</v>
      </c>
      <c r="H1939" s="470">
        <f t="shared" ref="H1939:H1946" si="516">TRUNC(E1939*G1939,0)</f>
        <v>0</v>
      </c>
      <c r="I1939" s="470">
        <f>중기사용료!$M$1569</f>
        <v>0</v>
      </c>
      <c r="J1939" s="470">
        <f t="shared" ref="J1939:J1946" si="517">TRUNC(I1939*E1939,0)</f>
        <v>0</v>
      </c>
      <c r="K1939" s="470">
        <f>중기사용료!$M$1563</f>
        <v>243</v>
      </c>
      <c r="L1939" s="470">
        <f t="shared" ref="L1939:L1946" si="518">TRUNC(K1939*E1939,0)</f>
        <v>134</v>
      </c>
      <c r="M1939" s="470">
        <f t="shared" ref="M1939:M1945" si="519">G1939+I1939+K1939</f>
        <v>243</v>
      </c>
      <c r="N1939" s="470">
        <f t="shared" ref="N1939:N1945" si="520">H1939+J1939+L1939</f>
        <v>134</v>
      </c>
      <c r="O1939" s="460">
        <f>중기사용료!$A$1560</f>
        <v>83</v>
      </c>
      <c r="P1939" s="767"/>
    </row>
    <row r="1940" spans="1:17" ht="15.2" customHeight="1">
      <c r="B1940" s="766" t="s">
        <v>910</v>
      </c>
      <c r="C1940" s="766"/>
      <c r="D1940" s="84" t="s">
        <v>3786</v>
      </c>
      <c r="E1940" s="95">
        <v>3.3300000000000001E-3</v>
      </c>
      <c r="F1940" s="86" t="s">
        <v>969</v>
      </c>
      <c r="G1940" s="470">
        <f>사급자재!$M$98</f>
        <v>360000</v>
      </c>
      <c r="H1940" s="470">
        <f t="shared" si="516"/>
        <v>1198</v>
      </c>
      <c r="I1940" s="470">
        <f>중기사용료!$M$1569</f>
        <v>0</v>
      </c>
      <c r="J1940" s="470">
        <f t="shared" si="517"/>
        <v>0</v>
      </c>
      <c r="K1940" s="470"/>
      <c r="L1940" s="470">
        <f t="shared" si="518"/>
        <v>0</v>
      </c>
      <c r="M1940" s="470">
        <f t="shared" si="519"/>
        <v>360000</v>
      </c>
      <c r="N1940" s="470">
        <f t="shared" si="520"/>
        <v>1198</v>
      </c>
      <c r="O1940" s="464"/>
      <c r="P1940" s="767"/>
    </row>
    <row r="1941" spans="1:17" ht="15.2" customHeight="1">
      <c r="B1941" s="766" t="s">
        <v>3219</v>
      </c>
      <c r="C1941" s="766"/>
      <c r="D1941" s="84" t="s">
        <v>3218</v>
      </c>
      <c r="E1941" s="87">
        <v>0.05</v>
      </c>
      <c r="F1941" s="86" t="s">
        <v>933</v>
      </c>
      <c r="G1941" s="470">
        <f>SUM(J1942:J1944)</f>
        <v>21577</v>
      </c>
      <c r="H1941" s="470">
        <f t="shared" si="516"/>
        <v>1078</v>
      </c>
      <c r="I1941" s="470"/>
      <c r="J1941" s="470">
        <f t="shared" si="517"/>
        <v>0</v>
      </c>
      <c r="K1941" s="470"/>
      <c r="L1941" s="470">
        <f t="shared" si="518"/>
        <v>0</v>
      </c>
      <c r="M1941" s="470">
        <f t="shared" si="519"/>
        <v>21577</v>
      </c>
      <c r="N1941" s="470">
        <f t="shared" si="520"/>
        <v>1078</v>
      </c>
      <c r="O1941" s="457"/>
      <c r="P1941" s="767"/>
    </row>
    <row r="1942" spans="1:17" ht="15.2" customHeight="1">
      <c r="B1942" s="766" t="s">
        <v>3187</v>
      </c>
      <c r="C1942" s="766"/>
      <c r="D1942" s="84"/>
      <c r="E1942" s="88">
        <v>5.2999999999999999E-2</v>
      </c>
      <c r="F1942" s="86" t="s">
        <v>1163</v>
      </c>
      <c r="G1942" s="470"/>
      <c r="H1942" s="470">
        <f t="shared" si="516"/>
        <v>0</v>
      </c>
      <c r="I1942" s="470">
        <f>SUMIF('노임(2015)'!$B$4:$B$87,B1942,'노임(2015)'!$C$4:$C$87)+SUMIF('노임(2015)'!$E$4:$E$87,B1942,'노임(2015)'!$F$4:$F$87)</f>
        <v>90909</v>
      </c>
      <c r="J1942" s="470">
        <f t="shared" si="517"/>
        <v>4818</v>
      </c>
      <c r="K1942" s="470"/>
      <c r="L1942" s="470">
        <f t="shared" si="518"/>
        <v>0</v>
      </c>
      <c r="M1942" s="470">
        <f t="shared" si="519"/>
        <v>90909</v>
      </c>
      <c r="N1942" s="470">
        <f t="shared" si="520"/>
        <v>4818</v>
      </c>
      <c r="O1942" s="457"/>
      <c r="P1942" s="767"/>
    </row>
    <row r="1943" spans="1:17" ht="15.2" customHeight="1">
      <c r="B1943" s="766" t="s">
        <v>1165</v>
      </c>
      <c r="C1943" s="766"/>
      <c r="D1943" s="84"/>
      <c r="E1943" s="88">
        <v>6.0999999999999999E-2</v>
      </c>
      <c r="F1943" s="86" t="s">
        <v>1163</v>
      </c>
      <c r="G1943" s="470"/>
      <c r="H1943" s="470">
        <f t="shared" si="516"/>
        <v>0</v>
      </c>
      <c r="I1943" s="470">
        <f>SUMIF('노임(2015)'!$B$4:$B$87,B1943,'노임(2015)'!$C$4:$C$87)+SUMIF('노임(2015)'!$E$4:$E$87,B1943,'노임(2015)'!$F$4:$F$87)</f>
        <v>111771</v>
      </c>
      <c r="J1943" s="470">
        <f t="shared" si="517"/>
        <v>6818</v>
      </c>
      <c r="K1943" s="470"/>
      <c r="L1943" s="470">
        <f t="shared" si="518"/>
        <v>0</v>
      </c>
      <c r="M1943" s="470">
        <f t="shared" si="519"/>
        <v>111771</v>
      </c>
      <c r="N1943" s="470">
        <f t="shared" si="520"/>
        <v>6818</v>
      </c>
      <c r="O1943" s="457"/>
      <c r="P1943" s="767"/>
    </row>
    <row r="1944" spans="1:17" ht="15.2" customHeight="1">
      <c r="B1944" s="766" t="s">
        <v>1162</v>
      </c>
      <c r="C1944" s="766"/>
      <c r="D1944" s="84"/>
      <c r="E1944" s="88">
        <v>0.111</v>
      </c>
      <c r="F1944" s="86" t="s">
        <v>1163</v>
      </c>
      <c r="G1944" s="470"/>
      <c r="H1944" s="470">
        <f t="shared" si="516"/>
        <v>0</v>
      </c>
      <c r="I1944" s="470">
        <f>SUMIF('노임(2015)'!$B$4:$B$87,B1944,'노임(2015)'!$C$4:$C$87)+SUMIF('노임(2015)'!$E$4:$E$87,B1944,'노임(2015)'!$F$4:$F$87)</f>
        <v>89566</v>
      </c>
      <c r="J1944" s="470">
        <f t="shared" si="517"/>
        <v>9941</v>
      </c>
      <c r="K1944" s="470"/>
      <c r="L1944" s="470">
        <f t="shared" si="518"/>
        <v>0</v>
      </c>
      <c r="M1944" s="470">
        <f t="shared" si="519"/>
        <v>89566</v>
      </c>
      <c r="N1944" s="470">
        <f t="shared" si="520"/>
        <v>9941</v>
      </c>
      <c r="O1944" s="457"/>
      <c r="P1944" s="767"/>
    </row>
    <row r="1945" spans="1:17" ht="15.2" customHeight="1">
      <c r="B1945" s="766" t="s">
        <v>141</v>
      </c>
      <c r="C1945" s="766"/>
      <c r="D1945" s="84" t="s">
        <v>3766</v>
      </c>
      <c r="E1945" s="87">
        <v>1</v>
      </c>
      <c r="F1945" s="86" t="s">
        <v>143</v>
      </c>
      <c r="G1945" s="470">
        <f>사급자재!$M$204</f>
        <v>121000</v>
      </c>
      <c r="H1945" s="470">
        <f t="shared" si="516"/>
        <v>121000</v>
      </c>
      <c r="I1945" s="470"/>
      <c r="J1945" s="470">
        <f t="shared" si="517"/>
        <v>0</v>
      </c>
      <c r="K1945" s="470"/>
      <c r="L1945" s="470">
        <f t="shared" si="518"/>
        <v>0</v>
      </c>
      <c r="M1945" s="470">
        <f t="shared" si="519"/>
        <v>121000</v>
      </c>
      <c r="N1945" s="470">
        <f t="shared" si="520"/>
        <v>121000</v>
      </c>
      <c r="O1945" s="457"/>
      <c r="P1945" s="767"/>
    </row>
    <row r="1946" spans="1:17" ht="15.2" customHeight="1">
      <c r="B1946" s="766" t="s">
        <v>3609</v>
      </c>
      <c r="C1946" s="766"/>
      <c r="D1946" s="84" t="s">
        <v>3611</v>
      </c>
      <c r="E1946" s="88">
        <v>7.5999999999999998E-2</v>
      </c>
      <c r="F1946" s="86" t="s">
        <v>1163</v>
      </c>
      <c r="G1946" s="470"/>
      <c r="H1946" s="470">
        <f t="shared" si="516"/>
        <v>0</v>
      </c>
      <c r="I1946" s="470">
        <f>SUMIF('노임(2015)'!$B$4:$B$87,B1946,'노임(2015)'!$C$4:$C$87)+SUMIF('노임(2015)'!$E$4:$E$87,B1946,'노임(2015)'!$F$4:$F$87)</f>
        <v>118066</v>
      </c>
      <c r="J1946" s="470">
        <f t="shared" si="517"/>
        <v>8973</v>
      </c>
      <c r="K1946" s="470"/>
      <c r="L1946" s="470">
        <f t="shared" si="518"/>
        <v>0</v>
      </c>
      <c r="M1946" s="470">
        <f>G1946+I1946+K1946</f>
        <v>118066</v>
      </c>
      <c r="N1946" s="470">
        <f>H1946+J1946+L1946</f>
        <v>8973</v>
      </c>
      <c r="O1946" s="457"/>
      <c r="P1946" s="767"/>
    </row>
    <row r="1947" spans="1:17" ht="15.2" customHeight="1">
      <c r="B1947" s="766" t="s">
        <v>855</v>
      </c>
      <c r="C1947" s="766"/>
      <c r="D1947" s="84"/>
      <c r="E1947" s="87"/>
      <c r="F1947" s="86"/>
      <c r="G1947" s="470"/>
      <c r="H1947" s="470">
        <f>SUM(H1939:H1946)</f>
        <v>123276</v>
      </c>
      <c r="I1947" s="470"/>
      <c r="J1947" s="470">
        <f>SUM(J1939:J1946)</f>
        <v>30550</v>
      </c>
      <c r="K1947" s="470"/>
      <c r="L1947" s="470">
        <f>SUM(L1939:L1946)</f>
        <v>134</v>
      </c>
      <c r="M1947" s="470"/>
      <c r="N1947" s="470">
        <f>SUM(N1939:N1946)</f>
        <v>153960</v>
      </c>
      <c r="O1947" s="457"/>
      <c r="P1947" s="767"/>
      <c r="Q1947" s="80" t="s">
        <v>1164</v>
      </c>
    </row>
    <row r="1948" spans="1:17" ht="15.2" customHeight="1">
      <c r="A1948" s="80" t="s">
        <v>3215</v>
      </c>
      <c r="B1948" s="96">
        <f>P1948</f>
        <v>341</v>
      </c>
      <c r="C1948" s="770" t="s">
        <v>3763</v>
      </c>
      <c r="D1948" s="770"/>
      <c r="E1948" s="770"/>
      <c r="F1948" s="771"/>
      <c r="G1948" s="470"/>
      <c r="H1948" s="470"/>
      <c r="I1948" s="470"/>
      <c r="J1948" s="470"/>
      <c r="K1948" s="470"/>
      <c r="L1948" s="470"/>
      <c r="M1948" s="470"/>
      <c r="N1948" s="470"/>
      <c r="O1948" s="457"/>
      <c r="P1948" s="767">
        <f>MAX($P$5:P1947)+1</f>
        <v>341</v>
      </c>
      <c r="Q1948" s="80" t="s">
        <v>3243</v>
      </c>
    </row>
    <row r="1949" spans="1:17" ht="15.2" customHeight="1">
      <c r="B1949" s="766" t="s">
        <v>88</v>
      </c>
      <c r="C1949" s="766"/>
      <c r="D1949" s="84" t="s">
        <v>1301</v>
      </c>
      <c r="E1949" s="88">
        <v>0.61099999999999999</v>
      </c>
      <c r="F1949" s="86" t="s">
        <v>453</v>
      </c>
      <c r="G1949" s="470">
        <f>중기사용료!$M$1575</f>
        <v>0</v>
      </c>
      <c r="H1949" s="470">
        <f t="shared" ref="H1949:H1956" si="521">TRUNC(E1949*G1949,0)</f>
        <v>0</v>
      </c>
      <c r="I1949" s="470">
        <f>중기사용료!$M$1569</f>
        <v>0</v>
      </c>
      <c r="J1949" s="470">
        <f t="shared" ref="J1949:J1956" si="522">TRUNC(I1949*E1949,0)</f>
        <v>0</v>
      </c>
      <c r="K1949" s="470">
        <f>중기사용료!$M$1563</f>
        <v>243</v>
      </c>
      <c r="L1949" s="470">
        <f t="shared" ref="L1949:L1956" si="523">TRUNC(K1949*E1949,0)</f>
        <v>148</v>
      </c>
      <c r="M1949" s="470">
        <f t="shared" ref="M1949:M1955" si="524">G1949+I1949+K1949</f>
        <v>243</v>
      </c>
      <c r="N1949" s="470">
        <f t="shared" ref="N1949:N1955" si="525">H1949+J1949+L1949</f>
        <v>148</v>
      </c>
      <c r="O1949" s="460">
        <f>중기사용료!$A$1560</f>
        <v>83</v>
      </c>
      <c r="P1949" s="767"/>
    </row>
    <row r="1950" spans="1:17" ht="15.2" customHeight="1">
      <c r="B1950" s="766" t="s">
        <v>910</v>
      </c>
      <c r="C1950" s="766"/>
      <c r="D1950" s="84" t="s">
        <v>3786</v>
      </c>
      <c r="E1950" s="95">
        <v>3.3300000000000001E-3</v>
      </c>
      <c r="F1950" s="86" t="s">
        <v>969</v>
      </c>
      <c r="G1950" s="470">
        <f>사급자재!$M$98</f>
        <v>360000</v>
      </c>
      <c r="H1950" s="470">
        <f t="shared" si="521"/>
        <v>1198</v>
      </c>
      <c r="I1950" s="470">
        <f>중기사용료!$M$1569</f>
        <v>0</v>
      </c>
      <c r="J1950" s="470">
        <f t="shared" si="522"/>
        <v>0</v>
      </c>
      <c r="K1950" s="470"/>
      <c r="L1950" s="470">
        <f t="shared" si="523"/>
        <v>0</v>
      </c>
      <c r="M1950" s="470">
        <f t="shared" si="524"/>
        <v>360000</v>
      </c>
      <c r="N1950" s="470">
        <f t="shared" si="525"/>
        <v>1198</v>
      </c>
      <c r="O1950" s="464"/>
      <c r="P1950" s="767"/>
    </row>
    <row r="1951" spans="1:17" ht="15.2" customHeight="1">
      <c r="B1951" s="766" t="s">
        <v>3219</v>
      </c>
      <c r="C1951" s="766"/>
      <c r="D1951" s="84" t="s">
        <v>3218</v>
      </c>
      <c r="E1951" s="87">
        <v>0.05</v>
      </c>
      <c r="F1951" s="86" t="s">
        <v>933</v>
      </c>
      <c r="G1951" s="470">
        <f>SUM(J1952:J1954)</f>
        <v>23327</v>
      </c>
      <c r="H1951" s="470">
        <f t="shared" si="521"/>
        <v>1166</v>
      </c>
      <c r="I1951" s="470"/>
      <c r="J1951" s="470">
        <f t="shared" si="522"/>
        <v>0</v>
      </c>
      <c r="K1951" s="470"/>
      <c r="L1951" s="470">
        <f t="shared" si="523"/>
        <v>0</v>
      </c>
      <c r="M1951" s="470">
        <f t="shared" si="524"/>
        <v>23327</v>
      </c>
      <c r="N1951" s="470">
        <f t="shared" si="525"/>
        <v>1166</v>
      </c>
      <c r="O1951" s="457"/>
      <c r="P1951" s="767"/>
    </row>
    <row r="1952" spans="1:17" ht="15.2" customHeight="1">
      <c r="B1952" s="766" t="s">
        <v>3187</v>
      </c>
      <c r="C1952" s="766"/>
      <c r="D1952" s="84"/>
      <c r="E1952" s="88">
        <v>5.7000000000000002E-2</v>
      </c>
      <c r="F1952" s="86" t="s">
        <v>1163</v>
      </c>
      <c r="G1952" s="470"/>
      <c r="H1952" s="470">
        <f t="shared" si="521"/>
        <v>0</v>
      </c>
      <c r="I1952" s="470">
        <f>SUMIF('노임(2015)'!$B$4:$B$87,B1952,'노임(2015)'!$C$4:$C$87)+SUMIF('노임(2015)'!$E$4:$E$87,B1952,'노임(2015)'!$F$4:$F$87)</f>
        <v>90909</v>
      </c>
      <c r="J1952" s="470">
        <f t="shared" si="522"/>
        <v>5181</v>
      </c>
      <c r="K1952" s="470"/>
      <c r="L1952" s="470">
        <f t="shared" si="523"/>
        <v>0</v>
      </c>
      <c r="M1952" s="470">
        <f t="shared" si="524"/>
        <v>90909</v>
      </c>
      <c r="N1952" s="470">
        <f t="shared" si="525"/>
        <v>5181</v>
      </c>
      <c r="O1952" s="457"/>
      <c r="P1952" s="767"/>
    </row>
    <row r="1953" spans="1:17" ht="15.2" customHeight="1">
      <c r="B1953" s="766" t="s">
        <v>1165</v>
      </c>
      <c r="C1953" s="766"/>
      <c r="D1953" s="84"/>
      <c r="E1953" s="88">
        <v>6.7000000000000004E-2</v>
      </c>
      <c r="F1953" s="86" t="s">
        <v>1163</v>
      </c>
      <c r="G1953" s="470"/>
      <c r="H1953" s="470">
        <f t="shared" si="521"/>
        <v>0</v>
      </c>
      <c r="I1953" s="470">
        <f>SUMIF('노임(2015)'!$B$4:$B$87,B1953,'노임(2015)'!$C$4:$C$87)+SUMIF('노임(2015)'!$E$4:$E$87,B1953,'노임(2015)'!$F$4:$F$87)</f>
        <v>111771</v>
      </c>
      <c r="J1953" s="470">
        <f t="shared" si="522"/>
        <v>7488</v>
      </c>
      <c r="K1953" s="470"/>
      <c r="L1953" s="470">
        <f t="shared" si="523"/>
        <v>0</v>
      </c>
      <c r="M1953" s="470">
        <f t="shared" si="524"/>
        <v>111771</v>
      </c>
      <c r="N1953" s="470">
        <f t="shared" si="525"/>
        <v>7488</v>
      </c>
      <c r="O1953" s="457"/>
      <c r="P1953" s="767"/>
    </row>
    <row r="1954" spans="1:17" ht="15.2" customHeight="1">
      <c r="B1954" s="766" t="s">
        <v>1162</v>
      </c>
      <c r="C1954" s="766"/>
      <c r="D1954" s="84"/>
      <c r="E1954" s="88">
        <v>0.11899999999999999</v>
      </c>
      <c r="F1954" s="86" t="s">
        <v>1163</v>
      </c>
      <c r="G1954" s="470"/>
      <c r="H1954" s="470">
        <f t="shared" si="521"/>
        <v>0</v>
      </c>
      <c r="I1954" s="470">
        <f>SUMIF('노임(2015)'!$B$4:$B$87,B1954,'노임(2015)'!$C$4:$C$87)+SUMIF('노임(2015)'!$E$4:$E$87,B1954,'노임(2015)'!$F$4:$F$87)</f>
        <v>89566</v>
      </c>
      <c r="J1954" s="470">
        <f t="shared" si="522"/>
        <v>10658</v>
      </c>
      <c r="K1954" s="470"/>
      <c r="L1954" s="470">
        <f t="shared" si="523"/>
        <v>0</v>
      </c>
      <c r="M1954" s="470">
        <f t="shared" si="524"/>
        <v>89566</v>
      </c>
      <c r="N1954" s="470">
        <f t="shared" si="525"/>
        <v>10658</v>
      </c>
      <c r="O1954" s="457"/>
      <c r="P1954" s="767"/>
    </row>
    <row r="1955" spans="1:17" ht="15.2" customHeight="1">
      <c r="B1955" s="766" t="s">
        <v>141</v>
      </c>
      <c r="C1955" s="766"/>
      <c r="D1955" s="84" t="s">
        <v>3766</v>
      </c>
      <c r="E1955" s="87">
        <v>1</v>
      </c>
      <c r="F1955" s="86" t="s">
        <v>143</v>
      </c>
      <c r="G1955" s="470">
        <f>사급자재!$M$204</f>
        <v>121000</v>
      </c>
      <c r="H1955" s="470">
        <f t="shared" si="521"/>
        <v>121000</v>
      </c>
      <c r="I1955" s="470"/>
      <c r="J1955" s="470">
        <f t="shared" si="522"/>
        <v>0</v>
      </c>
      <c r="K1955" s="470"/>
      <c r="L1955" s="470">
        <f t="shared" si="523"/>
        <v>0</v>
      </c>
      <c r="M1955" s="470">
        <f t="shared" si="524"/>
        <v>121000</v>
      </c>
      <c r="N1955" s="470">
        <f t="shared" si="525"/>
        <v>121000</v>
      </c>
      <c r="O1955" s="457"/>
      <c r="P1955" s="767"/>
    </row>
    <row r="1956" spans="1:17" ht="15.2" customHeight="1">
      <c r="B1956" s="766" t="s">
        <v>3609</v>
      </c>
      <c r="C1956" s="766"/>
      <c r="D1956" s="84" t="s">
        <v>3611</v>
      </c>
      <c r="E1956" s="88">
        <v>7.5999999999999998E-2</v>
      </c>
      <c r="F1956" s="86" t="s">
        <v>1163</v>
      </c>
      <c r="G1956" s="470"/>
      <c r="H1956" s="470">
        <f t="shared" si="521"/>
        <v>0</v>
      </c>
      <c r="I1956" s="470">
        <f>SUMIF('노임(2015)'!$B$4:$B$87,B1956,'노임(2015)'!$C$4:$C$87)+SUMIF('노임(2015)'!$E$4:$E$87,B1956,'노임(2015)'!$F$4:$F$87)</f>
        <v>118066</v>
      </c>
      <c r="J1956" s="470">
        <f t="shared" si="522"/>
        <v>8973</v>
      </c>
      <c r="K1956" s="470"/>
      <c r="L1956" s="470">
        <f t="shared" si="523"/>
        <v>0</v>
      </c>
      <c r="M1956" s="470">
        <f>G1956+I1956+K1956</f>
        <v>118066</v>
      </c>
      <c r="N1956" s="470">
        <f>H1956+J1956+L1956</f>
        <v>8973</v>
      </c>
      <c r="O1956" s="457"/>
      <c r="P1956" s="767"/>
    </row>
    <row r="1957" spans="1:17" ht="15.2" customHeight="1">
      <c r="B1957" s="766" t="s">
        <v>855</v>
      </c>
      <c r="C1957" s="766"/>
      <c r="D1957" s="84"/>
      <c r="E1957" s="87"/>
      <c r="F1957" s="86"/>
      <c r="G1957" s="470"/>
      <c r="H1957" s="470">
        <f>SUM(H1949:H1956)</f>
        <v>123364</v>
      </c>
      <c r="I1957" s="470"/>
      <c r="J1957" s="470">
        <f>SUM(J1949:J1956)</f>
        <v>32300</v>
      </c>
      <c r="K1957" s="470"/>
      <c r="L1957" s="470">
        <f>SUM(L1949:L1956)</f>
        <v>148</v>
      </c>
      <c r="M1957" s="470"/>
      <c r="N1957" s="470">
        <f>SUM(N1949:N1956)</f>
        <v>155812</v>
      </c>
      <c r="O1957" s="457"/>
      <c r="P1957" s="767"/>
      <c r="Q1957" s="80" t="s">
        <v>1164</v>
      </c>
    </row>
    <row r="1958" spans="1:17" ht="15.2" customHeight="1">
      <c r="A1958" s="80" t="s">
        <v>3215</v>
      </c>
      <c r="B1958" s="96">
        <f>P1958</f>
        <v>342</v>
      </c>
      <c r="C1958" s="770" t="s">
        <v>3764</v>
      </c>
      <c r="D1958" s="770"/>
      <c r="E1958" s="770"/>
      <c r="F1958" s="771"/>
      <c r="G1958" s="470"/>
      <c r="H1958" s="470"/>
      <c r="I1958" s="470"/>
      <c r="J1958" s="470"/>
      <c r="K1958" s="470"/>
      <c r="L1958" s="470"/>
      <c r="M1958" s="470"/>
      <c r="N1958" s="470"/>
      <c r="O1958" s="457"/>
      <c r="P1958" s="767">
        <f>MAX($P$5:P1957)+1</f>
        <v>342</v>
      </c>
      <c r="Q1958" s="80" t="s">
        <v>3243</v>
      </c>
    </row>
    <row r="1959" spans="1:17" ht="15.2" customHeight="1">
      <c r="B1959" s="766" t="s">
        <v>88</v>
      </c>
      <c r="C1959" s="766"/>
      <c r="D1959" s="84" t="s">
        <v>1301</v>
      </c>
      <c r="E1959" s="88">
        <v>0.71599999999999997</v>
      </c>
      <c r="F1959" s="86" t="s">
        <v>453</v>
      </c>
      <c r="G1959" s="470">
        <f>중기사용료!$M$1575</f>
        <v>0</v>
      </c>
      <c r="H1959" s="470">
        <f t="shared" ref="H1959:H1966" si="526">TRUNC(E1959*G1959,0)</f>
        <v>0</v>
      </c>
      <c r="I1959" s="470">
        <f>중기사용료!$M$1569</f>
        <v>0</v>
      </c>
      <c r="J1959" s="470">
        <f t="shared" ref="J1959:J1966" si="527">TRUNC(I1959*E1959,0)</f>
        <v>0</v>
      </c>
      <c r="K1959" s="470">
        <f>중기사용료!$M$1563</f>
        <v>243</v>
      </c>
      <c r="L1959" s="470">
        <f t="shared" ref="L1959:L1966" si="528">TRUNC(K1959*E1959,0)</f>
        <v>173</v>
      </c>
      <c r="M1959" s="470">
        <f t="shared" ref="M1959:M1965" si="529">G1959+I1959+K1959</f>
        <v>243</v>
      </c>
      <c r="N1959" s="470">
        <f t="shared" ref="N1959:N1965" si="530">H1959+J1959+L1959</f>
        <v>173</v>
      </c>
      <c r="O1959" s="460">
        <f>중기사용료!$A$1560</f>
        <v>83</v>
      </c>
      <c r="P1959" s="767"/>
    </row>
    <row r="1960" spans="1:17" ht="15.2" customHeight="1">
      <c r="B1960" s="766" t="s">
        <v>910</v>
      </c>
      <c r="C1960" s="766"/>
      <c r="D1960" s="84" t="s">
        <v>3786</v>
      </c>
      <c r="E1960" s="95">
        <v>3.3300000000000001E-3</v>
      </c>
      <c r="F1960" s="86" t="s">
        <v>969</v>
      </c>
      <c r="G1960" s="470">
        <f>사급자재!$M$98</f>
        <v>360000</v>
      </c>
      <c r="H1960" s="470">
        <f t="shared" si="526"/>
        <v>1198</v>
      </c>
      <c r="I1960" s="470">
        <f>중기사용료!$M$1569</f>
        <v>0</v>
      </c>
      <c r="J1960" s="470">
        <f t="shared" si="527"/>
        <v>0</v>
      </c>
      <c r="K1960" s="470"/>
      <c r="L1960" s="470">
        <f t="shared" si="528"/>
        <v>0</v>
      </c>
      <c r="M1960" s="470">
        <f t="shared" si="529"/>
        <v>360000</v>
      </c>
      <c r="N1960" s="470">
        <f t="shared" si="530"/>
        <v>1198</v>
      </c>
      <c r="O1960" s="464"/>
      <c r="P1960" s="767"/>
    </row>
    <row r="1961" spans="1:17" ht="15.2" customHeight="1">
      <c r="B1961" s="766" t="s">
        <v>3219</v>
      </c>
      <c r="C1961" s="766"/>
      <c r="D1961" s="84" t="s">
        <v>3218</v>
      </c>
      <c r="E1961" s="87">
        <v>0.05</v>
      </c>
      <c r="F1961" s="86" t="s">
        <v>933</v>
      </c>
      <c r="G1961" s="470">
        <f>SUM(J1962:J1964)</f>
        <v>24853</v>
      </c>
      <c r="H1961" s="470">
        <f t="shared" si="526"/>
        <v>1242</v>
      </c>
      <c r="I1961" s="470"/>
      <c r="J1961" s="470">
        <f t="shared" si="527"/>
        <v>0</v>
      </c>
      <c r="K1961" s="470"/>
      <c r="L1961" s="470">
        <f t="shared" si="528"/>
        <v>0</v>
      </c>
      <c r="M1961" s="470">
        <f t="shared" si="529"/>
        <v>24853</v>
      </c>
      <c r="N1961" s="470">
        <f t="shared" si="530"/>
        <v>1242</v>
      </c>
      <c r="O1961" s="457"/>
      <c r="P1961" s="767"/>
    </row>
    <row r="1962" spans="1:17" ht="15.2" customHeight="1">
      <c r="B1962" s="766" t="s">
        <v>3187</v>
      </c>
      <c r="C1962" s="766"/>
      <c r="D1962" s="84"/>
      <c r="E1962" s="88">
        <v>0.06</v>
      </c>
      <c r="F1962" s="86" t="s">
        <v>1163</v>
      </c>
      <c r="G1962" s="470"/>
      <c r="H1962" s="470">
        <f t="shared" si="526"/>
        <v>0</v>
      </c>
      <c r="I1962" s="470">
        <f>SUMIF('노임(2015)'!$B$4:$B$87,B1962,'노임(2015)'!$C$4:$C$87)+SUMIF('노임(2015)'!$E$4:$E$87,B1962,'노임(2015)'!$F$4:$F$87)</f>
        <v>90909</v>
      </c>
      <c r="J1962" s="470">
        <f t="shared" si="527"/>
        <v>5454</v>
      </c>
      <c r="K1962" s="470"/>
      <c r="L1962" s="470">
        <f t="shared" si="528"/>
        <v>0</v>
      </c>
      <c r="M1962" s="470">
        <f t="shared" si="529"/>
        <v>90909</v>
      </c>
      <c r="N1962" s="470">
        <f t="shared" si="530"/>
        <v>5454</v>
      </c>
      <c r="O1962" s="457"/>
      <c r="P1962" s="767"/>
    </row>
    <row r="1963" spans="1:17" ht="15.2" customHeight="1">
      <c r="B1963" s="766" t="s">
        <v>1165</v>
      </c>
      <c r="C1963" s="766"/>
      <c r="D1963" s="84"/>
      <c r="E1963" s="88">
        <v>7.0999999999999994E-2</v>
      </c>
      <c r="F1963" s="86" t="s">
        <v>1163</v>
      </c>
      <c r="G1963" s="470"/>
      <c r="H1963" s="470">
        <f t="shared" si="526"/>
        <v>0</v>
      </c>
      <c r="I1963" s="470">
        <f>SUMIF('노임(2015)'!$B$4:$B$87,B1963,'노임(2015)'!$C$4:$C$87)+SUMIF('노임(2015)'!$E$4:$E$87,B1963,'노임(2015)'!$F$4:$F$87)</f>
        <v>111771</v>
      </c>
      <c r="J1963" s="470">
        <f t="shared" si="527"/>
        <v>7935</v>
      </c>
      <c r="K1963" s="470"/>
      <c r="L1963" s="470">
        <f t="shared" si="528"/>
        <v>0</v>
      </c>
      <c r="M1963" s="470">
        <f t="shared" si="529"/>
        <v>111771</v>
      </c>
      <c r="N1963" s="470">
        <f t="shared" si="530"/>
        <v>7935</v>
      </c>
      <c r="O1963" s="457"/>
      <c r="P1963" s="767"/>
    </row>
    <row r="1964" spans="1:17" ht="15.2" customHeight="1">
      <c r="B1964" s="766" t="s">
        <v>1162</v>
      </c>
      <c r="C1964" s="766"/>
      <c r="D1964" s="84"/>
      <c r="E1964" s="88">
        <v>0.128</v>
      </c>
      <c r="F1964" s="86" t="s">
        <v>1163</v>
      </c>
      <c r="G1964" s="470"/>
      <c r="H1964" s="470">
        <f t="shared" si="526"/>
        <v>0</v>
      </c>
      <c r="I1964" s="470">
        <f>SUMIF('노임(2015)'!$B$4:$B$87,B1964,'노임(2015)'!$C$4:$C$87)+SUMIF('노임(2015)'!$E$4:$E$87,B1964,'노임(2015)'!$F$4:$F$87)</f>
        <v>89566</v>
      </c>
      <c r="J1964" s="470">
        <f t="shared" si="527"/>
        <v>11464</v>
      </c>
      <c r="K1964" s="470"/>
      <c r="L1964" s="470">
        <f t="shared" si="528"/>
        <v>0</v>
      </c>
      <c r="M1964" s="470">
        <f t="shared" si="529"/>
        <v>89566</v>
      </c>
      <c r="N1964" s="470">
        <f t="shared" si="530"/>
        <v>11464</v>
      </c>
      <c r="O1964" s="457"/>
      <c r="P1964" s="767"/>
    </row>
    <row r="1965" spans="1:17" ht="15.2" customHeight="1">
      <c r="B1965" s="766" t="s">
        <v>141</v>
      </c>
      <c r="C1965" s="766"/>
      <c r="D1965" s="84" t="s">
        <v>3766</v>
      </c>
      <c r="E1965" s="87">
        <v>1</v>
      </c>
      <c r="F1965" s="86" t="s">
        <v>143</v>
      </c>
      <c r="G1965" s="470">
        <f>사급자재!$M$204</f>
        <v>121000</v>
      </c>
      <c r="H1965" s="470">
        <f t="shared" si="526"/>
        <v>121000</v>
      </c>
      <c r="I1965" s="470"/>
      <c r="J1965" s="470">
        <f t="shared" si="527"/>
        <v>0</v>
      </c>
      <c r="K1965" s="470"/>
      <c r="L1965" s="470">
        <f t="shared" si="528"/>
        <v>0</v>
      </c>
      <c r="M1965" s="470">
        <f t="shared" si="529"/>
        <v>121000</v>
      </c>
      <c r="N1965" s="470">
        <f t="shared" si="530"/>
        <v>121000</v>
      </c>
      <c r="O1965" s="457"/>
      <c r="P1965" s="767"/>
    </row>
    <row r="1966" spans="1:17" ht="15.2" customHeight="1">
      <c r="B1966" s="766" t="s">
        <v>3609</v>
      </c>
      <c r="C1966" s="766"/>
      <c r="D1966" s="84" t="s">
        <v>3611</v>
      </c>
      <c r="E1966" s="88">
        <v>7.5999999999999998E-2</v>
      </c>
      <c r="F1966" s="86" t="s">
        <v>1163</v>
      </c>
      <c r="G1966" s="470"/>
      <c r="H1966" s="470">
        <f t="shared" si="526"/>
        <v>0</v>
      </c>
      <c r="I1966" s="470">
        <f>SUMIF('노임(2015)'!$B$4:$B$87,B1966,'노임(2015)'!$C$4:$C$87)+SUMIF('노임(2015)'!$E$4:$E$87,B1966,'노임(2015)'!$F$4:$F$87)</f>
        <v>118066</v>
      </c>
      <c r="J1966" s="470">
        <f t="shared" si="527"/>
        <v>8973</v>
      </c>
      <c r="K1966" s="470"/>
      <c r="L1966" s="470">
        <f t="shared" si="528"/>
        <v>0</v>
      </c>
      <c r="M1966" s="470">
        <f>G1966+I1966+K1966</f>
        <v>118066</v>
      </c>
      <c r="N1966" s="470">
        <f>H1966+J1966+L1966</f>
        <v>8973</v>
      </c>
      <c r="O1966" s="457"/>
      <c r="P1966" s="767"/>
    </row>
    <row r="1967" spans="1:17" ht="15.2" customHeight="1">
      <c r="B1967" s="766" t="s">
        <v>855</v>
      </c>
      <c r="C1967" s="766"/>
      <c r="D1967" s="84"/>
      <c r="E1967" s="87"/>
      <c r="F1967" s="86"/>
      <c r="G1967" s="470"/>
      <c r="H1967" s="470">
        <f>SUM(H1959:H1966)</f>
        <v>123440</v>
      </c>
      <c r="I1967" s="470"/>
      <c r="J1967" s="470">
        <f>SUM(J1959:J1966)</f>
        <v>33826</v>
      </c>
      <c r="K1967" s="470"/>
      <c r="L1967" s="470">
        <f>SUM(L1959:L1966)</f>
        <v>173</v>
      </c>
      <c r="M1967" s="470"/>
      <c r="N1967" s="470">
        <f>SUM(N1959:N1966)</f>
        <v>157439</v>
      </c>
      <c r="O1967" s="457"/>
      <c r="P1967" s="767"/>
      <c r="Q1967" s="80" t="s">
        <v>1164</v>
      </c>
    </row>
    <row r="1968" spans="1:17" ht="15.2" customHeight="1">
      <c r="B1968" s="96">
        <f>P1968</f>
        <v>343</v>
      </c>
      <c r="C1968" s="770" t="s">
        <v>1384</v>
      </c>
      <c r="D1968" s="770"/>
      <c r="E1968" s="770"/>
      <c r="F1968" s="771"/>
      <c r="G1968" s="470"/>
      <c r="H1968" s="470"/>
      <c r="I1968" s="470"/>
      <c r="J1968" s="470"/>
      <c r="K1968" s="470"/>
      <c r="L1968" s="470"/>
      <c r="M1968" s="470"/>
      <c r="N1968" s="470"/>
      <c r="O1968" s="457"/>
      <c r="P1968" s="767">
        <f>MAX($P$5:P1967)+1</f>
        <v>343</v>
      </c>
      <c r="Q1968" s="80" t="s">
        <v>3243</v>
      </c>
    </row>
    <row r="1969" spans="2:17" ht="15.2" customHeight="1">
      <c r="B1969" s="766" t="s">
        <v>1385</v>
      </c>
      <c r="C1969" s="766"/>
      <c r="D1969" s="84" t="s">
        <v>968</v>
      </c>
      <c r="E1969" s="88">
        <v>7.8E-2</v>
      </c>
      <c r="F1969" s="86" t="s">
        <v>1168</v>
      </c>
      <c r="G1969" s="470">
        <f>$H$433</f>
        <v>12427</v>
      </c>
      <c r="H1969" s="470">
        <f>TRUNC(E1969*G1969,0)</f>
        <v>969</v>
      </c>
      <c r="I1969" s="470">
        <f>$J$433</f>
        <v>248546</v>
      </c>
      <c r="J1969" s="470">
        <f>TRUNC(I1969*E1969,0)</f>
        <v>19386</v>
      </c>
      <c r="K1969" s="470">
        <f>$L$433</f>
        <v>0</v>
      </c>
      <c r="L1969" s="470">
        <f>TRUNC(K1969*E1969,0)</f>
        <v>0</v>
      </c>
      <c r="M1969" s="470">
        <f t="shared" ref="M1969:N1973" si="531">G1969+I1969+K1969</f>
        <v>260973</v>
      </c>
      <c r="N1969" s="470">
        <f t="shared" si="531"/>
        <v>20355</v>
      </c>
      <c r="O1969" s="462">
        <f>$P$430</f>
        <v>70</v>
      </c>
      <c r="P1969" s="767"/>
    </row>
    <row r="1970" spans="2:17" ht="15.2" customHeight="1">
      <c r="B1970" s="766" t="s">
        <v>1608</v>
      </c>
      <c r="C1970" s="766"/>
      <c r="D1970" s="84" t="s">
        <v>783</v>
      </c>
      <c r="E1970" s="88">
        <v>9.0999999999999998E-2</v>
      </c>
      <c r="F1970" s="86" t="s">
        <v>1168</v>
      </c>
      <c r="G1970" s="470">
        <f>$H$33</f>
        <v>64236</v>
      </c>
      <c r="H1970" s="470">
        <f>TRUNC(E1970*G1970,0)</f>
        <v>5845</v>
      </c>
      <c r="I1970" s="470">
        <f>$J$33</f>
        <v>305706</v>
      </c>
      <c r="J1970" s="470">
        <f>TRUNC(I1970*E1970,0)</f>
        <v>27819</v>
      </c>
      <c r="K1970" s="470">
        <f>$L$33</f>
        <v>8398</v>
      </c>
      <c r="L1970" s="470">
        <f>TRUNC(K1970*E1970,0)</f>
        <v>764</v>
      </c>
      <c r="M1970" s="470">
        <f t="shared" si="531"/>
        <v>378340</v>
      </c>
      <c r="N1970" s="470">
        <f t="shared" si="531"/>
        <v>34428</v>
      </c>
      <c r="O1970" s="462">
        <f>$P$27</f>
        <v>5</v>
      </c>
      <c r="P1970" s="767"/>
    </row>
    <row r="1971" spans="2:17" ht="15.2" customHeight="1">
      <c r="B1971" s="766" t="s">
        <v>784</v>
      </c>
      <c r="C1971" s="766"/>
      <c r="D1971" s="84" t="s">
        <v>785</v>
      </c>
      <c r="E1971" s="87">
        <v>0.6</v>
      </c>
      <c r="F1971" s="86" t="s">
        <v>1352</v>
      </c>
      <c r="G1971" s="470">
        <f>$H$172</f>
        <v>7906</v>
      </c>
      <c r="H1971" s="470">
        <f>TRUNC(E1971*G1971,0)</f>
        <v>4743</v>
      </c>
      <c r="I1971" s="470">
        <f>$J$172</f>
        <v>22490</v>
      </c>
      <c r="J1971" s="470">
        <f>TRUNC(I1971*E1971,0)</f>
        <v>13494</v>
      </c>
      <c r="K1971" s="470">
        <f>$L$172</f>
        <v>0</v>
      </c>
      <c r="L1971" s="470">
        <f>TRUNC(K1971*E1971,0)</f>
        <v>0</v>
      </c>
      <c r="M1971" s="470">
        <f t="shared" si="531"/>
        <v>30396</v>
      </c>
      <c r="N1971" s="470">
        <f t="shared" si="531"/>
        <v>18237</v>
      </c>
      <c r="O1971" s="462">
        <f>$P$168</f>
        <v>24</v>
      </c>
      <c r="P1971" s="767"/>
    </row>
    <row r="1972" spans="2:17" ht="15.2" customHeight="1">
      <c r="B1972" s="766" t="s">
        <v>1162</v>
      </c>
      <c r="C1972" s="766"/>
      <c r="D1972" s="84"/>
      <c r="E1972" s="87">
        <v>0.02</v>
      </c>
      <c r="F1972" s="86" t="s">
        <v>1163</v>
      </c>
      <c r="G1972" s="470"/>
      <c r="H1972" s="470">
        <f>TRUNC(E1972*G1972,0)</f>
        <v>0</v>
      </c>
      <c r="I1972" s="470">
        <f>SUMIF('노임(2015)'!$B$4:$B$87,B1972,'노임(2015)'!$C$4:$C$87)+SUMIF('노임(2015)'!$E$4:$E$87,B1972,'노임(2015)'!$F$4:$F$87)</f>
        <v>89566</v>
      </c>
      <c r="J1972" s="470">
        <f>TRUNC(I1972*E1972,0)</f>
        <v>1791</v>
      </c>
      <c r="K1972" s="470"/>
      <c r="L1972" s="470">
        <f>TRUNC(K1972*E1972,0)</f>
        <v>0</v>
      </c>
      <c r="M1972" s="470">
        <f t="shared" si="531"/>
        <v>89566</v>
      </c>
      <c r="N1972" s="470">
        <f t="shared" si="531"/>
        <v>1791</v>
      </c>
      <c r="O1972" s="459"/>
      <c r="P1972" s="767"/>
    </row>
    <row r="1973" spans="2:17" ht="15.2" customHeight="1">
      <c r="B1973" s="766" t="s">
        <v>914</v>
      </c>
      <c r="C1973" s="766"/>
      <c r="D1973" s="84" t="s">
        <v>3286</v>
      </c>
      <c r="E1973" s="87">
        <v>1</v>
      </c>
      <c r="F1973" s="86" t="s">
        <v>971</v>
      </c>
      <c r="G1973" s="470"/>
      <c r="H1973" s="470">
        <f>TRUNC(E1973*G1973,0)</f>
        <v>0</v>
      </c>
      <c r="I1973" s="470"/>
      <c r="J1973" s="470">
        <f>TRUNC(I1973*E1973,0)</f>
        <v>0</v>
      </c>
      <c r="K1973" s="470"/>
      <c r="L1973" s="470">
        <f>TRUNC(K1973*E1973,0)</f>
        <v>0</v>
      </c>
      <c r="M1973" s="470">
        <f t="shared" si="531"/>
        <v>0</v>
      </c>
      <c r="N1973" s="470">
        <f t="shared" si="531"/>
        <v>0</v>
      </c>
      <c r="O1973" s="459"/>
      <c r="P1973" s="767"/>
    </row>
    <row r="1974" spans="2:17" ht="15.2" customHeight="1">
      <c r="B1974" s="766" t="s">
        <v>855</v>
      </c>
      <c r="C1974" s="766"/>
      <c r="D1974" s="84"/>
      <c r="E1974" s="87"/>
      <c r="F1974" s="86"/>
      <c r="G1974" s="470"/>
      <c r="H1974" s="470">
        <f>SUM(H1969:H1973)</f>
        <v>11557</v>
      </c>
      <c r="I1974" s="470"/>
      <c r="J1974" s="470">
        <f>SUM(J1969:J1973)</f>
        <v>62490</v>
      </c>
      <c r="K1974" s="470"/>
      <c r="L1974" s="470">
        <f>SUM(L1969:L1973)</f>
        <v>764</v>
      </c>
      <c r="M1974" s="470"/>
      <c r="N1974" s="470">
        <f>SUM(N1969:N1973)</f>
        <v>74811</v>
      </c>
      <c r="O1974" s="459"/>
      <c r="P1974" s="767"/>
      <c r="Q1974" s="80" t="s">
        <v>3244</v>
      </c>
    </row>
    <row r="1975" spans="2:17" ht="15.2" customHeight="1">
      <c r="B1975" s="96">
        <f>P1975</f>
        <v>344</v>
      </c>
      <c r="C1975" s="770" t="s">
        <v>786</v>
      </c>
      <c r="D1975" s="770"/>
      <c r="E1975" s="770"/>
      <c r="F1975" s="771"/>
      <c r="G1975" s="470"/>
      <c r="H1975" s="470"/>
      <c r="I1975" s="470"/>
      <c r="J1975" s="470"/>
      <c r="K1975" s="470"/>
      <c r="L1975" s="470"/>
      <c r="M1975" s="470"/>
      <c r="N1975" s="470"/>
      <c r="O1975" s="459"/>
      <c r="P1975" s="767">
        <f>MAX($P$5:P1974)+1</f>
        <v>344</v>
      </c>
      <c r="Q1975" s="80" t="s">
        <v>3243</v>
      </c>
    </row>
    <row r="1976" spans="2:17" ht="15.2" customHeight="1">
      <c r="B1976" s="766" t="s">
        <v>1385</v>
      </c>
      <c r="C1976" s="766"/>
      <c r="D1976" s="84" t="s">
        <v>968</v>
      </c>
      <c r="E1976" s="88">
        <v>9.5000000000000001E-2</v>
      </c>
      <c r="F1976" s="86" t="s">
        <v>1168</v>
      </c>
      <c r="G1976" s="470">
        <f>$H$433</f>
        <v>12427</v>
      </c>
      <c r="H1976" s="470">
        <f>TRUNC(E1976*G1976,0)</f>
        <v>1180</v>
      </c>
      <c r="I1976" s="470">
        <f>$J$433</f>
        <v>248546</v>
      </c>
      <c r="J1976" s="470">
        <f>TRUNC(I1976*E1976,0)</f>
        <v>23611</v>
      </c>
      <c r="K1976" s="470">
        <f>$L$433</f>
        <v>0</v>
      </c>
      <c r="L1976" s="470">
        <f>TRUNC(K1976*E1976,0)</f>
        <v>0</v>
      </c>
      <c r="M1976" s="470">
        <f t="shared" ref="M1976:N1980" si="532">G1976+I1976+K1976</f>
        <v>260973</v>
      </c>
      <c r="N1976" s="470">
        <f t="shared" si="532"/>
        <v>24791</v>
      </c>
      <c r="O1976" s="462">
        <f>$P$430</f>
        <v>70</v>
      </c>
      <c r="P1976" s="767"/>
    </row>
    <row r="1977" spans="2:17" ht="15.2" customHeight="1">
      <c r="B1977" s="766" t="s">
        <v>1608</v>
      </c>
      <c r="C1977" s="766"/>
      <c r="D1977" s="84" t="s">
        <v>783</v>
      </c>
      <c r="E1977" s="88">
        <v>9.5000000000000001E-2</v>
      </c>
      <c r="F1977" s="86" t="s">
        <v>1168</v>
      </c>
      <c r="G1977" s="470">
        <f>$H$33</f>
        <v>64236</v>
      </c>
      <c r="H1977" s="470">
        <f>TRUNC(E1977*G1977,0)</f>
        <v>6102</v>
      </c>
      <c r="I1977" s="470">
        <f>$J$33</f>
        <v>305706</v>
      </c>
      <c r="J1977" s="470">
        <f>TRUNC(I1977*E1977,0)</f>
        <v>29042</v>
      </c>
      <c r="K1977" s="470">
        <f>$L$33</f>
        <v>8398</v>
      </c>
      <c r="L1977" s="470">
        <f>TRUNC(K1977*E1977,0)</f>
        <v>797</v>
      </c>
      <c r="M1977" s="470">
        <f t="shared" si="532"/>
        <v>378340</v>
      </c>
      <c r="N1977" s="470">
        <f t="shared" si="532"/>
        <v>35941</v>
      </c>
      <c r="O1977" s="462">
        <f>$P$27</f>
        <v>5</v>
      </c>
      <c r="P1977" s="767"/>
    </row>
    <row r="1978" spans="2:17" ht="15.2" customHeight="1">
      <c r="B1978" s="766" t="s">
        <v>784</v>
      </c>
      <c r="C1978" s="766"/>
      <c r="D1978" s="84" t="s">
        <v>785</v>
      </c>
      <c r="E1978" s="87">
        <v>1.1399999999999999</v>
      </c>
      <c r="F1978" s="86" t="s">
        <v>1352</v>
      </c>
      <c r="G1978" s="470">
        <f>$H$172</f>
        <v>7906</v>
      </c>
      <c r="H1978" s="470">
        <f>TRUNC(E1978*G1978,0)</f>
        <v>9012</v>
      </c>
      <c r="I1978" s="470">
        <f>$J$172</f>
        <v>22490</v>
      </c>
      <c r="J1978" s="470">
        <f>TRUNC(I1978*E1978,0)</f>
        <v>25638</v>
      </c>
      <c r="K1978" s="470">
        <f>$L$172</f>
        <v>0</v>
      </c>
      <c r="L1978" s="470">
        <f>TRUNC(K1978*E1978,0)</f>
        <v>0</v>
      </c>
      <c r="M1978" s="470">
        <f t="shared" si="532"/>
        <v>30396</v>
      </c>
      <c r="N1978" s="470">
        <f t="shared" si="532"/>
        <v>34650</v>
      </c>
      <c r="O1978" s="462">
        <f>$P$168</f>
        <v>24</v>
      </c>
      <c r="P1978" s="767"/>
    </row>
    <row r="1979" spans="2:17" ht="15.2" customHeight="1">
      <c r="B1979" s="766" t="s">
        <v>1162</v>
      </c>
      <c r="C1979" s="766"/>
      <c r="D1979" s="84"/>
      <c r="E1979" s="87">
        <v>0.02</v>
      </c>
      <c r="F1979" s="86" t="s">
        <v>1163</v>
      </c>
      <c r="G1979" s="470"/>
      <c r="H1979" s="470">
        <f>TRUNC(E1979*G1979,0)</f>
        <v>0</v>
      </c>
      <c r="I1979" s="470">
        <f>SUMIF('노임(2015)'!$B$4:$B$87,B1979,'노임(2015)'!$C$4:$C$87)+SUMIF('노임(2015)'!$E$4:$E$87,B1979,'노임(2015)'!$F$4:$F$87)</f>
        <v>89566</v>
      </c>
      <c r="J1979" s="470">
        <f>TRUNC(I1979*E1979,0)</f>
        <v>1791</v>
      </c>
      <c r="K1979" s="470"/>
      <c r="L1979" s="470">
        <f>TRUNC(K1979*E1979,0)</f>
        <v>0</v>
      </c>
      <c r="M1979" s="470">
        <f t="shared" si="532"/>
        <v>89566</v>
      </c>
      <c r="N1979" s="470">
        <f t="shared" si="532"/>
        <v>1791</v>
      </c>
      <c r="O1979" s="457"/>
      <c r="P1979" s="767"/>
    </row>
    <row r="1980" spans="2:17" ht="15.2" customHeight="1">
      <c r="B1980" s="766" t="s">
        <v>914</v>
      </c>
      <c r="C1980" s="766"/>
      <c r="D1980" s="84" t="s">
        <v>3286</v>
      </c>
      <c r="E1980" s="87">
        <v>1</v>
      </c>
      <c r="F1980" s="86" t="s">
        <v>971</v>
      </c>
      <c r="G1980" s="470"/>
      <c r="H1980" s="470">
        <f>TRUNC(E1980*G1980,0)</f>
        <v>0</v>
      </c>
      <c r="I1980" s="470"/>
      <c r="J1980" s="470">
        <f>TRUNC(I1980*E1980,0)</f>
        <v>0</v>
      </c>
      <c r="K1980" s="470"/>
      <c r="L1980" s="470">
        <f>TRUNC(K1980*E1980,0)</f>
        <v>0</v>
      </c>
      <c r="M1980" s="470">
        <f t="shared" si="532"/>
        <v>0</v>
      </c>
      <c r="N1980" s="470">
        <f t="shared" si="532"/>
        <v>0</v>
      </c>
      <c r="O1980" s="457"/>
      <c r="P1980" s="767"/>
    </row>
    <row r="1981" spans="2:17" ht="15.2" customHeight="1">
      <c r="B1981" s="766" t="s">
        <v>855</v>
      </c>
      <c r="C1981" s="766"/>
      <c r="D1981" s="84"/>
      <c r="E1981" s="87"/>
      <c r="F1981" s="86"/>
      <c r="G1981" s="470"/>
      <c r="H1981" s="470">
        <f>SUM(H1976:H1980)</f>
        <v>16294</v>
      </c>
      <c r="I1981" s="470"/>
      <c r="J1981" s="470">
        <f>SUM(J1976:J1980)</f>
        <v>80082</v>
      </c>
      <c r="K1981" s="470"/>
      <c r="L1981" s="470">
        <f>SUM(L1976:L1980)</f>
        <v>797</v>
      </c>
      <c r="M1981" s="470"/>
      <c r="N1981" s="470">
        <f>SUM(N1976:N1980)</f>
        <v>97173</v>
      </c>
      <c r="O1981" s="457"/>
      <c r="P1981" s="767"/>
      <c r="Q1981" s="80" t="s">
        <v>3244</v>
      </c>
    </row>
    <row r="1982" spans="2:17" ht="15.2" customHeight="1">
      <c r="B1982" s="96">
        <f>P1982</f>
        <v>345</v>
      </c>
      <c r="C1982" s="770" t="s">
        <v>787</v>
      </c>
      <c r="D1982" s="770"/>
      <c r="E1982" s="770"/>
      <c r="F1982" s="771"/>
      <c r="G1982" s="470"/>
      <c r="H1982" s="470"/>
      <c r="I1982" s="470"/>
      <c r="J1982" s="470"/>
      <c r="K1982" s="470"/>
      <c r="L1982" s="470"/>
      <c r="M1982" s="470"/>
      <c r="N1982" s="470"/>
      <c r="O1982" s="457"/>
      <c r="P1982" s="767">
        <f>MAX($P$5:P1981)+1</f>
        <v>345</v>
      </c>
      <c r="Q1982" s="80" t="s">
        <v>3243</v>
      </c>
    </row>
    <row r="1983" spans="2:17" ht="15.2" customHeight="1">
      <c r="B1983" s="766" t="s">
        <v>144</v>
      </c>
      <c r="C1983" s="766"/>
      <c r="D1983" s="84" t="s">
        <v>145</v>
      </c>
      <c r="E1983" s="87">
        <v>3</v>
      </c>
      <c r="F1983" s="86" t="s">
        <v>146</v>
      </c>
      <c r="G1983" s="470">
        <f>중기사용료!$M$1651</f>
        <v>0</v>
      </c>
      <c r="H1983" s="470">
        <f>TRUNC(E1983*G1983,0)</f>
        <v>0</v>
      </c>
      <c r="I1983" s="470">
        <f>중기사용료!$M$1645</f>
        <v>0</v>
      </c>
      <c r="J1983" s="470">
        <f>TRUNC(I1983*E1983,0)</f>
        <v>0</v>
      </c>
      <c r="K1983" s="470">
        <f>$H$1522</f>
        <v>2224</v>
      </c>
      <c r="L1983" s="470">
        <f>TRUNC(K1983*E1983,0)</f>
        <v>6672</v>
      </c>
      <c r="M1983" s="470">
        <f t="shared" ref="M1983:N1986" si="533">G1983+I1983+K1983</f>
        <v>2224</v>
      </c>
      <c r="N1983" s="470">
        <f t="shared" si="533"/>
        <v>6672</v>
      </c>
      <c r="O1983" s="464"/>
      <c r="P1983" s="767"/>
    </row>
    <row r="1984" spans="2:17" ht="15.2" customHeight="1">
      <c r="B1984" s="766" t="s">
        <v>147</v>
      </c>
      <c r="C1984" s="766"/>
      <c r="D1984" s="84"/>
      <c r="E1984" s="87">
        <v>3</v>
      </c>
      <c r="F1984" s="86" t="s">
        <v>146</v>
      </c>
      <c r="G1984" s="470"/>
      <c r="H1984" s="470">
        <f>TRUNC(E1984*G1984,0)</f>
        <v>0</v>
      </c>
      <c r="I1984" s="470"/>
      <c r="J1984" s="470">
        <f>TRUNC(I1984*E1984,0)</f>
        <v>0</v>
      </c>
      <c r="K1984" s="470">
        <f>사급자재!M77*24</f>
        <v>1456.8000000000002</v>
      </c>
      <c r="L1984" s="470">
        <f>TRUNC(K1984*E1984,0)</f>
        <v>4370</v>
      </c>
      <c r="M1984" s="470">
        <f t="shared" si="533"/>
        <v>1456.8000000000002</v>
      </c>
      <c r="N1984" s="470">
        <f t="shared" si="533"/>
        <v>4370</v>
      </c>
      <c r="O1984" s="457"/>
      <c r="P1984" s="767"/>
    </row>
    <row r="1985" spans="2:17" ht="15.2" customHeight="1">
      <c r="B1985" s="766" t="s">
        <v>788</v>
      </c>
      <c r="C1985" s="766"/>
      <c r="D1985" s="84" t="s">
        <v>789</v>
      </c>
      <c r="E1985" s="87">
        <v>50</v>
      </c>
      <c r="F1985" s="86" t="s">
        <v>1190</v>
      </c>
      <c r="G1985" s="470">
        <f>사급자재!$M$156/10</f>
        <v>333</v>
      </c>
      <c r="H1985" s="470">
        <f>TRUNC(E1985*G1985,0)</f>
        <v>16650</v>
      </c>
      <c r="I1985" s="470"/>
      <c r="J1985" s="470">
        <f>TRUNC(I1985*E1985,0)</f>
        <v>0</v>
      </c>
      <c r="K1985" s="470"/>
      <c r="L1985" s="470">
        <f>TRUNC(K1985*E1985,0)</f>
        <v>0</v>
      </c>
      <c r="M1985" s="470">
        <f t="shared" si="533"/>
        <v>333</v>
      </c>
      <c r="N1985" s="470">
        <f t="shared" si="533"/>
        <v>16650</v>
      </c>
      <c r="O1985" s="457"/>
      <c r="P1985" s="767"/>
    </row>
    <row r="1986" spans="2:17" ht="15.2" customHeight="1">
      <c r="B1986" s="766" t="s">
        <v>1162</v>
      </c>
      <c r="C1986" s="766"/>
      <c r="D1986" s="84" t="s">
        <v>148</v>
      </c>
      <c r="E1986" s="87">
        <v>3</v>
      </c>
      <c r="F1986" s="86" t="s">
        <v>1163</v>
      </c>
      <c r="G1986" s="470"/>
      <c r="H1986" s="470">
        <f>TRUNC(E1986*G1986,0)</f>
        <v>0</v>
      </c>
      <c r="I1986" s="470">
        <f>SUMIF('노임(2015)'!$B$4:$B$87,B1986,'노임(2015)'!$C$4:$C$87)+SUMIF('노임(2015)'!$E$4:$E$87,B1986,'노임(2015)'!$F$4:$F$87)</f>
        <v>89566</v>
      </c>
      <c r="J1986" s="470">
        <f>TRUNC(I1986*E1986,0)</f>
        <v>268698</v>
      </c>
      <c r="K1986" s="470"/>
      <c r="L1986" s="470">
        <f>TRUNC(K1986*E1986,0)</f>
        <v>0</v>
      </c>
      <c r="M1986" s="470">
        <f t="shared" si="533"/>
        <v>89566</v>
      </c>
      <c r="N1986" s="470">
        <f t="shared" si="533"/>
        <v>268698</v>
      </c>
      <c r="O1986" s="457"/>
      <c r="P1986" s="767"/>
    </row>
    <row r="1987" spans="2:17" ht="15.2" customHeight="1">
      <c r="B1987" s="766" t="s">
        <v>855</v>
      </c>
      <c r="C1987" s="766"/>
      <c r="D1987" s="84"/>
      <c r="E1987" s="87"/>
      <c r="F1987" s="86"/>
      <c r="G1987" s="470"/>
      <c r="H1987" s="470">
        <f>SUM(H1983:H1986)</f>
        <v>16650</v>
      </c>
      <c r="I1987" s="470"/>
      <c r="J1987" s="470">
        <f>SUM(J1983:J1986)</f>
        <v>268698</v>
      </c>
      <c r="K1987" s="470"/>
      <c r="L1987" s="470">
        <f>SUM(L1983:L1986)</f>
        <v>11042</v>
      </c>
      <c r="M1987" s="470"/>
      <c r="N1987" s="470">
        <f>SUM(N1983:N1986)</f>
        <v>296390</v>
      </c>
      <c r="O1987" s="457"/>
      <c r="P1987" s="767"/>
      <c r="Q1987" s="80" t="s">
        <v>3244</v>
      </c>
    </row>
    <row r="1988" spans="2:17" ht="15.2" customHeight="1">
      <c r="B1988" s="96">
        <f>P1988</f>
        <v>346</v>
      </c>
      <c r="C1988" s="770" t="s">
        <v>790</v>
      </c>
      <c r="D1988" s="770"/>
      <c r="E1988" s="770"/>
      <c r="F1988" s="771"/>
      <c r="G1988" s="470"/>
      <c r="H1988" s="470"/>
      <c r="I1988" s="470"/>
      <c r="J1988" s="470"/>
      <c r="K1988" s="470"/>
      <c r="L1988" s="470"/>
      <c r="M1988" s="470"/>
      <c r="N1988" s="470"/>
      <c r="O1988" s="457"/>
      <c r="P1988" s="767">
        <f>MAX($P$5:P1987)+1</f>
        <v>346</v>
      </c>
      <c r="Q1988" s="80" t="s">
        <v>3243</v>
      </c>
    </row>
    <row r="1989" spans="2:17" ht="15.2" customHeight="1">
      <c r="B1989" s="766" t="s">
        <v>791</v>
      </c>
      <c r="C1989" s="766"/>
      <c r="D1989" s="84" t="s">
        <v>149</v>
      </c>
      <c r="E1989" s="87">
        <v>1.05</v>
      </c>
      <c r="F1989" s="86" t="s">
        <v>1190</v>
      </c>
      <c r="G1989" s="470">
        <f>사급자재!$M$42</f>
        <v>15550</v>
      </c>
      <c r="H1989" s="470">
        <f>TRUNC(E1989*G1989,0)</f>
        <v>16327</v>
      </c>
      <c r="I1989" s="470"/>
      <c r="J1989" s="470">
        <f>TRUNC(I1989*E1989,0)</f>
        <v>0</v>
      </c>
      <c r="K1989" s="470"/>
      <c r="L1989" s="470">
        <f>TRUNC(K1989*E1989,0)</f>
        <v>0</v>
      </c>
      <c r="M1989" s="470">
        <f t="shared" ref="M1989:N1992" si="534">G1989+I1989+K1989</f>
        <v>15550</v>
      </c>
      <c r="N1989" s="470">
        <f t="shared" si="534"/>
        <v>16327</v>
      </c>
      <c r="O1989" s="464"/>
      <c r="P1989" s="767"/>
    </row>
    <row r="1990" spans="2:17" ht="15.2" customHeight="1">
      <c r="B1990" s="766" t="s">
        <v>1984</v>
      </c>
      <c r="C1990" s="766"/>
      <c r="D1990" s="84" t="s">
        <v>1403</v>
      </c>
      <c r="E1990" s="88">
        <v>8.0000000000000002E-3</v>
      </c>
      <c r="F1990" s="86" t="s">
        <v>1168</v>
      </c>
      <c r="G1990" s="470">
        <f>$H$9</f>
        <v>98700</v>
      </c>
      <c r="H1990" s="470">
        <f>TRUNC(E1990*G1990,0)</f>
        <v>789</v>
      </c>
      <c r="I1990" s="470">
        <f>$J$9</f>
        <v>59113</v>
      </c>
      <c r="J1990" s="470">
        <f>TRUNC(I1990*E1990,0)</f>
        <v>472</v>
      </c>
      <c r="K1990" s="470">
        <f>$L$9</f>
        <v>17680</v>
      </c>
      <c r="L1990" s="470">
        <f>TRUNC(K1990*E1990,0)</f>
        <v>141</v>
      </c>
      <c r="M1990" s="470">
        <f t="shared" si="534"/>
        <v>175493</v>
      </c>
      <c r="N1990" s="470">
        <f t="shared" si="534"/>
        <v>1402</v>
      </c>
      <c r="O1990" s="462">
        <f>$P$5</f>
        <v>1</v>
      </c>
      <c r="P1990" s="767"/>
    </row>
    <row r="1991" spans="2:17" ht="15.2" customHeight="1">
      <c r="B1991" s="766" t="s">
        <v>4032</v>
      </c>
      <c r="C1991" s="766"/>
      <c r="D1991" s="84"/>
      <c r="E1991" s="87">
        <v>0.12</v>
      </c>
      <c r="F1991" s="86" t="s">
        <v>1163</v>
      </c>
      <c r="G1991" s="470"/>
      <c r="H1991" s="470">
        <f>TRUNC(E1991*G1991,0)</f>
        <v>0</v>
      </c>
      <c r="I1991" s="470">
        <f>SUMIF('노임(2015)'!$B$4:$B$87,B1991,'노임(2015)'!$C$4:$C$87)+SUMIF('노임(2015)'!$E$4:$E$87,B1991,'노임(2015)'!$F$4:$F$87)</f>
        <v>136044</v>
      </c>
      <c r="J1991" s="470">
        <f>TRUNC(I1991*E1991,0)</f>
        <v>16325</v>
      </c>
      <c r="K1991" s="470"/>
      <c r="L1991" s="470">
        <f>TRUNC(K1991*E1991,0)</f>
        <v>0</v>
      </c>
      <c r="M1991" s="470">
        <f t="shared" si="534"/>
        <v>136044</v>
      </c>
      <c r="N1991" s="470">
        <f t="shared" si="534"/>
        <v>16325</v>
      </c>
      <c r="O1991" s="459"/>
      <c r="P1991" s="767"/>
    </row>
    <row r="1992" spans="2:17" ht="15.2" customHeight="1">
      <c r="B1992" s="766" t="s">
        <v>1162</v>
      </c>
      <c r="C1992" s="766"/>
      <c r="D1992" s="84"/>
      <c r="E1992" s="87">
        <v>0.02</v>
      </c>
      <c r="F1992" s="86" t="s">
        <v>1163</v>
      </c>
      <c r="G1992" s="470"/>
      <c r="H1992" s="470">
        <f>TRUNC(E1992*G1992,0)</f>
        <v>0</v>
      </c>
      <c r="I1992" s="470">
        <f>SUMIF('노임(2015)'!$B$4:$B$87,B1992,'노임(2015)'!$C$4:$C$87)+SUMIF('노임(2015)'!$E$4:$E$87,B1992,'노임(2015)'!$F$4:$F$87)</f>
        <v>89566</v>
      </c>
      <c r="J1992" s="470">
        <f>TRUNC(I1992*E1992,0)</f>
        <v>1791</v>
      </c>
      <c r="K1992" s="470"/>
      <c r="L1992" s="470">
        <f>TRUNC(K1992*E1992,0)</f>
        <v>0</v>
      </c>
      <c r="M1992" s="470">
        <f t="shared" si="534"/>
        <v>89566</v>
      </c>
      <c r="N1992" s="470">
        <f t="shared" si="534"/>
        <v>1791</v>
      </c>
      <c r="O1992" s="459"/>
      <c r="P1992" s="767"/>
    </row>
    <row r="1993" spans="2:17" ht="15.2" customHeight="1">
      <c r="B1993" s="766" t="s">
        <v>855</v>
      </c>
      <c r="C1993" s="766"/>
      <c r="D1993" s="84"/>
      <c r="E1993" s="87"/>
      <c r="F1993" s="86"/>
      <c r="G1993" s="470"/>
      <c r="H1993" s="470">
        <f>SUM(H1989:H1992)</f>
        <v>17116</v>
      </c>
      <c r="I1993" s="470"/>
      <c r="J1993" s="470">
        <f>SUM(J1989:J1992)</f>
        <v>18588</v>
      </c>
      <c r="K1993" s="470"/>
      <c r="L1993" s="470">
        <f>SUM(L1989:L1992)</f>
        <v>141</v>
      </c>
      <c r="M1993" s="470"/>
      <c r="N1993" s="470">
        <f>SUM(N1989:N1992)</f>
        <v>35845</v>
      </c>
      <c r="O1993" s="459"/>
      <c r="P1993" s="767"/>
      <c r="Q1993" s="80" t="s">
        <v>3244</v>
      </c>
    </row>
    <row r="1994" spans="2:17" ht="15.2" customHeight="1">
      <c r="B1994" s="96">
        <f>P1994</f>
        <v>347</v>
      </c>
      <c r="C1994" s="770" t="s">
        <v>792</v>
      </c>
      <c r="D1994" s="770"/>
      <c r="E1994" s="770"/>
      <c r="F1994" s="771"/>
      <c r="G1994" s="470"/>
      <c r="H1994" s="470"/>
      <c r="I1994" s="470"/>
      <c r="J1994" s="470"/>
      <c r="K1994" s="470"/>
      <c r="L1994" s="470"/>
      <c r="M1994" s="470"/>
      <c r="N1994" s="470"/>
      <c r="O1994" s="459"/>
      <c r="P1994" s="767">
        <f>MAX($P$5:P1993)+1</f>
        <v>347</v>
      </c>
      <c r="Q1994" s="80" t="s">
        <v>3243</v>
      </c>
    </row>
    <row r="1995" spans="2:17" ht="15.2" customHeight="1">
      <c r="B1995" s="768" t="s">
        <v>150</v>
      </c>
      <c r="C1995" s="769"/>
      <c r="D1995" s="84" t="s">
        <v>793</v>
      </c>
      <c r="E1995" s="87">
        <v>0.69</v>
      </c>
      <c r="F1995" s="86" t="s">
        <v>1168</v>
      </c>
      <c r="G1995" s="470">
        <f>$H$33</f>
        <v>64236</v>
      </c>
      <c r="H1995" s="470">
        <f t="shared" ref="H1995:H2005" si="535">TRUNC(E1995*G1995,0)</f>
        <v>44322</v>
      </c>
      <c r="I1995" s="470">
        <f>$J$33</f>
        <v>305706</v>
      </c>
      <c r="J1995" s="470">
        <f t="shared" ref="J1995:J2005" si="536">TRUNC(I1995*E1995,0)</f>
        <v>210937</v>
      </c>
      <c r="K1995" s="470">
        <f>$L$33</f>
        <v>8398</v>
      </c>
      <c r="L1995" s="470">
        <f t="shared" ref="L1995:L2005" si="537">TRUNC(K1995*E1995,0)</f>
        <v>5794</v>
      </c>
      <c r="M1995" s="470">
        <f t="shared" ref="M1995:M2005" si="538">G1995+I1995+K1995</f>
        <v>378340</v>
      </c>
      <c r="N1995" s="470">
        <f t="shared" ref="N1995:N2005" si="539">H1995+J1995+L1995</f>
        <v>261053</v>
      </c>
      <c r="O1995" s="462">
        <f>$P$27</f>
        <v>5</v>
      </c>
      <c r="P1995" s="767"/>
    </row>
    <row r="1996" spans="2:17" ht="15.2" customHeight="1">
      <c r="B1996" s="768" t="s">
        <v>449</v>
      </c>
      <c r="C1996" s="769"/>
      <c r="D1996" s="84" t="s">
        <v>794</v>
      </c>
      <c r="E1996" s="87">
        <v>1</v>
      </c>
      <c r="F1996" s="86" t="s">
        <v>3612</v>
      </c>
      <c r="G1996" s="470">
        <f>$H$2150</f>
        <v>38000</v>
      </c>
      <c r="H1996" s="470">
        <f t="shared" si="535"/>
        <v>38000</v>
      </c>
      <c r="I1996" s="470">
        <f>$J$2150</f>
        <v>71156</v>
      </c>
      <c r="J1996" s="470">
        <f t="shared" si="536"/>
        <v>71156</v>
      </c>
      <c r="K1996" s="470">
        <f>$L$2150</f>
        <v>0</v>
      </c>
      <c r="L1996" s="470">
        <f t="shared" si="537"/>
        <v>0</v>
      </c>
      <c r="M1996" s="470">
        <f t="shared" si="538"/>
        <v>109156</v>
      </c>
      <c r="N1996" s="470">
        <f t="shared" si="539"/>
        <v>109156</v>
      </c>
      <c r="O1996" s="462">
        <f>$P$2145</f>
        <v>365</v>
      </c>
      <c r="P1996" s="767"/>
    </row>
    <row r="1997" spans="2:17" ht="15.2" customHeight="1">
      <c r="B1997" s="768" t="s">
        <v>2427</v>
      </c>
      <c r="C1997" s="769"/>
      <c r="D1997" s="84" t="s">
        <v>795</v>
      </c>
      <c r="E1997" s="87">
        <v>0.4</v>
      </c>
      <c r="F1997" s="86" t="s">
        <v>1168</v>
      </c>
      <c r="G1997" s="470">
        <f>$H$54</f>
        <v>51922</v>
      </c>
      <c r="H1997" s="470">
        <f t="shared" si="535"/>
        <v>20768</v>
      </c>
      <c r="I1997" s="470">
        <f>$J$54</f>
        <v>305706</v>
      </c>
      <c r="J1997" s="470">
        <f t="shared" si="536"/>
        <v>122282</v>
      </c>
      <c r="K1997" s="470">
        <f>$L$54</f>
        <v>5486</v>
      </c>
      <c r="L1997" s="470">
        <f t="shared" si="537"/>
        <v>2194</v>
      </c>
      <c r="M1997" s="470">
        <f t="shared" si="538"/>
        <v>363114</v>
      </c>
      <c r="N1997" s="470">
        <f t="shared" si="539"/>
        <v>145244</v>
      </c>
      <c r="O1997" s="462">
        <f>$P$48</f>
        <v>8</v>
      </c>
      <c r="P1997" s="767"/>
    </row>
    <row r="1998" spans="2:17" ht="15.2" customHeight="1">
      <c r="B1998" s="768" t="s">
        <v>1792</v>
      </c>
      <c r="C1998" s="769"/>
      <c r="D1998" s="84" t="s">
        <v>793</v>
      </c>
      <c r="E1998" s="88">
        <v>0.156</v>
      </c>
      <c r="F1998" s="86" t="s">
        <v>1168</v>
      </c>
      <c r="G1998" s="470">
        <f>$H$33</f>
        <v>64236</v>
      </c>
      <c r="H1998" s="470">
        <f t="shared" si="535"/>
        <v>10020</v>
      </c>
      <c r="I1998" s="470">
        <f>$J$33</f>
        <v>305706</v>
      </c>
      <c r="J1998" s="470">
        <f t="shared" si="536"/>
        <v>47690</v>
      </c>
      <c r="K1998" s="470">
        <f>$L$33</f>
        <v>8398</v>
      </c>
      <c r="L1998" s="470">
        <f t="shared" si="537"/>
        <v>1310</v>
      </c>
      <c r="M1998" s="470">
        <f>G1998+I1998+K1998</f>
        <v>378340</v>
      </c>
      <c r="N1998" s="470">
        <f>H1998+J1998+L1998</f>
        <v>59020</v>
      </c>
      <c r="O1998" s="462">
        <f>$P$27</f>
        <v>5</v>
      </c>
      <c r="P1998" s="767"/>
    </row>
    <row r="1999" spans="2:17" ht="15.2" customHeight="1">
      <c r="B1999" s="768" t="s">
        <v>796</v>
      </c>
      <c r="C1999" s="769"/>
      <c r="D1999" s="84" t="s">
        <v>794</v>
      </c>
      <c r="E1999" s="87">
        <v>1</v>
      </c>
      <c r="F1999" s="86" t="s">
        <v>3612</v>
      </c>
      <c r="G1999" s="470">
        <f>$H$2168</f>
        <v>8000</v>
      </c>
      <c r="H1999" s="470">
        <f t="shared" si="535"/>
        <v>8000</v>
      </c>
      <c r="I1999" s="470">
        <f>$J$2168</f>
        <v>38038</v>
      </c>
      <c r="J1999" s="470">
        <f t="shared" si="536"/>
        <v>38038</v>
      </c>
      <c r="K1999" s="470">
        <f>$L$2168</f>
        <v>0</v>
      </c>
      <c r="L1999" s="470">
        <f t="shared" si="537"/>
        <v>0</v>
      </c>
      <c r="M1999" s="470">
        <f t="shared" si="538"/>
        <v>46038</v>
      </c>
      <c r="N1999" s="470">
        <f t="shared" si="539"/>
        <v>46038</v>
      </c>
      <c r="O1999" s="462">
        <f>$P$2163</f>
        <v>368</v>
      </c>
      <c r="P1999" s="767"/>
    </row>
    <row r="2000" spans="2:17" ht="15.2" customHeight="1">
      <c r="B2000" s="768" t="s">
        <v>1793</v>
      </c>
      <c r="C2000" s="769"/>
      <c r="D2000" s="84" t="s">
        <v>793</v>
      </c>
      <c r="E2000" s="87">
        <v>0.28999999999999998</v>
      </c>
      <c r="F2000" s="86" t="s">
        <v>1168</v>
      </c>
      <c r="G2000" s="470">
        <f>$H$33</f>
        <v>64236</v>
      </c>
      <c r="H2000" s="470">
        <f t="shared" si="535"/>
        <v>18628</v>
      </c>
      <c r="I2000" s="470">
        <f>$J$33</f>
        <v>305706</v>
      </c>
      <c r="J2000" s="470">
        <f t="shared" si="536"/>
        <v>88654</v>
      </c>
      <c r="K2000" s="470">
        <f>$L$33</f>
        <v>8398</v>
      </c>
      <c r="L2000" s="470">
        <f t="shared" si="537"/>
        <v>2435</v>
      </c>
      <c r="M2000" s="470">
        <f t="shared" si="538"/>
        <v>378340</v>
      </c>
      <c r="N2000" s="470">
        <f t="shared" si="539"/>
        <v>109717</v>
      </c>
      <c r="O2000" s="462">
        <f>$P$27</f>
        <v>5</v>
      </c>
      <c r="P2000" s="767"/>
    </row>
    <row r="2001" spans="2:17" ht="15.2" customHeight="1">
      <c r="B2001" s="768" t="s">
        <v>1794</v>
      </c>
      <c r="C2001" s="769"/>
      <c r="D2001" s="84" t="s">
        <v>793</v>
      </c>
      <c r="E2001" s="88">
        <v>0.156</v>
      </c>
      <c r="F2001" s="86" t="s">
        <v>1168</v>
      </c>
      <c r="G2001" s="470">
        <f>$H$33</f>
        <v>64236</v>
      </c>
      <c r="H2001" s="470">
        <f t="shared" si="535"/>
        <v>10020</v>
      </c>
      <c r="I2001" s="470">
        <f>$J$33</f>
        <v>305706</v>
      </c>
      <c r="J2001" s="470">
        <f t="shared" si="536"/>
        <v>47690</v>
      </c>
      <c r="K2001" s="470">
        <f>$L$33</f>
        <v>8398</v>
      </c>
      <c r="L2001" s="470">
        <f t="shared" si="537"/>
        <v>1310</v>
      </c>
      <c r="M2001" s="470">
        <f t="shared" si="538"/>
        <v>378340</v>
      </c>
      <c r="N2001" s="470">
        <f t="shared" si="539"/>
        <v>59020</v>
      </c>
      <c r="O2001" s="462">
        <f>$P$27</f>
        <v>5</v>
      </c>
      <c r="P2001" s="767"/>
    </row>
    <row r="2002" spans="2:17" ht="15.2" customHeight="1">
      <c r="B2002" s="768" t="s">
        <v>2167</v>
      </c>
      <c r="C2002" s="769"/>
      <c r="D2002" s="84" t="s">
        <v>1795</v>
      </c>
      <c r="E2002" s="87">
        <v>0.5</v>
      </c>
      <c r="F2002" s="86" t="s">
        <v>1168</v>
      </c>
      <c r="G2002" s="470">
        <f>$H$2185</f>
        <v>23000</v>
      </c>
      <c r="H2002" s="470">
        <f t="shared" si="535"/>
        <v>11500</v>
      </c>
      <c r="I2002" s="470">
        <f>$J$2185</f>
        <v>57751</v>
      </c>
      <c r="J2002" s="470">
        <f t="shared" si="536"/>
        <v>28875</v>
      </c>
      <c r="K2002" s="470">
        <f>$L$2185</f>
        <v>0</v>
      </c>
      <c r="L2002" s="470">
        <f t="shared" si="537"/>
        <v>0</v>
      </c>
      <c r="M2002" s="470">
        <f t="shared" si="538"/>
        <v>80751</v>
      </c>
      <c r="N2002" s="470">
        <f t="shared" si="539"/>
        <v>40375</v>
      </c>
      <c r="O2002" s="462">
        <f>$P$2181</f>
        <v>371</v>
      </c>
      <c r="P2002" s="767"/>
    </row>
    <row r="2003" spans="2:17" ht="15.2" customHeight="1">
      <c r="B2003" s="768" t="s">
        <v>2168</v>
      </c>
      <c r="C2003" s="769"/>
      <c r="D2003" s="84" t="s">
        <v>3313</v>
      </c>
      <c r="E2003" s="97">
        <v>3.1300000000000001E-2</v>
      </c>
      <c r="F2003" s="86" t="s">
        <v>1193</v>
      </c>
      <c r="G2003" s="470">
        <f>$H$63</f>
        <v>574055</v>
      </c>
      <c r="H2003" s="470">
        <f t="shared" si="535"/>
        <v>17967</v>
      </c>
      <c r="I2003" s="470">
        <f>$J$63</f>
        <v>501784</v>
      </c>
      <c r="J2003" s="470">
        <f t="shared" si="536"/>
        <v>15705</v>
      </c>
      <c r="K2003" s="470">
        <f>$L$63</f>
        <v>0</v>
      </c>
      <c r="L2003" s="470">
        <f t="shared" si="537"/>
        <v>0</v>
      </c>
      <c r="M2003" s="470">
        <f t="shared" si="538"/>
        <v>1075839</v>
      </c>
      <c r="N2003" s="470">
        <f t="shared" si="539"/>
        <v>33672</v>
      </c>
      <c r="O2003" s="462">
        <f>$P$55</f>
        <v>9</v>
      </c>
      <c r="P2003" s="767"/>
    </row>
    <row r="2004" spans="2:17" ht="15.2" customHeight="1">
      <c r="B2004" s="768" t="s">
        <v>1162</v>
      </c>
      <c r="C2004" s="769"/>
      <c r="D2004" s="84"/>
      <c r="E2004" s="87">
        <v>1</v>
      </c>
      <c r="F2004" s="86" t="s">
        <v>1163</v>
      </c>
      <c r="G2004" s="470"/>
      <c r="H2004" s="470">
        <f t="shared" si="535"/>
        <v>0</v>
      </c>
      <c r="I2004" s="470">
        <f>SUMIF('노임(2015)'!$B$4:$B$87,B2004,'노임(2015)'!$C$4:$C$87)+SUMIF('노임(2015)'!$E$4:$E$87,B2004,'노임(2015)'!$F$4:$F$87)</f>
        <v>89566</v>
      </c>
      <c r="J2004" s="470">
        <f t="shared" si="536"/>
        <v>89566</v>
      </c>
      <c r="K2004" s="470"/>
      <c r="L2004" s="470">
        <f t="shared" si="537"/>
        <v>0</v>
      </c>
      <c r="M2004" s="470">
        <f t="shared" si="538"/>
        <v>89566</v>
      </c>
      <c r="N2004" s="470">
        <f t="shared" si="539"/>
        <v>89566</v>
      </c>
      <c r="O2004" s="459"/>
      <c r="P2004" s="767"/>
    </row>
    <row r="2005" spans="2:17" ht="15.2" customHeight="1">
      <c r="B2005" s="768" t="s">
        <v>915</v>
      </c>
      <c r="C2005" s="769"/>
      <c r="D2005" s="84" t="s">
        <v>3298</v>
      </c>
      <c r="E2005" s="87">
        <v>1</v>
      </c>
      <c r="F2005" s="86" t="s">
        <v>971</v>
      </c>
      <c r="G2005" s="470"/>
      <c r="H2005" s="470">
        <f t="shared" si="535"/>
        <v>0</v>
      </c>
      <c r="I2005" s="470"/>
      <c r="J2005" s="470">
        <f t="shared" si="536"/>
        <v>0</v>
      </c>
      <c r="K2005" s="470"/>
      <c r="L2005" s="470">
        <f t="shared" si="537"/>
        <v>0</v>
      </c>
      <c r="M2005" s="470">
        <f t="shared" si="538"/>
        <v>0</v>
      </c>
      <c r="N2005" s="470">
        <f t="shared" si="539"/>
        <v>0</v>
      </c>
      <c r="O2005" s="459"/>
      <c r="P2005" s="767"/>
    </row>
    <row r="2006" spans="2:17" ht="15.2" customHeight="1">
      <c r="B2006" s="766" t="s">
        <v>855</v>
      </c>
      <c r="C2006" s="766"/>
      <c r="D2006" s="84"/>
      <c r="E2006" s="87"/>
      <c r="F2006" s="86"/>
      <c r="G2006" s="470"/>
      <c r="H2006" s="470">
        <f>SUM(H1995:H2005)</f>
        <v>179225</v>
      </c>
      <c r="I2006" s="470"/>
      <c r="J2006" s="470">
        <f>SUM(J1995:J2005)</f>
        <v>760593</v>
      </c>
      <c r="K2006" s="470"/>
      <c r="L2006" s="470">
        <f>SUM(L1995:L2005)</f>
        <v>13043</v>
      </c>
      <c r="M2006" s="470"/>
      <c r="N2006" s="470">
        <f>SUM(N1995:N2005)</f>
        <v>952861</v>
      </c>
      <c r="O2006" s="459"/>
      <c r="P2006" s="767"/>
      <c r="Q2006" s="80" t="s">
        <v>3244</v>
      </c>
    </row>
    <row r="2007" spans="2:17" ht="15.2" customHeight="1">
      <c r="B2007" s="96">
        <f>P2007</f>
        <v>348</v>
      </c>
      <c r="C2007" s="770" t="s">
        <v>2169</v>
      </c>
      <c r="D2007" s="770"/>
      <c r="E2007" s="770"/>
      <c r="F2007" s="771"/>
      <c r="G2007" s="470"/>
      <c r="H2007" s="470"/>
      <c r="I2007" s="470"/>
      <c r="J2007" s="470"/>
      <c r="K2007" s="470"/>
      <c r="L2007" s="470"/>
      <c r="M2007" s="470"/>
      <c r="N2007" s="470"/>
      <c r="O2007" s="459"/>
      <c r="P2007" s="767">
        <f>MAX($P$5:P2006)+1</f>
        <v>348</v>
      </c>
      <c r="Q2007" s="80" t="s">
        <v>3243</v>
      </c>
    </row>
    <row r="2008" spans="2:17" ht="15.2" customHeight="1">
      <c r="B2008" s="768" t="s">
        <v>150</v>
      </c>
      <c r="C2008" s="769"/>
      <c r="D2008" s="84" t="s">
        <v>793</v>
      </c>
      <c r="E2008" s="87">
        <v>1.1299999999999999</v>
      </c>
      <c r="F2008" s="86" t="s">
        <v>1168</v>
      </c>
      <c r="G2008" s="470">
        <f>$H$33</f>
        <v>64236</v>
      </c>
      <c r="H2008" s="470">
        <f t="shared" ref="H2008:H2018" si="540">TRUNC(E2008*G2008,0)</f>
        <v>72586</v>
      </c>
      <c r="I2008" s="470">
        <f>$J$33</f>
        <v>305706</v>
      </c>
      <c r="J2008" s="470">
        <f t="shared" ref="J2008:J2018" si="541">TRUNC(I2008*E2008,0)</f>
        <v>345447</v>
      </c>
      <c r="K2008" s="470">
        <f>$L$33</f>
        <v>8398</v>
      </c>
      <c r="L2008" s="470">
        <f t="shared" ref="L2008:L2018" si="542">TRUNC(K2008*E2008,0)</f>
        <v>9489</v>
      </c>
      <c r="M2008" s="470">
        <f t="shared" ref="M2008:M2018" si="543">G2008+I2008+K2008</f>
        <v>378340</v>
      </c>
      <c r="N2008" s="470">
        <f t="shared" ref="N2008:N2018" si="544">H2008+J2008+L2008</f>
        <v>427522</v>
      </c>
      <c r="O2008" s="462">
        <f>$P$27</f>
        <v>5</v>
      </c>
      <c r="P2008" s="767"/>
    </row>
    <row r="2009" spans="2:17" ht="15.2" customHeight="1">
      <c r="B2009" s="768" t="s">
        <v>449</v>
      </c>
      <c r="C2009" s="769"/>
      <c r="D2009" s="84" t="s">
        <v>2170</v>
      </c>
      <c r="E2009" s="87">
        <v>1</v>
      </c>
      <c r="F2009" s="86" t="s">
        <v>3612</v>
      </c>
      <c r="G2009" s="470">
        <f>$H$2156</f>
        <v>48000</v>
      </c>
      <c r="H2009" s="470">
        <f t="shared" si="540"/>
        <v>48000</v>
      </c>
      <c r="I2009" s="470">
        <f>$J$2156</f>
        <v>91075</v>
      </c>
      <c r="J2009" s="470">
        <f t="shared" si="541"/>
        <v>91075</v>
      </c>
      <c r="K2009" s="470">
        <f>$L$2156</f>
        <v>0</v>
      </c>
      <c r="L2009" s="470">
        <f t="shared" si="542"/>
        <v>0</v>
      </c>
      <c r="M2009" s="470">
        <f t="shared" si="543"/>
        <v>139075</v>
      </c>
      <c r="N2009" s="470">
        <f t="shared" si="544"/>
        <v>139075</v>
      </c>
      <c r="O2009" s="462">
        <f>$P$2151</f>
        <v>366</v>
      </c>
      <c r="P2009" s="767"/>
    </row>
    <row r="2010" spans="2:17" ht="15.2" customHeight="1">
      <c r="B2010" s="768" t="s">
        <v>2427</v>
      </c>
      <c r="C2010" s="769"/>
      <c r="D2010" s="84" t="s">
        <v>795</v>
      </c>
      <c r="E2010" s="88">
        <v>0.78500000000000003</v>
      </c>
      <c r="F2010" s="86" t="s">
        <v>1168</v>
      </c>
      <c r="G2010" s="470">
        <f>$H$54</f>
        <v>51922</v>
      </c>
      <c r="H2010" s="470">
        <f t="shared" si="540"/>
        <v>40758</v>
      </c>
      <c r="I2010" s="470">
        <f>$J$54</f>
        <v>305706</v>
      </c>
      <c r="J2010" s="470">
        <f t="shared" si="541"/>
        <v>239979</v>
      </c>
      <c r="K2010" s="470">
        <f>$L$54</f>
        <v>5486</v>
      </c>
      <c r="L2010" s="470">
        <f t="shared" si="542"/>
        <v>4306</v>
      </c>
      <c r="M2010" s="470">
        <f t="shared" si="543"/>
        <v>363114</v>
      </c>
      <c r="N2010" s="470">
        <f t="shared" si="544"/>
        <v>285043</v>
      </c>
      <c r="O2010" s="462">
        <f>$P$48</f>
        <v>8</v>
      </c>
      <c r="P2010" s="767"/>
    </row>
    <row r="2011" spans="2:17" ht="15.2" customHeight="1">
      <c r="B2011" s="768" t="s">
        <v>1792</v>
      </c>
      <c r="C2011" s="769"/>
      <c r="D2011" s="84" t="s">
        <v>793</v>
      </c>
      <c r="E2011" s="88">
        <v>0.39700000000000002</v>
      </c>
      <c r="F2011" s="86" t="s">
        <v>1168</v>
      </c>
      <c r="G2011" s="470">
        <f>$H$33</f>
        <v>64236</v>
      </c>
      <c r="H2011" s="470">
        <f t="shared" si="540"/>
        <v>25501</v>
      </c>
      <c r="I2011" s="470">
        <f>$J$33</f>
        <v>305706</v>
      </c>
      <c r="J2011" s="470">
        <f t="shared" si="541"/>
        <v>121365</v>
      </c>
      <c r="K2011" s="470">
        <f>$L$33</f>
        <v>8398</v>
      </c>
      <c r="L2011" s="470">
        <f t="shared" si="542"/>
        <v>3334</v>
      </c>
      <c r="M2011" s="470">
        <f t="shared" si="543"/>
        <v>378340</v>
      </c>
      <c r="N2011" s="470">
        <f t="shared" si="544"/>
        <v>150200</v>
      </c>
      <c r="O2011" s="462">
        <f>$P$27</f>
        <v>5</v>
      </c>
      <c r="P2011" s="767"/>
    </row>
    <row r="2012" spans="2:17" ht="15.2" customHeight="1">
      <c r="B2012" s="768" t="s">
        <v>796</v>
      </c>
      <c r="C2012" s="769"/>
      <c r="D2012" s="84" t="s">
        <v>2170</v>
      </c>
      <c r="E2012" s="87">
        <v>1</v>
      </c>
      <c r="F2012" s="86" t="s">
        <v>3612</v>
      </c>
      <c r="G2012" s="470">
        <f>$H$2174</f>
        <v>13000</v>
      </c>
      <c r="H2012" s="470">
        <f t="shared" si="540"/>
        <v>13000</v>
      </c>
      <c r="I2012" s="470">
        <f>$J$2174</f>
        <v>43634</v>
      </c>
      <c r="J2012" s="470">
        <f t="shared" si="541"/>
        <v>43634</v>
      </c>
      <c r="K2012" s="470">
        <f>$L$2174</f>
        <v>0</v>
      </c>
      <c r="L2012" s="470">
        <f t="shared" si="542"/>
        <v>0</v>
      </c>
      <c r="M2012" s="470">
        <f t="shared" si="543"/>
        <v>56634</v>
      </c>
      <c r="N2012" s="470">
        <f t="shared" si="544"/>
        <v>56634</v>
      </c>
      <c r="O2012" s="462">
        <f>$P$2169</f>
        <v>369</v>
      </c>
      <c r="P2012" s="767"/>
    </row>
    <row r="2013" spans="2:17" ht="15.2" customHeight="1">
      <c r="B2013" s="768" t="s">
        <v>1793</v>
      </c>
      <c r="C2013" s="769"/>
      <c r="D2013" s="84" t="s">
        <v>793</v>
      </c>
      <c r="E2013" s="87">
        <v>0.51</v>
      </c>
      <c r="F2013" s="86" t="s">
        <v>1168</v>
      </c>
      <c r="G2013" s="470">
        <f>$H$33</f>
        <v>64236</v>
      </c>
      <c r="H2013" s="470">
        <f t="shared" si="540"/>
        <v>32760</v>
      </c>
      <c r="I2013" s="470">
        <f>$J$33</f>
        <v>305706</v>
      </c>
      <c r="J2013" s="470">
        <f t="shared" si="541"/>
        <v>155910</v>
      </c>
      <c r="K2013" s="470">
        <f>$L$33</f>
        <v>8398</v>
      </c>
      <c r="L2013" s="470">
        <f t="shared" si="542"/>
        <v>4282</v>
      </c>
      <c r="M2013" s="470">
        <f t="shared" si="543"/>
        <v>378340</v>
      </c>
      <c r="N2013" s="470">
        <f t="shared" si="544"/>
        <v>192952</v>
      </c>
      <c r="O2013" s="462">
        <f>$P$27</f>
        <v>5</v>
      </c>
      <c r="P2013" s="767"/>
    </row>
    <row r="2014" spans="2:17" ht="15.2" customHeight="1">
      <c r="B2014" s="768" t="s">
        <v>1794</v>
      </c>
      <c r="C2014" s="769"/>
      <c r="D2014" s="84" t="s">
        <v>793</v>
      </c>
      <c r="E2014" s="88">
        <v>0.156</v>
      </c>
      <c r="F2014" s="86" t="s">
        <v>1168</v>
      </c>
      <c r="G2014" s="470">
        <f>$H$33</f>
        <v>64236</v>
      </c>
      <c r="H2014" s="470">
        <f t="shared" si="540"/>
        <v>10020</v>
      </c>
      <c r="I2014" s="470">
        <f>$J$33</f>
        <v>305706</v>
      </c>
      <c r="J2014" s="470">
        <f t="shared" si="541"/>
        <v>47690</v>
      </c>
      <c r="K2014" s="470">
        <f>$L$33</f>
        <v>8398</v>
      </c>
      <c r="L2014" s="470">
        <f t="shared" si="542"/>
        <v>1310</v>
      </c>
      <c r="M2014" s="470">
        <f t="shared" si="543"/>
        <v>378340</v>
      </c>
      <c r="N2014" s="470">
        <f t="shared" si="544"/>
        <v>59020</v>
      </c>
      <c r="O2014" s="462">
        <f>$P$27</f>
        <v>5</v>
      </c>
      <c r="P2014" s="767"/>
    </row>
    <row r="2015" spans="2:17" ht="15.2" customHeight="1">
      <c r="B2015" s="768" t="s">
        <v>2167</v>
      </c>
      <c r="C2015" s="769"/>
      <c r="D2015" s="84" t="s">
        <v>1795</v>
      </c>
      <c r="E2015" s="87">
        <v>0.76</v>
      </c>
      <c r="F2015" s="86" t="s">
        <v>1168</v>
      </c>
      <c r="G2015" s="470">
        <f>$H$2185</f>
        <v>23000</v>
      </c>
      <c r="H2015" s="470">
        <f t="shared" si="540"/>
        <v>17480</v>
      </c>
      <c r="I2015" s="470">
        <f>$J$2185</f>
        <v>57751</v>
      </c>
      <c r="J2015" s="470">
        <f t="shared" si="541"/>
        <v>43890</v>
      </c>
      <c r="K2015" s="470">
        <f>$L$2185</f>
        <v>0</v>
      </c>
      <c r="L2015" s="470">
        <f t="shared" si="542"/>
        <v>0</v>
      </c>
      <c r="M2015" s="470">
        <f t="shared" si="543"/>
        <v>80751</v>
      </c>
      <c r="N2015" s="470">
        <f t="shared" si="544"/>
        <v>61370</v>
      </c>
      <c r="O2015" s="462">
        <f>$P$2181</f>
        <v>371</v>
      </c>
      <c r="P2015" s="767"/>
    </row>
    <row r="2016" spans="2:17" ht="15.2" customHeight="1">
      <c r="B2016" s="768" t="s">
        <v>2168</v>
      </c>
      <c r="C2016" s="769"/>
      <c r="D2016" s="84" t="s">
        <v>3313</v>
      </c>
      <c r="E2016" s="95">
        <v>7.8659999999999994E-2</v>
      </c>
      <c r="F2016" s="86" t="s">
        <v>1193</v>
      </c>
      <c r="G2016" s="470">
        <f>$H$63</f>
        <v>574055</v>
      </c>
      <c r="H2016" s="470">
        <f t="shared" si="540"/>
        <v>45155</v>
      </c>
      <c r="I2016" s="470">
        <f>$J$63</f>
        <v>501784</v>
      </c>
      <c r="J2016" s="470">
        <f t="shared" si="541"/>
        <v>39470</v>
      </c>
      <c r="K2016" s="470">
        <f>$L$63</f>
        <v>0</v>
      </c>
      <c r="L2016" s="470">
        <f t="shared" si="542"/>
        <v>0</v>
      </c>
      <c r="M2016" s="470">
        <f t="shared" si="543"/>
        <v>1075839</v>
      </c>
      <c r="N2016" s="470">
        <f t="shared" si="544"/>
        <v>84625</v>
      </c>
      <c r="O2016" s="462">
        <f>$P$55</f>
        <v>9</v>
      </c>
      <c r="P2016" s="767"/>
    </row>
    <row r="2017" spans="2:17" ht="15.2" customHeight="1">
      <c r="B2017" s="768" t="s">
        <v>1162</v>
      </c>
      <c r="C2017" s="769"/>
      <c r="D2017" s="84"/>
      <c r="E2017" s="87">
        <v>1</v>
      </c>
      <c r="F2017" s="86" t="s">
        <v>1163</v>
      </c>
      <c r="G2017" s="470"/>
      <c r="H2017" s="470">
        <f t="shared" si="540"/>
        <v>0</v>
      </c>
      <c r="I2017" s="470">
        <f>SUMIF('노임(2015)'!$B$4:$B$87,B2017,'노임(2015)'!$C$4:$C$87)+SUMIF('노임(2015)'!$E$4:$E$87,B2017,'노임(2015)'!$F$4:$F$87)</f>
        <v>89566</v>
      </c>
      <c r="J2017" s="470">
        <f t="shared" si="541"/>
        <v>89566</v>
      </c>
      <c r="K2017" s="470"/>
      <c r="L2017" s="470">
        <f t="shared" si="542"/>
        <v>0</v>
      </c>
      <c r="M2017" s="470">
        <f t="shared" si="543"/>
        <v>89566</v>
      </c>
      <c r="N2017" s="470">
        <f t="shared" si="544"/>
        <v>89566</v>
      </c>
      <c r="O2017" s="459"/>
      <c r="P2017" s="767"/>
    </row>
    <row r="2018" spans="2:17" ht="15.2" customHeight="1">
      <c r="B2018" s="768" t="s">
        <v>915</v>
      </c>
      <c r="C2018" s="769"/>
      <c r="D2018" s="84" t="s">
        <v>3298</v>
      </c>
      <c r="E2018" s="87">
        <v>1</v>
      </c>
      <c r="F2018" s="86" t="s">
        <v>971</v>
      </c>
      <c r="G2018" s="470"/>
      <c r="H2018" s="470">
        <f t="shared" si="540"/>
        <v>0</v>
      </c>
      <c r="I2018" s="470"/>
      <c r="J2018" s="470">
        <f t="shared" si="541"/>
        <v>0</v>
      </c>
      <c r="K2018" s="470"/>
      <c r="L2018" s="470">
        <f t="shared" si="542"/>
        <v>0</v>
      </c>
      <c r="M2018" s="470">
        <f t="shared" si="543"/>
        <v>0</v>
      </c>
      <c r="N2018" s="470">
        <f t="shared" si="544"/>
        <v>0</v>
      </c>
      <c r="O2018" s="459"/>
      <c r="P2018" s="767"/>
    </row>
    <row r="2019" spans="2:17" ht="15.2" customHeight="1">
      <c r="B2019" s="766" t="s">
        <v>855</v>
      </c>
      <c r="C2019" s="766"/>
      <c r="D2019" s="84"/>
      <c r="E2019" s="87"/>
      <c r="F2019" s="86"/>
      <c r="G2019" s="470"/>
      <c r="H2019" s="470">
        <f>SUM(H2008:H2018)</f>
        <v>305260</v>
      </c>
      <c r="I2019" s="470"/>
      <c r="J2019" s="470">
        <f>SUM(J2008:J2018)</f>
        <v>1218026</v>
      </c>
      <c r="K2019" s="470"/>
      <c r="L2019" s="470">
        <f>SUM(L2008:L2018)</f>
        <v>22721</v>
      </c>
      <c r="M2019" s="470"/>
      <c r="N2019" s="470">
        <f>SUM(N2008:N2018)</f>
        <v>1546007</v>
      </c>
      <c r="O2019" s="459"/>
      <c r="P2019" s="767"/>
      <c r="Q2019" s="80" t="s">
        <v>3244</v>
      </c>
    </row>
    <row r="2020" spans="2:17" ht="15.2" customHeight="1">
      <c r="B2020" s="96">
        <f>P2020</f>
        <v>349</v>
      </c>
      <c r="C2020" s="770" t="s">
        <v>2171</v>
      </c>
      <c r="D2020" s="770"/>
      <c r="E2020" s="770"/>
      <c r="F2020" s="771"/>
      <c r="G2020" s="470"/>
      <c r="H2020" s="470"/>
      <c r="I2020" s="470"/>
      <c r="J2020" s="470"/>
      <c r="K2020" s="470"/>
      <c r="L2020" s="470"/>
      <c r="M2020" s="470"/>
      <c r="N2020" s="470"/>
      <c r="O2020" s="459"/>
      <c r="P2020" s="767">
        <f>MAX($P$5:P2019)+1</f>
        <v>349</v>
      </c>
      <c r="Q2020" s="80" t="s">
        <v>3243</v>
      </c>
    </row>
    <row r="2021" spans="2:17" ht="15.2" customHeight="1">
      <c r="B2021" s="768" t="s">
        <v>150</v>
      </c>
      <c r="C2021" s="769"/>
      <c r="D2021" s="84" t="s">
        <v>793</v>
      </c>
      <c r="E2021" s="87">
        <v>1.37</v>
      </c>
      <c r="F2021" s="86" t="s">
        <v>1168</v>
      </c>
      <c r="G2021" s="470">
        <f>$H$33</f>
        <v>64236</v>
      </c>
      <c r="H2021" s="470">
        <f t="shared" ref="H2021:H2031" si="545">TRUNC(E2021*G2021,0)</f>
        <v>88003</v>
      </c>
      <c r="I2021" s="470">
        <f>$J$33</f>
        <v>305706</v>
      </c>
      <c r="J2021" s="470">
        <f t="shared" ref="J2021:J2031" si="546">TRUNC(I2021*E2021,0)</f>
        <v>418817</v>
      </c>
      <c r="K2021" s="470">
        <f>$L$33</f>
        <v>8398</v>
      </c>
      <c r="L2021" s="470">
        <f t="shared" ref="L2021:L2031" si="547">TRUNC(K2021*E2021,0)</f>
        <v>11505</v>
      </c>
      <c r="M2021" s="470">
        <f t="shared" ref="M2021:M2031" si="548">G2021+I2021+K2021</f>
        <v>378340</v>
      </c>
      <c r="N2021" s="470">
        <f t="shared" ref="N2021:N2031" si="549">H2021+J2021+L2021</f>
        <v>518325</v>
      </c>
      <c r="O2021" s="462">
        <f>$P$27</f>
        <v>5</v>
      </c>
      <c r="P2021" s="767"/>
    </row>
    <row r="2022" spans="2:17" ht="15.2" customHeight="1">
      <c r="B2022" s="768" t="s">
        <v>449</v>
      </c>
      <c r="C2022" s="769"/>
      <c r="D2022" s="84" t="s">
        <v>2172</v>
      </c>
      <c r="E2022" s="87">
        <v>1</v>
      </c>
      <c r="F2022" s="86" t="s">
        <v>3612</v>
      </c>
      <c r="G2022" s="470">
        <f>$H$2162</f>
        <v>59000</v>
      </c>
      <c r="H2022" s="470">
        <f t="shared" si="545"/>
        <v>59000</v>
      </c>
      <c r="I2022" s="470">
        <f>$J$2162</f>
        <v>113007</v>
      </c>
      <c r="J2022" s="470">
        <f t="shared" si="546"/>
        <v>113007</v>
      </c>
      <c r="K2022" s="470">
        <f>$L$2162</f>
        <v>0</v>
      </c>
      <c r="L2022" s="470">
        <f t="shared" si="547"/>
        <v>0</v>
      </c>
      <c r="M2022" s="470">
        <f t="shared" si="548"/>
        <v>172007</v>
      </c>
      <c r="N2022" s="470">
        <f t="shared" si="549"/>
        <v>172007</v>
      </c>
      <c r="O2022" s="462">
        <f>$P$2157</f>
        <v>367</v>
      </c>
      <c r="P2022" s="767"/>
    </row>
    <row r="2023" spans="2:17" ht="15.2" customHeight="1">
      <c r="B2023" s="768" t="s">
        <v>2427</v>
      </c>
      <c r="C2023" s="769"/>
      <c r="D2023" s="84" t="s">
        <v>795</v>
      </c>
      <c r="E2023" s="88">
        <v>1.038</v>
      </c>
      <c r="F2023" s="86" t="s">
        <v>1168</v>
      </c>
      <c r="G2023" s="470">
        <f>$H$54</f>
        <v>51922</v>
      </c>
      <c r="H2023" s="470">
        <f t="shared" si="545"/>
        <v>53895</v>
      </c>
      <c r="I2023" s="470">
        <f>$J$54</f>
        <v>305706</v>
      </c>
      <c r="J2023" s="470">
        <f t="shared" si="546"/>
        <v>317322</v>
      </c>
      <c r="K2023" s="470">
        <f>$L$54</f>
        <v>5486</v>
      </c>
      <c r="L2023" s="470">
        <f t="shared" si="547"/>
        <v>5694</v>
      </c>
      <c r="M2023" s="470">
        <f t="shared" si="548"/>
        <v>363114</v>
      </c>
      <c r="N2023" s="470">
        <f t="shared" si="549"/>
        <v>376911</v>
      </c>
      <c r="O2023" s="462">
        <f>$P$48</f>
        <v>8</v>
      </c>
      <c r="P2023" s="767"/>
    </row>
    <row r="2024" spans="2:17" ht="15.2" customHeight="1">
      <c r="B2024" s="768" t="s">
        <v>1792</v>
      </c>
      <c r="C2024" s="769"/>
      <c r="D2024" s="84" t="s">
        <v>793</v>
      </c>
      <c r="E2024" s="88">
        <v>0.57099999999999995</v>
      </c>
      <c r="F2024" s="86" t="s">
        <v>1168</v>
      </c>
      <c r="G2024" s="470">
        <f>$H$33</f>
        <v>64236</v>
      </c>
      <c r="H2024" s="470">
        <f t="shared" si="545"/>
        <v>36678</v>
      </c>
      <c r="I2024" s="470">
        <f>$J$33</f>
        <v>305706</v>
      </c>
      <c r="J2024" s="470">
        <f t="shared" si="546"/>
        <v>174558</v>
      </c>
      <c r="K2024" s="470">
        <f>$L$33</f>
        <v>8398</v>
      </c>
      <c r="L2024" s="470">
        <f t="shared" si="547"/>
        <v>4795</v>
      </c>
      <c r="M2024" s="470">
        <f t="shared" si="548"/>
        <v>378340</v>
      </c>
      <c r="N2024" s="470">
        <f t="shared" si="549"/>
        <v>216031</v>
      </c>
      <c r="O2024" s="462">
        <f>$P$27</f>
        <v>5</v>
      </c>
      <c r="P2024" s="767"/>
    </row>
    <row r="2025" spans="2:17" ht="15.2" customHeight="1">
      <c r="B2025" s="768" t="s">
        <v>796</v>
      </c>
      <c r="C2025" s="769"/>
      <c r="D2025" s="84" t="s">
        <v>2172</v>
      </c>
      <c r="E2025" s="87">
        <v>1</v>
      </c>
      <c r="F2025" s="86" t="s">
        <v>3612</v>
      </c>
      <c r="G2025" s="470">
        <f>$H$2180</f>
        <v>16000</v>
      </c>
      <c r="H2025" s="470">
        <f t="shared" si="545"/>
        <v>16000</v>
      </c>
      <c r="I2025" s="470">
        <f>$J$2180</f>
        <v>54827</v>
      </c>
      <c r="J2025" s="470">
        <f t="shared" si="546"/>
        <v>54827</v>
      </c>
      <c r="K2025" s="470">
        <f>$L$2180</f>
        <v>0</v>
      </c>
      <c r="L2025" s="470">
        <f t="shared" si="547"/>
        <v>0</v>
      </c>
      <c r="M2025" s="470">
        <f t="shared" si="548"/>
        <v>70827</v>
      </c>
      <c r="N2025" s="470">
        <f t="shared" si="549"/>
        <v>70827</v>
      </c>
      <c r="O2025" s="462">
        <f>$P$2175</f>
        <v>370</v>
      </c>
      <c r="P2025" s="767"/>
    </row>
    <row r="2026" spans="2:17" ht="15.2" customHeight="1">
      <c r="B2026" s="768" t="s">
        <v>1793</v>
      </c>
      <c r="C2026" s="769"/>
      <c r="D2026" s="84" t="s">
        <v>793</v>
      </c>
      <c r="E2026" s="87">
        <v>0.97</v>
      </c>
      <c r="F2026" s="86" t="s">
        <v>1168</v>
      </c>
      <c r="G2026" s="470">
        <f>$H$33</f>
        <v>64236</v>
      </c>
      <c r="H2026" s="470">
        <f t="shared" si="545"/>
        <v>62308</v>
      </c>
      <c r="I2026" s="470">
        <f>$J$33</f>
        <v>305706</v>
      </c>
      <c r="J2026" s="470">
        <f t="shared" si="546"/>
        <v>296534</v>
      </c>
      <c r="K2026" s="470">
        <f>$L$33</f>
        <v>8398</v>
      </c>
      <c r="L2026" s="470">
        <f t="shared" si="547"/>
        <v>8146</v>
      </c>
      <c r="M2026" s="470">
        <f t="shared" si="548"/>
        <v>378340</v>
      </c>
      <c r="N2026" s="470">
        <f t="shared" si="549"/>
        <v>366988</v>
      </c>
      <c r="O2026" s="462">
        <f>$P$27</f>
        <v>5</v>
      </c>
      <c r="P2026" s="767"/>
    </row>
    <row r="2027" spans="2:17" ht="15.2" customHeight="1">
      <c r="B2027" s="768" t="s">
        <v>1794</v>
      </c>
      <c r="C2027" s="769"/>
      <c r="D2027" s="84" t="s">
        <v>793</v>
      </c>
      <c r="E2027" s="88">
        <v>0.156</v>
      </c>
      <c r="F2027" s="86" t="s">
        <v>1168</v>
      </c>
      <c r="G2027" s="470">
        <f>$H$33</f>
        <v>64236</v>
      </c>
      <c r="H2027" s="470">
        <f t="shared" si="545"/>
        <v>10020</v>
      </c>
      <c r="I2027" s="470">
        <f>$J$33</f>
        <v>305706</v>
      </c>
      <c r="J2027" s="470">
        <f t="shared" si="546"/>
        <v>47690</v>
      </c>
      <c r="K2027" s="470">
        <f>$L$33</f>
        <v>8398</v>
      </c>
      <c r="L2027" s="470">
        <f t="shared" si="547"/>
        <v>1310</v>
      </c>
      <c r="M2027" s="470">
        <f t="shared" si="548"/>
        <v>378340</v>
      </c>
      <c r="N2027" s="470">
        <f t="shared" si="549"/>
        <v>59020</v>
      </c>
      <c r="O2027" s="462">
        <f>$P$27</f>
        <v>5</v>
      </c>
      <c r="P2027" s="767"/>
    </row>
    <row r="2028" spans="2:17" ht="15.2" customHeight="1">
      <c r="B2028" s="768" t="s">
        <v>2167</v>
      </c>
      <c r="C2028" s="769"/>
      <c r="D2028" s="84" t="s">
        <v>1795</v>
      </c>
      <c r="E2028" s="87">
        <v>0.91</v>
      </c>
      <c r="F2028" s="86" t="s">
        <v>1168</v>
      </c>
      <c r="G2028" s="470">
        <f>$H$2185</f>
        <v>23000</v>
      </c>
      <c r="H2028" s="470">
        <f t="shared" si="545"/>
        <v>20930</v>
      </c>
      <c r="I2028" s="470">
        <f>$J$2185</f>
        <v>57751</v>
      </c>
      <c r="J2028" s="470">
        <f t="shared" si="546"/>
        <v>52553</v>
      </c>
      <c r="K2028" s="470">
        <f>$L$2185</f>
        <v>0</v>
      </c>
      <c r="L2028" s="470">
        <f t="shared" si="547"/>
        <v>0</v>
      </c>
      <c r="M2028" s="470">
        <f t="shared" si="548"/>
        <v>80751</v>
      </c>
      <c r="N2028" s="470">
        <f t="shared" si="549"/>
        <v>73483</v>
      </c>
      <c r="O2028" s="462">
        <f>$P$2181</f>
        <v>371</v>
      </c>
      <c r="P2028" s="767"/>
    </row>
    <row r="2029" spans="2:17" ht="15.2" customHeight="1">
      <c r="B2029" s="768" t="s">
        <v>2168</v>
      </c>
      <c r="C2029" s="769"/>
      <c r="D2029" s="84" t="s">
        <v>3313</v>
      </c>
      <c r="E2029" s="97">
        <v>0.12839999999999999</v>
      </c>
      <c r="F2029" s="86" t="s">
        <v>1193</v>
      </c>
      <c r="G2029" s="470">
        <f>$H$63</f>
        <v>574055</v>
      </c>
      <c r="H2029" s="470">
        <f t="shared" si="545"/>
        <v>73708</v>
      </c>
      <c r="I2029" s="470">
        <f>$J$63</f>
        <v>501784</v>
      </c>
      <c r="J2029" s="470">
        <f t="shared" si="546"/>
        <v>64429</v>
      </c>
      <c r="K2029" s="470">
        <f>$L$63</f>
        <v>0</v>
      </c>
      <c r="L2029" s="470">
        <f t="shared" si="547"/>
        <v>0</v>
      </c>
      <c r="M2029" s="470">
        <f t="shared" si="548"/>
        <v>1075839</v>
      </c>
      <c r="N2029" s="470">
        <f t="shared" si="549"/>
        <v>138137</v>
      </c>
      <c r="O2029" s="462">
        <f>$P$55</f>
        <v>9</v>
      </c>
      <c r="P2029" s="767"/>
    </row>
    <row r="2030" spans="2:17" ht="15.2" customHeight="1">
      <c r="B2030" s="768" t="s">
        <v>1162</v>
      </c>
      <c r="C2030" s="769"/>
      <c r="D2030" s="84"/>
      <c r="E2030" s="87">
        <v>1</v>
      </c>
      <c r="F2030" s="86" t="s">
        <v>1163</v>
      </c>
      <c r="G2030" s="470"/>
      <c r="H2030" s="470">
        <f t="shared" si="545"/>
        <v>0</v>
      </c>
      <c r="I2030" s="470">
        <f>SUMIF('노임(2015)'!$B$4:$B$87,B2030,'노임(2015)'!$C$4:$C$87)+SUMIF('노임(2015)'!$E$4:$E$87,B2030,'노임(2015)'!$F$4:$F$87)</f>
        <v>89566</v>
      </c>
      <c r="J2030" s="470">
        <f t="shared" si="546"/>
        <v>89566</v>
      </c>
      <c r="K2030" s="470"/>
      <c r="L2030" s="470">
        <f t="shared" si="547"/>
        <v>0</v>
      </c>
      <c r="M2030" s="470">
        <f t="shared" si="548"/>
        <v>89566</v>
      </c>
      <c r="N2030" s="470">
        <f t="shared" si="549"/>
        <v>89566</v>
      </c>
      <c r="O2030" s="459"/>
      <c r="P2030" s="767"/>
    </row>
    <row r="2031" spans="2:17" ht="15.2" customHeight="1">
      <c r="B2031" s="768" t="s">
        <v>915</v>
      </c>
      <c r="C2031" s="769"/>
      <c r="D2031" s="84" t="s">
        <v>3298</v>
      </c>
      <c r="E2031" s="87">
        <v>1</v>
      </c>
      <c r="F2031" s="86" t="s">
        <v>971</v>
      </c>
      <c r="G2031" s="470"/>
      <c r="H2031" s="470">
        <f t="shared" si="545"/>
        <v>0</v>
      </c>
      <c r="I2031" s="470"/>
      <c r="J2031" s="470">
        <f t="shared" si="546"/>
        <v>0</v>
      </c>
      <c r="K2031" s="470"/>
      <c r="L2031" s="470">
        <f t="shared" si="547"/>
        <v>0</v>
      </c>
      <c r="M2031" s="470">
        <f t="shared" si="548"/>
        <v>0</v>
      </c>
      <c r="N2031" s="470">
        <f t="shared" si="549"/>
        <v>0</v>
      </c>
      <c r="O2031" s="459"/>
      <c r="P2031" s="767"/>
    </row>
    <row r="2032" spans="2:17" ht="15.2" customHeight="1">
      <c r="B2032" s="766" t="s">
        <v>855</v>
      </c>
      <c r="C2032" s="766"/>
      <c r="D2032" s="84"/>
      <c r="E2032" s="87"/>
      <c r="F2032" s="86"/>
      <c r="G2032" s="470"/>
      <c r="H2032" s="470">
        <f>SUM(H2021:H2031)</f>
        <v>420542</v>
      </c>
      <c r="I2032" s="470"/>
      <c r="J2032" s="470">
        <f>SUM(J2021:J2031)</f>
        <v>1629303</v>
      </c>
      <c r="K2032" s="470"/>
      <c r="L2032" s="470">
        <f>SUM(L2021:L2031)</f>
        <v>31450</v>
      </c>
      <c r="M2032" s="470"/>
      <c r="N2032" s="470">
        <f>SUM(N2021:N2031)</f>
        <v>2081295</v>
      </c>
      <c r="O2032" s="459"/>
      <c r="P2032" s="767"/>
      <c r="Q2032" s="80" t="s">
        <v>3244</v>
      </c>
    </row>
    <row r="2033" spans="2:17" ht="15.2" customHeight="1">
      <c r="B2033" s="96">
        <f>P2033</f>
        <v>350</v>
      </c>
      <c r="C2033" s="770" t="s">
        <v>2173</v>
      </c>
      <c r="D2033" s="770"/>
      <c r="E2033" s="770"/>
      <c r="F2033" s="771"/>
      <c r="G2033" s="470"/>
      <c r="H2033" s="470"/>
      <c r="I2033" s="470"/>
      <c r="J2033" s="470"/>
      <c r="K2033" s="470"/>
      <c r="L2033" s="470"/>
      <c r="M2033" s="470"/>
      <c r="N2033" s="470"/>
      <c r="O2033" s="459"/>
      <c r="P2033" s="767">
        <f>MAX($P$5:P2032)+1</f>
        <v>350</v>
      </c>
      <c r="Q2033" s="80" t="s">
        <v>3243</v>
      </c>
    </row>
    <row r="2034" spans="2:17" ht="15.2" customHeight="1">
      <c r="B2034" s="768" t="s">
        <v>150</v>
      </c>
      <c r="C2034" s="769"/>
      <c r="D2034" s="84" t="s">
        <v>793</v>
      </c>
      <c r="E2034" s="87">
        <v>0.69</v>
      </c>
      <c r="F2034" s="86" t="s">
        <v>1168</v>
      </c>
      <c r="G2034" s="470">
        <f>$H$33</f>
        <v>64236</v>
      </c>
      <c r="H2034" s="470">
        <f t="shared" ref="H2034:H2045" si="550">TRUNC(E2034*G2034,0)</f>
        <v>44322</v>
      </c>
      <c r="I2034" s="470">
        <f>$J$33</f>
        <v>305706</v>
      </c>
      <c r="J2034" s="470">
        <f t="shared" ref="J2034:J2045" si="551">TRUNC(I2034*E2034,0)</f>
        <v>210937</v>
      </c>
      <c r="K2034" s="470">
        <f>$L$33</f>
        <v>8398</v>
      </c>
      <c r="L2034" s="470">
        <f t="shared" ref="L2034:L2045" si="552">TRUNC(K2034*E2034,0)</f>
        <v>5794</v>
      </c>
      <c r="M2034" s="470">
        <f t="shared" ref="M2034:M2045" si="553">G2034+I2034+K2034</f>
        <v>378340</v>
      </c>
      <c r="N2034" s="470">
        <f t="shared" ref="N2034:N2045" si="554">H2034+J2034+L2034</f>
        <v>261053</v>
      </c>
      <c r="O2034" s="462">
        <f>$P$27</f>
        <v>5</v>
      </c>
      <c r="P2034" s="767"/>
    </row>
    <row r="2035" spans="2:17" ht="15.2" customHeight="1">
      <c r="B2035" s="768" t="s">
        <v>151</v>
      </c>
      <c r="C2035" s="769"/>
      <c r="D2035" s="84" t="s">
        <v>2174</v>
      </c>
      <c r="E2035" s="88">
        <v>6.9080000000000004</v>
      </c>
      <c r="F2035" s="86" t="s">
        <v>3312</v>
      </c>
      <c r="G2035" s="470">
        <f>$H$1544</f>
        <v>18027</v>
      </c>
      <c r="H2035" s="470">
        <f t="shared" si="550"/>
        <v>124530</v>
      </c>
      <c r="I2035" s="470">
        <f>$J$1544</f>
        <v>54033</v>
      </c>
      <c r="J2035" s="470">
        <f t="shared" si="551"/>
        <v>373259</v>
      </c>
      <c r="K2035" s="470">
        <f>$L$1544</f>
        <v>0</v>
      </c>
      <c r="L2035" s="470">
        <f t="shared" si="552"/>
        <v>0</v>
      </c>
      <c r="M2035" s="470">
        <f t="shared" si="553"/>
        <v>72060</v>
      </c>
      <c r="N2035" s="470">
        <f t="shared" si="554"/>
        <v>497789</v>
      </c>
      <c r="O2035" s="462">
        <f>$P$1540</f>
        <v>289</v>
      </c>
      <c r="P2035" s="767"/>
    </row>
    <row r="2036" spans="2:17" ht="15.2" customHeight="1">
      <c r="B2036" s="768" t="s">
        <v>2427</v>
      </c>
      <c r="C2036" s="769"/>
      <c r="D2036" s="84" t="s">
        <v>795</v>
      </c>
      <c r="E2036" s="87">
        <v>0.4</v>
      </c>
      <c r="F2036" s="86" t="s">
        <v>1168</v>
      </c>
      <c r="G2036" s="470">
        <f>$H$54</f>
        <v>51922</v>
      </c>
      <c r="H2036" s="470">
        <f t="shared" si="550"/>
        <v>20768</v>
      </c>
      <c r="I2036" s="470">
        <f>$J$54</f>
        <v>305706</v>
      </c>
      <c r="J2036" s="470">
        <f t="shared" si="551"/>
        <v>122282</v>
      </c>
      <c r="K2036" s="470">
        <f>$L$54</f>
        <v>5486</v>
      </c>
      <c r="L2036" s="470">
        <f t="shared" si="552"/>
        <v>2194</v>
      </c>
      <c r="M2036" s="470">
        <f t="shared" si="553"/>
        <v>363114</v>
      </c>
      <c r="N2036" s="470">
        <f t="shared" si="554"/>
        <v>145244</v>
      </c>
      <c r="O2036" s="462">
        <f>$P$48</f>
        <v>8</v>
      </c>
      <c r="P2036" s="767"/>
    </row>
    <row r="2037" spans="2:17" ht="15.2" customHeight="1">
      <c r="B2037" s="768" t="s">
        <v>1792</v>
      </c>
      <c r="C2037" s="769"/>
      <c r="D2037" s="84" t="s">
        <v>793</v>
      </c>
      <c r="E2037" s="88">
        <v>0.156</v>
      </c>
      <c r="F2037" s="86" t="s">
        <v>1168</v>
      </c>
      <c r="G2037" s="470">
        <f>$H$33</f>
        <v>64236</v>
      </c>
      <c r="H2037" s="470">
        <f t="shared" si="550"/>
        <v>10020</v>
      </c>
      <c r="I2037" s="470">
        <f>$J$33</f>
        <v>305706</v>
      </c>
      <c r="J2037" s="470">
        <f t="shared" si="551"/>
        <v>47690</v>
      </c>
      <c r="K2037" s="470">
        <f>$L$33</f>
        <v>8398</v>
      </c>
      <c r="L2037" s="470">
        <f t="shared" si="552"/>
        <v>1310</v>
      </c>
      <c r="M2037" s="470">
        <f t="shared" si="553"/>
        <v>378340</v>
      </c>
      <c r="N2037" s="470">
        <f t="shared" si="554"/>
        <v>59020</v>
      </c>
      <c r="O2037" s="462">
        <f>$P$27</f>
        <v>5</v>
      </c>
      <c r="P2037" s="767"/>
    </row>
    <row r="2038" spans="2:17" ht="15.2" customHeight="1">
      <c r="B2038" s="768" t="s">
        <v>2175</v>
      </c>
      <c r="C2038" s="769"/>
      <c r="D2038" s="84" t="s">
        <v>2176</v>
      </c>
      <c r="E2038" s="87">
        <v>1</v>
      </c>
      <c r="F2038" s="86" t="s">
        <v>1352</v>
      </c>
      <c r="G2038" s="470">
        <f>$H$192</f>
        <v>6841</v>
      </c>
      <c r="H2038" s="470">
        <f t="shared" si="550"/>
        <v>6841</v>
      </c>
      <c r="I2038" s="470">
        <f>$J$192</f>
        <v>17992</v>
      </c>
      <c r="J2038" s="470">
        <f t="shared" si="551"/>
        <v>17992</v>
      </c>
      <c r="K2038" s="470">
        <f>$L$192</f>
        <v>0</v>
      </c>
      <c r="L2038" s="470">
        <f t="shared" si="552"/>
        <v>0</v>
      </c>
      <c r="M2038" s="470">
        <f t="shared" si="553"/>
        <v>24833</v>
      </c>
      <c r="N2038" s="470">
        <f t="shared" si="554"/>
        <v>24833</v>
      </c>
      <c r="O2038" s="462">
        <f>$P$188</f>
        <v>28</v>
      </c>
      <c r="P2038" s="767"/>
    </row>
    <row r="2039" spans="2:17" ht="15.2" customHeight="1">
      <c r="B2039" s="768" t="s">
        <v>152</v>
      </c>
      <c r="C2039" s="769"/>
      <c r="D2039" s="84" t="s">
        <v>2177</v>
      </c>
      <c r="E2039" s="88">
        <v>2.2759999999999998</v>
      </c>
      <c r="F2039" s="86" t="s">
        <v>1352</v>
      </c>
      <c r="G2039" s="470">
        <f>$H$162</f>
        <v>9089</v>
      </c>
      <c r="H2039" s="470">
        <f t="shared" si="550"/>
        <v>20686</v>
      </c>
      <c r="I2039" s="470">
        <f>$J$162</f>
        <v>26482</v>
      </c>
      <c r="J2039" s="470">
        <f t="shared" si="551"/>
        <v>60273</v>
      </c>
      <c r="K2039" s="470">
        <f>$L$162</f>
        <v>0</v>
      </c>
      <c r="L2039" s="470">
        <f t="shared" si="552"/>
        <v>0</v>
      </c>
      <c r="M2039" s="470">
        <f>G2039+I2039+K2039</f>
        <v>35571</v>
      </c>
      <c r="N2039" s="470">
        <f>H2039+J2039+L2039</f>
        <v>80959</v>
      </c>
      <c r="O2039" s="462">
        <f>$P$158</f>
        <v>22</v>
      </c>
      <c r="P2039" s="767"/>
    </row>
    <row r="2040" spans="2:17" ht="15.2" customHeight="1">
      <c r="B2040" s="768" t="s">
        <v>1793</v>
      </c>
      <c r="C2040" s="769"/>
      <c r="D2040" s="84" t="s">
        <v>793</v>
      </c>
      <c r="E2040" s="87">
        <v>0.28999999999999998</v>
      </c>
      <c r="F2040" s="86" t="s">
        <v>1168</v>
      </c>
      <c r="G2040" s="470">
        <f>$H$33</f>
        <v>64236</v>
      </c>
      <c r="H2040" s="470">
        <f t="shared" si="550"/>
        <v>18628</v>
      </c>
      <c r="I2040" s="470">
        <f>$J$33</f>
        <v>305706</v>
      </c>
      <c r="J2040" s="470">
        <f t="shared" si="551"/>
        <v>88654</v>
      </c>
      <c r="K2040" s="470">
        <f>$L$33</f>
        <v>8398</v>
      </c>
      <c r="L2040" s="470">
        <f t="shared" si="552"/>
        <v>2435</v>
      </c>
      <c r="M2040" s="470">
        <f t="shared" si="553"/>
        <v>378340</v>
      </c>
      <c r="N2040" s="470">
        <f t="shared" si="554"/>
        <v>109717</v>
      </c>
      <c r="O2040" s="462">
        <f>$P$27</f>
        <v>5</v>
      </c>
      <c r="P2040" s="767"/>
    </row>
    <row r="2041" spans="2:17" ht="15.2" customHeight="1">
      <c r="B2041" s="768" t="s">
        <v>1794</v>
      </c>
      <c r="C2041" s="769"/>
      <c r="D2041" s="84" t="s">
        <v>793</v>
      </c>
      <c r="E2041" s="88">
        <v>0.156</v>
      </c>
      <c r="F2041" s="86" t="s">
        <v>1168</v>
      </c>
      <c r="G2041" s="470">
        <f>$H$33</f>
        <v>64236</v>
      </c>
      <c r="H2041" s="470">
        <f t="shared" si="550"/>
        <v>10020</v>
      </c>
      <c r="I2041" s="470">
        <f>$J$33</f>
        <v>305706</v>
      </c>
      <c r="J2041" s="470">
        <f t="shared" si="551"/>
        <v>47690</v>
      </c>
      <c r="K2041" s="470">
        <f>$L$33</f>
        <v>8398</v>
      </c>
      <c r="L2041" s="470">
        <f t="shared" si="552"/>
        <v>1310</v>
      </c>
      <c r="M2041" s="470">
        <f t="shared" si="553"/>
        <v>378340</v>
      </c>
      <c r="N2041" s="470">
        <f t="shared" si="554"/>
        <v>59020</v>
      </c>
      <c r="O2041" s="462">
        <f>$P$27</f>
        <v>5</v>
      </c>
      <c r="P2041" s="767"/>
    </row>
    <row r="2042" spans="2:17" ht="15.2" customHeight="1">
      <c r="B2042" s="768" t="s">
        <v>2167</v>
      </c>
      <c r="C2042" s="769"/>
      <c r="D2042" s="84" t="s">
        <v>1795</v>
      </c>
      <c r="E2042" s="87">
        <v>0.51</v>
      </c>
      <c r="F2042" s="86" t="s">
        <v>1168</v>
      </c>
      <c r="G2042" s="470">
        <f>$H$2185</f>
        <v>23000</v>
      </c>
      <c r="H2042" s="470">
        <f t="shared" si="550"/>
        <v>11730</v>
      </c>
      <c r="I2042" s="470">
        <f>$J$2185</f>
        <v>57751</v>
      </c>
      <c r="J2042" s="470">
        <f t="shared" si="551"/>
        <v>29453</v>
      </c>
      <c r="K2042" s="470">
        <f>$L$2185</f>
        <v>0</v>
      </c>
      <c r="L2042" s="470">
        <f t="shared" si="552"/>
        <v>0</v>
      </c>
      <c r="M2042" s="470">
        <f t="shared" si="553"/>
        <v>80751</v>
      </c>
      <c r="N2042" s="470">
        <f t="shared" si="554"/>
        <v>41183</v>
      </c>
      <c r="O2042" s="462">
        <f>$P$2181</f>
        <v>371</v>
      </c>
      <c r="P2042" s="767"/>
    </row>
    <row r="2043" spans="2:17" ht="15.2" customHeight="1">
      <c r="B2043" s="768" t="s">
        <v>2168</v>
      </c>
      <c r="C2043" s="769"/>
      <c r="D2043" s="84" t="s">
        <v>3313</v>
      </c>
      <c r="E2043" s="97">
        <v>3.1300000000000001E-2</v>
      </c>
      <c r="F2043" s="86" t="s">
        <v>1193</v>
      </c>
      <c r="G2043" s="470">
        <f>$H$63</f>
        <v>574055</v>
      </c>
      <c r="H2043" s="470">
        <f t="shared" si="550"/>
        <v>17967</v>
      </c>
      <c r="I2043" s="470">
        <f>$J$63</f>
        <v>501784</v>
      </c>
      <c r="J2043" s="470">
        <f t="shared" si="551"/>
        <v>15705</v>
      </c>
      <c r="K2043" s="470">
        <f>$L$63</f>
        <v>0</v>
      </c>
      <c r="L2043" s="470">
        <f t="shared" si="552"/>
        <v>0</v>
      </c>
      <c r="M2043" s="470">
        <f t="shared" si="553"/>
        <v>1075839</v>
      </c>
      <c r="N2043" s="470">
        <f t="shared" si="554"/>
        <v>33672</v>
      </c>
      <c r="O2043" s="462">
        <f>$P$55</f>
        <v>9</v>
      </c>
      <c r="P2043" s="767"/>
    </row>
    <row r="2044" spans="2:17" ht="15.2" customHeight="1">
      <c r="B2044" s="768" t="s">
        <v>1162</v>
      </c>
      <c r="C2044" s="769"/>
      <c r="D2044" s="84"/>
      <c r="E2044" s="87">
        <v>1</v>
      </c>
      <c r="F2044" s="86" t="s">
        <v>1163</v>
      </c>
      <c r="G2044" s="470"/>
      <c r="H2044" s="470">
        <f t="shared" si="550"/>
        <v>0</v>
      </c>
      <c r="I2044" s="470">
        <f>SUMIF('노임(2015)'!$B$4:$B$87,B2044,'노임(2015)'!$C$4:$C$87)+SUMIF('노임(2015)'!$E$4:$E$87,B2044,'노임(2015)'!$F$4:$F$87)</f>
        <v>89566</v>
      </c>
      <c r="J2044" s="470">
        <f t="shared" si="551"/>
        <v>89566</v>
      </c>
      <c r="K2044" s="470"/>
      <c r="L2044" s="470">
        <f t="shared" si="552"/>
        <v>0</v>
      </c>
      <c r="M2044" s="470">
        <f t="shared" si="553"/>
        <v>89566</v>
      </c>
      <c r="N2044" s="470">
        <f t="shared" si="554"/>
        <v>89566</v>
      </c>
      <c r="O2044" s="459"/>
      <c r="P2044" s="767"/>
    </row>
    <row r="2045" spans="2:17" ht="15.2" customHeight="1">
      <c r="B2045" s="768" t="s">
        <v>915</v>
      </c>
      <c r="C2045" s="769"/>
      <c r="D2045" s="84" t="s">
        <v>3298</v>
      </c>
      <c r="E2045" s="87">
        <v>1</v>
      </c>
      <c r="F2045" s="86" t="s">
        <v>971</v>
      </c>
      <c r="G2045" s="470"/>
      <c r="H2045" s="470">
        <f t="shared" si="550"/>
        <v>0</v>
      </c>
      <c r="I2045" s="470"/>
      <c r="J2045" s="470">
        <f t="shared" si="551"/>
        <v>0</v>
      </c>
      <c r="K2045" s="470"/>
      <c r="L2045" s="470">
        <f t="shared" si="552"/>
        <v>0</v>
      </c>
      <c r="M2045" s="470">
        <f t="shared" si="553"/>
        <v>0</v>
      </c>
      <c r="N2045" s="470">
        <f t="shared" si="554"/>
        <v>0</v>
      </c>
      <c r="O2045" s="459"/>
      <c r="P2045" s="767"/>
    </row>
    <row r="2046" spans="2:17" ht="15.2" customHeight="1">
      <c r="B2046" s="766" t="s">
        <v>855</v>
      </c>
      <c r="C2046" s="766"/>
      <c r="D2046" s="84"/>
      <c r="E2046" s="87"/>
      <c r="F2046" s="86"/>
      <c r="G2046" s="470"/>
      <c r="H2046" s="470">
        <f>SUM(H2034:H2045)</f>
        <v>285512</v>
      </c>
      <c r="I2046" s="470"/>
      <c r="J2046" s="470">
        <f>SUM(J2034:J2045)</f>
        <v>1103501</v>
      </c>
      <c r="K2046" s="470"/>
      <c r="L2046" s="470">
        <f>SUM(L2034:L2045)</f>
        <v>13043</v>
      </c>
      <c r="M2046" s="470"/>
      <c r="N2046" s="470">
        <f>SUM(N2034:N2045)</f>
        <v>1402056</v>
      </c>
      <c r="O2046" s="459"/>
      <c r="P2046" s="767"/>
      <c r="Q2046" s="80" t="s">
        <v>3244</v>
      </c>
    </row>
    <row r="2047" spans="2:17" ht="15.2" customHeight="1">
      <c r="B2047" s="96">
        <f>P2047</f>
        <v>351</v>
      </c>
      <c r="C2047" s="770" t="s">
        <v>2178</v>
      </c>
      <c r="D2047" s="770"/>
      <c r="E2047" s="770"/>
      <c r="F2047" s="771"/>
      <c r="G2047" s="470"/>
      <c r="H2047" s="470"/>
      <c r="I2047" s="470"/>
      <c r="J2047" s="470"/>
      <c r="K2047" s="470"/>
      <c r="L2047" s="470"/>
      <c r="M2047" s="470"/>
      <c r="N2047" s="470"/>
      <c r="O2047" s="459"/>
      <c r="P2047" s="767">
        <f>MAX($P$5:P2046)+1</f>
        <v>351</v>
      </c>
      <c r="Q2047" s="80" t="s">
        <v>3243</v>
      </c>
    </row>
    <row r="2048" spans="2:17" ht="15.2" customHeight="1">
      <c r="B2048" s="768" t="s">
        <v>150</v>
      </c>
      <c r="C2048" s="769"/>
      <c r="D2048" s="84" t="s">
        <v>793</v>
      </c>
      <c r="E2048" s="87">
        <v>1.1299999999999999</v>
      </c>
      <c r="F2048" s="86" t="s">
        <v>1168</v>
      </c>
      <c r="G2048" s="470">
        <f>$H$33</f>
        <v>64236</v>
      </c>
      <c r="H2048" s="470">
        <f t="shared" ref="H2048:H2059" si="555">TRUNC(E2048*G2048,0)</f>
        <v>72586</v>
      </c>
      <c r="I2048" s="470">
        <f>$J$33</f>
        <v>305706</v>
      </c>
      <c r="J2048" s="470">
        <f t="shared" ref="J2048:J2059" si="556">TRUNC(I2048*E2048,0)</f>
        <v>345447</v>
      </c>
      <c r="K2048" s="470">
        <f>$L$33</f>
        <v>8398</v>
      </c>
      <c r="L2048" s="470">
        <f t="shared" ref="L2048:L2059" si="557">TRUNC(K2048*E2048,0)</f>
        <v>9489</v>
      </c>
      <c r="M2048" s="470">
        <f t="shared" ref="M2048:M2059" si="558">G2048+I2048+K2048</f>
        <v>378340</v>
      </c>
      <c r="N2048" s="470">
        <f t="shared" ref="N2048:N2059" si="559">H2048+J2048+L2048</f>
        <v>427522</v>
      </c>
      <c r="O2048" s="462">
        <f>$P$27</f>
        <v>5</v>
      </c>
      <c r="P2048" s="767"/>
    </row>
    <row r="2049" spans="2:17" ht="15.2" customHeight="1">
      <c r="B2049" s="768" t="s">
        <v>151</v>
      </c>
      <c r="C2049" s="769"/>
      <c r="D2049" s="84" t="s">
        <v>2174</v>
      </c>
      <c r="E2049" s="87">
        <v>9.1</v>
      </c>
      <c r="F2049" s="86" t="s">
        <v>3312</v>
      </c>
      <c r="G2049" s="470">
        <f>$H$1544</f>
        <v>18027</v>
      </c>
      <c r="H2049" s="470">
        <f t="shared" si="555"/>
        <v>164045</v>
      </c>
      <c r="I2049" s="470">
        <f>$J$1544</f>
        <v>54033</v>
      </c>
      <c r="J2049" s="470">
        <f t="shared" si="556"/>
        <v>491700</v>
      </c>
      <c r="K2049" s="470">
        <f>$L$1544</f>
        <v>0</v>
      </c>
      <c r="L2049" s="470">
        <f t="shared" si="557"/>
        <v>0</v>
      </c>
      <c r="M2049" s="470">
        <f t="shared" si="558"/>
        <v>72060</v>
      </c>
      <c r="N2049" s="470">
        <f t="shared" si="559"/>
        <v>655745</v>
      </c>
      <c r="O2049" s="462">
        <f>$P$1540</f>
        <v>289</v>
      </c>
      <c r="P2049" s="767"/>
    </row>
    <row r="2050" spans="2:17" ht="15.2" customHeight="1">
      <c r="B2050" s="768" t="s">
        <v>2427</v>
      </c>
      <c r="C2050" s="769"/>
      <c r="D2050" s="84" t="s">
        <v>795</v>
      </c>
      <c r="E2050" s="88">
        <v>0.78500000000000003</v>
      </c>
      <c r="F2050" s="86" t="s">
        <v>1168</v>
      </c>
      <c r="G2050" s="470">
        <f>$H$54</f>
        <v>51922</v>
      </c>
      <c r="H2050" s="470">
        <f t="shared" si="555"/>
        <v>40758</v>
      </c>
      <c r="I2050" s="470">
        <f>$J$54</f>
        <v>305706</v>
      </c>
      <c r="J2050" s="470">
        <f t="shared" si="556"/>
        <v>239979</v>
      </c>
      <c r="K2050" s="470">
        <f>$L$54</f>
        <v>5486</v>
      </c>
      <c r="L2050" s="470">
        <f t="shared" si="557"/>
        <v>4306</v>
      </c>
      <c r="M2050" s="470">
        <f t="shared" si="558"/>
        <v>363114</v>
      </c>
      <c r="N2050" s="470">
        <f t="shared" si="559"/>
        <v>285043</v>
      </c>
      <c r="O2050" s="462">
        <f>$P$48</f>
        <v>8</v>
      </c>
      <c r="P2050" s="767"/>
    </row>
    <row r="2051" spans="2:17" ht="15.2" customHeight="1">
      <c r="B2051" s="768" t="s">
        <v>1792</v>
      </c>
      <c r="C2051" s="769"/>
      <c r="D2051" s="84" t="s">
        <v>793</v>
      </c>
      <c r="E2051" s="88">
        <v>0.39700000000000002</v>
      </c>
      <c r="F2051" s="86" t="s">
        <v>1168</v>
      </c>
      <c r="G2051" s="470">
        <f>$H$33</f>
        <v>64236</v>
      </c>
      <c r="H2051" s="470">
        <f t="shared" si="555"/>
        <v>25501</v>
      </c>
      <c r="I2051" s="470">
        <f>$J$33</f>
        <v>305706</v>
      </c>
      <c r="J2051" s="470">
        <f t="shared" si="556"/>
        <v>121365</v>
      </c>
      <c r="K2051" s="470">
        <f>$L$33</f>
        <v>8398</v>
      </c>
      <c r="L2051" s="470">
        <f t="shared" si="557"/>
        <v>3334</v>
      </c>
      <c r="M2051" s="470">
        <f t="shared" si="558"/>
        <v>378340</v>
      </c>
      <c r="N2051" s="470">
        <f t="shared" si="559"/>
        <v>150200</v>
      </c>
      <c r="O2051" s="462">
        <f>$P$27</f>
        <v>5</v>
      </c>
      <c r="P2051" s="767"/>
    </row>
    <row r="2052" spans="2:17" ht="15.2" customHeight="1">
      <c r="B2052" s="768" t="s">
        <v>2175</v>
      </c>
      <c r="C2052" s="769"/>
      <c r="D2052" s="84" t="s">
        <v>2176</v>
      </c>
      <c r="E2052" s="87">
        <v>1.57</v>
      </c>
      <c r="F2052" s="86" t="s">
        <v>1352</v>
      </c>
      <c r="G2052" s="470">
        <f>$H$192</f>
        <v>6841</v>
      </c>
      <c r="H2052" s="470">
        <f t="shared" si="555"/>
        <v>10740</v>
      </c>
      <c r="I2052" s="470">
        <f>$J$192</f>
        <v>17992</v>
      </c>
      <c r="J2052" s="470">
        <f t="shared" si="556"/>
        <v>28247</v>
      </c>
      <c r="K2052" s="470">
        <f>$L$192</f>
        <v>0</v>
      </c>
      <c r="L2052" s="470">
        <f t="shared" si="557"/>
        <v>0</v>
      </c>
      <c r="M2052" s="470">
        <f t="shared" si="558"/>
        <v>24833</v>
      </c>
      <c r="N2052" s="470">
        <f t="shared" si="559"/>
        <v>38987</v>
      </c>
      <c r="O2052" s="462">
        <f>$P$188</f>
        <v>28</v>
      </c>
      <c r="P2052" s="767"/>
    </row>
    <row r="2053" spans="2:17" ht="15.2" customHeight="1">
      <c r="B2053" s="768" t="s">
        <v>152</v>
      </c>
      <c r="C2053" s="769"/>
      <c r="D2053" s="84" t="s">
        <v>2177</v>
      </c>
      <c r="E2053" s="87">
        <v>3.32</v>
      </c>
      <c r="F2053" s="86" t="s">
        <v>1352</v>
      </c>
      <c r="G2053" s="470">
        <f>$H$162</f>
        <v>9089</v>
      </c>
      <c r="H2053" s="470">
        <f t="shared" si="555"/>
        <v>30175</v>
      </c>
      <c r="I2053" s="470">
        <f>$J$162</f>
        <v>26482</v>
      </c>
      <c r="J2053" s="470">
        <f t="shared" si="556"/>
        <v>87920</v>
      </c>
      <c r="K2053" s="470">
        <f>$L$162</f>
        <v>0</v>
      </c>
      <c r="L2053" s="470">
        <f t="shared" si="557"/>
        <v>0</v>
      </c>
      <c r="M2053" s="470">
        <f t="shared" si="558"/>
        <v>35571</v>
      </c>
      <c r="N2053" s="470">
        <f t="shared" si="559"/>
        <v>118095</v>
      </c>
      <c r="O2053" s="462">
        <f>$P$158</f>
        <v>22</v>
      </c>
      <c r="P2053" s="767"/>
    </row>
    <row r="2054" spans="2:17" ht="15.2" customHeight="1">
      <c r="B2054" s="768" t="s">
        <v>1793</v>
      </c>
      <c r="C2054" s="769"/>
      <c r="D2054" s="84" t="s">
        <v>793</v>
      </c>
      <c r="E2054" s="87">
        <v>0.51</v>
      </c>
      <c r="F2054" s="86" t="s">
        <v>1168</v>
      </c>
      <c r="G2054" s="470">
        <f>$H$33</f>
        <v>64236</v>
      </c>
      <c r="H2054" s="470">
        <f t="shared" si="555"/>
        <v>32760</v>
      </c>
      <c r="I2054" s="470">
        <f>$J$33</f>
        <v>305706</v>
      </c>
      <c r="J2054" s="470">
        <f t="shared" si="556"/>
        <v>155910</v>
      </c>
      <c r="K2054" s="470">
        <f>$L$33</f>
        <v>8398</v>
      </c>
      <c r="L2054" s="470">
        <f t="shared" si="557"/>
        <v>4282</v>
      </c>
      <c r="M2054" s="470">
        <f t="shared" si="558"/>
        <v>378340</v>
      </c>
      <c r="N2054" s="470">
        <f t="shared" si="559"/>
        <v>192952</v>
      </c>
      <c r="O2054" s="462">
        <f>$P$27</f>
        <v>5</v>
      </c>
      <c r="P2054" s="767"/>
    </row>
    <row r="2055" spans="2:17" ht="15.2" customHeight="1">
      <c r="B2055" s="768" t="s">
        <v>1794</v>
      </c>
      <c r="C2055" s="769"/>
      <c r="D2055" s="84" t="s">
        <v>793</v>
      </c>
      <c r="E2055" s="88">
        <v>0.156</v>
      </c>
      <c r="F2055" s="86" t="s">
        <v>1168</v>
      </c>
      <c r="G2055" s="470">
        <f>$H$33</f>
        <v>64236</v>
      </c>
      <c r="H2055" s="470">
        <f t="shared" si="555"/>
        <v>10020</v>
      </c>
      <c r="I2055" s="470">
        <f>$J$33</f>
        <v>305706</v>
      </c>
      <c r="J2055" s="470">
        <f t="shared" si="556"/>
        <v>47690</v>
      </c>
      <c r="K2055" s="470">
        <f>$L$33</f>
        <v>8398</v>
      </c>
      <c r="L2055" s="470">
        <f t="shared" si="557"/>
        <v>1310</v>
      </c>
      <c r="M2055" s="470">
        <f t="shared" si="558"/>
        <v>378340</v>
      </c>
      <c r="N2055" s="470">
        <f t="shared" si="559"/>
        <v>59020</v>
      </c>
      <c r="O2055" s="462">
        <f>$P$27</f>
        <v>5</v>
      </c>
      <c r="P2055" s="767"/>
    </row>
    <row r="2056" spans="2:17" ht="15.2" customHeight="1">
      <c r="B2056" s="768" t="s">
        <v>2167</v>
      </c>
      <c r="C2056" s="769"/>
      <c r="D2056" s="84" t="s">
        <v>1795</v>
      </c>
      <c r="E2056" s="87">
        <v>0.69</v>
      </c>
      <c r="F2056" s="86" t="s">
        <v>1168</v>
      </c>
      <c r="G2056" s="470">
        <f>$H$2185</f>
        <v>23000</v>
      </c>
      <c r="H2056" s="470">
        <f t="shared" si="555"/>
        <v>15870</v>
      </c>
      <c r="I2056" s="470">
        <f>$J$2185</f>
        <v>57751</v>
      </c>
      <c r="J2056" s="470">
        <f t="shared" si="556"/>
        <v>39848</v>
      </c>
      <c r="K2056" s="470">
        <f>$L$2185</f>
        <v>0</v>
      </c>
      <c r="L2056" s="470">
        <f t="shared" si="557"/>
        <v>0</v>
      </c>
      <c r="M2056" s="470">
        <f t="shared" si="558"/>
        <v>80751</v>
      </c>
      <c r="N2056" s="470">
        <f t="shared" si="559"/>
        <v>55718</v>
      </c>
      <c r="O2056" s="462">
        <f>$P$2181</f>
        <v>371</v>
      </c>
      <c r="P2056" s="767"/>
    </row>
    <row r="2057" spans="2:17" ht="15.2" customHeight="1">
      <c r="B2057" s="768" t="s">
        <v>2168</v>
      </c>
      <c r="C2057" s="769"/>
      <c r="D2057" s="84" t="s">
        <v>3313</v>
      </c>
      <c r="E2057" s="95">
        <v>7.8659999999999994E-2</v>
      </c>
      <c r="F2057" s="86" t="s">
        <v>1193</v>
      </c>
      <c r="G2057" s="470">
        <f>$H$63</f>
        <v>574055</v>
      </c>
      <c r="H2057" s="470">
        <f t="shared" si="555"/>
        <v>45155</v>
      </c>
      <c r="I2057" s="470">
        <f>$J$63</f>
        <v>501784</v>
      </c>
      <c r="J2057" s="470">
        <f t="shared" si="556"/>
        <v>39470</v>
      </c>
      <c r="K2057" s="470">
        <f>$L$63</f>
        <v>0</v>
      </c>
      <c r="L2057" s="470">
        <f t="shared" si="557"/>
        <v>0</v>
      </c>
      <c r="M2057" s="470">
        <f t="shared" si="558"/>
        <v>1075839</v>
      </c>
      <c r="N2057" s="470">
        <f t="shared" si="559"/>
        <v>84625</v>
      </c>
      <c r="O2057" s="462">
        <f>$P$55</f>
        <v>9</v>
      </c>
      <c r="P2057" s="767"/>
    </row>
    <row r="2058" spans="2:17" ht="15.2" customHeight="1">
      <c r="B2058" s="768" t="s">
        <v>1162</v>
      </c>
      <c r="C2058" s="769"/>
      <c r="D2058" s="84"/>
      <c r="E2058" s="87">
        <v>1</v>
      </c>
      <c r="F2058" s="86" t="s">
        <v>1163</v>
      </c>
      <c r="G2058" s="470"/>
      <c r="H2058" s="470">
        <f t="shared" si="555"/>
        <v>0</v>
      </c>
      <c r="I2058" s="470">
        <f>SUMIF('노임(2015)'!$B$4:$B$87,B2058,'노임(2015)'!$C$4:$C$87)+SUMIF('노임(2015)'!$E$4:$E$87,B2058,'노임(2015)'!$F$4:$F$87)</f>
        <v>89566</v>
      </c>
      <c r="J2058" s="470">
        <f t="shared" si="556"/>
        <v>89566</v>
      </c>
      <c r="K2058" s="470"/>
      <c r="L2058" s="470">
        <f t="shared" si="557"/>
        <v>0</v>
      </c>
      <c r="M2058" s="470">
        <f t="shared" si="558"/>
        <v>89566</v>
      </c>
      <c r="N2058" s="470">
        <f t="shared" si="559"/>
        <v>89566</v>
      </c>
      <c r="O2058" s="459"/>
      <c r="P2058" s="767"/>
    </row>
    <row r="2059" spans="2:17" ht="15.2" customHeight="1">
      <c r="B2059" s="768" t="s">
        <v>915</v>
      </c>
      <c r="C2059" s="769"/>
      <c r="D2059" s="84" t="s">
        <v>3298</v>
      </c>
      <c r="E2059" s="87">
        <v>1</v>
      </c>
      <c r="F2059" s="86" t="s">
        <v>971</v>
      </c>
      <c r="G2059" s="470"/>
      <c r="H2059" s="470">
        <f t="shared" si="555"/>
        <v>0</v>
      </c>
      <c r="I2059" s="470"/>
      <c r="J2059" s="470">
        <f t="shared" si="556"/>
        <v>0</v>
      </c>
      <c r="K2059" s="470"/>
      <c r="L2059" s="470">
        <f t="shared" si="557"/>
        <v>0</v>
      </c>
      <c r="M2059" s="470">
        <f t="shared" si="558"/>
        <v>0</v>
      </c>
      <c r="N2059" s="470">
        <f t="shared" si="559"/>
        <v>0</v>
      </c>
      <c r="O2059" s="459"/>
      <c r="P2059" s="767"/>
    </row>
    <row r="2060" spans="2:17" ht="15.2" customHeight="1">
      <c r="B2060" s="766" t="s">
        <v>855</v>
      </c>
      <c r="C2060" s="766"/>
      <c r="D2060" s="84"/>
      <c r="E2060" s="87"/>
      <c r="F2060" s="86"/>
      <c r="G2060" s="470"/>
      <c r="H2060" s="470">
        <f>SUM(H2048:H2059)</f>
        <v>447610</v>
      </c>
      <c r="I2060" s="470"/>
      <c r="J2060" s="470">
        <f>SUM(J2048:J2059)</f>
        <v>1687142</v>
      </c>
      <c r="K2060" s="470"/>
      <c r="L2060" s="470">
        <f>SUM(L2048:L2059)</f>
        <v>22721</v>
      </c>
      <c r="M2060" s="470"/>
      <c r="N2060" s="470">
        <f>SUM(N2048:N2059)</f>
        <v>2157473</v>
      </c>
      <c r="O2060" s="459"/>
      <c r="P2060" s="767"/>
      <c r="Q2060" s="80" t="s">
        <v>3244</v>
      </c>
    </row>
    <row r="2061" spans="2:17" ht="15.2" customHeight="1">
      <c r="B2061" s="96">
        <f>P2061</f>
        <v>352</v>
      </c>
      <c r="C2061" s="770" t="s">
        <v>2179</v>
      </c>
      <c r="D2061" s="770"/>
      <c r="E2061" s="770"/>
      <c r="F2061" s="771"/>
      <c r="G2061" s="470"/>
      <c r="H2061" s="470"/>
      <c r="I2061" s="470"/>
      <c r="J2061" s="470"/>
      <c r="K2061" s="470"/>
      <c r="L2061" s="470"/>
      <c r="M2061" s="470"/>
      <c r="N2061" s="470"/>
      <c r="O2061" s="459"/>
      <c r="P2061" s="767">
        <f>MAX($P$5:P2060)+1</f>
        <v>352</v>
      </c>
      <c r="Q2061" s="80" t="s">
        <v>3243</v>
      </c>
    </row>
    <row r="2062" spans="2:17" ht="15.2" customHeight="1">
      <c r="B2062" s="768" t="s">
        <v>150</v>
      </c>
      <c r="C2062" s="769"/>
      <c r="D2062" s="84" t="s">
        <v>793</v>
      </c>
      <c r="E2062" s="87">
        <v>1.37</v>
      </c>
      <c r="F2062" s="86" t="s">
        <v>1168</v>
      </c>
      <c r="G2062" s="470">
        <f>$H$33</f>
        <v>64236</v>
      </c>
      <c r="H2062" s="470">
        <f t="shared" ref="H2062:H2073" si="560">TRUNC(E2062*G2062,0)</f>
        <v>88003</v>
      </c>
      <c r="I2062" s="470">
        <f>$J$33</f>
        <v>305706</v>
      </c>
      <c r="J2062" s="470">
        <f t="shared" ref="J2062:J2073" si="561">TRUNC(I2062*E2062,0)</f>
        <v>418817</v>
      </c>
      <c r="K2062" s="470">
        <f>$L$33</f>
        <v>8398</v>
      </c>
      <c r="L2062" s="470">
        <f t="shared" ref="L2062:L2073" si="562">TRUNC(K2062*E2062,0)</f>
        <v>11505</v>
      </c>
      <c r="M2062" s="470">
        <f t="shared" ref="M2062:M2073" si="563">G2062+I2062+K2062</f>
        <v>378340</v>
      </c>
      <c r="N2062" s="470">
        <f t="shared" ref="N2062:N2073" si="564">H2062+J2062+L2062</f>
        <v>518325</v>
      </c>
      <c r="O2062" s="462">
        <f>$P$27</f>
        <v>5</v>
      </c>
      <c r="P2062" s="767"/>
    </row>
    <row r="2063" spans="2:17" ht="15.2" customHeight="1">
      <c r="B2063" s="768" t="s">
        <v>151</v>
      </c>
      <c r="C2063" s="769"/>
      <c r="D2063" s="84" t="s">
        <v>2174</v>
      </c>
      <c r="E2063" s="87">
        <v>10.99</v>
      </c>
      <c r="F2063" s="86" t="s">
        <v>3312</v>
      </c>
      <c r="G2063" s="470">
        <f>$H$1544</f>
        <v>18027</v>
      </c>
      <c r="H2063" s="470">
        <f t="shared" si="560"/>
        <v>198116</v>
      </c>
      <c r="I2063" s="470">
        <f>$J$1544</f>
        <v>54033</v>
      </c>
      <c r="J2063" s="470">
        <f t="shared" si="561"/>
        <v>593822</v>
      </c>
      <c r="K2063" s="470">
        <f>$L$1544</f>
        <v>0</v>
      </c>
      <c r="L2063" s="470">
        <f t="shared" si="562"/>
        <v>0</v>
      </c>
      <c r="M2063" s="470">
        <f t="shared" si="563"/>
        <v>72060</v>
      </c>
      <c r="N2063" s="470">
        <f t="shared" si="564"/>
        <v>791938</v>
      </c>
      <c r="O2063" s="462">
        <f>$P$1540</f>
        <v>289</v>
      </c>
      <c r="P2063" s="767"/>
    </row>
    <row r="2064" spans="2:17" ht="15.2" customHeight="1">
      <c r="B2064" s="768" t="s">
        <v>2427</v>
      </c>
      <c r="C2064" s="769"/>
      <c r="D2064" s="84" t="s">
        <v>795</v>
      </c>
      <c r="E2064" s="88">
        <v>1.038</v>
      </c>
      <c r="F2064" s="86" t="s">
        <v>1168</v>
      </c>
      <c r="G2064" s="470">
        <f>$H$54</f>
        <v>51922</v>
      </c>
      <c r="H2064" s="470">
        <f t="shared" si="560"/>
        <v>53895</v>
      </c>
      <c r="I2064" s="470">
        <f>$J$54</f>
        <v>305706</v>
      </c>
      <c r="J2064" s="470">
        <f t="shared" si="561"/>
        <v>317322</v>
      </c>
      <c r="K2064" s="470">
        <f>$L$54</f>
        <v>5486</v>
      </c>
      <c r="L2064" s="470">
        <f t="shared" si="562"/>
        <v>5694</v>
      </c>
      <c r="M2064" s="470">
        <f t="shared" si="563"/>
        <v>363114</v>
      </c>
      <c r="N2064" s="470">
        <f t="shared" si="564"/>
        <v>376911</v>
      </c>
      <c r="O2064" s="462">
        <f>$P$48</f>
        <v>8</v>
      </c>
      <c r="P2064" s="767"/>
    </row>
    <row r="2065" spans="2:17" ht="15.2" customHeight="1">
      <c r="B2065" s="768" t="s">
        <v>1792</v>
      </c>
      <c r="C2065" s="769"/>
      <c r="D2065" s="84" t="s">
        <v>793</v>
      </c>
      <c r="E2065" s="88">
        <v>0.57099999999999995</v>
      </c>
      <c r="F2065" s="86" t="s">
        <v>1168</v>
      </c>
      <c r="G2065" s="470">
        <f>$H$33</f>
        <v>64236</v>
      </c>
      <c r="H2065" s="470">
        <f t="shared" si="560"/>
        <v>36678</v>
      </c>
      <c r="I2065" s="470">
        <f>$J$33</f>
        <v>305706</v>
      </c>
      <c r="J2065" s="470">
        <f t="shared" si="561"/>
        <v>174558</v>
      </c>
      <c r="K2065" s="470">
        <f>$L$33</f>
        <v>8398</v>
      </c>
      <c r="L2065" s="470">
        <f t="shared" si="562"/>
        <v>4795</v>
      </c>
      <c r="M2065" s="470">
        <f t="shared" si="563"/>
        <v>378340</v>
      </c>
      <c r="N2065" s="470">
        <f t="shared" si="564"/>
        <v>216031</v>
      </c>
      <c r="O2065" s="462">
        <f>$P$27</f>
        <v>5</v>
      </c>
      <c r="P2065" s="767"/>
    </row>
    <row r="2066" spans="2:17" ht="15.2" customHeight="1">
      <c r="B2066" s="768" t="s">
        <v>2175</v>
      </c>
      <c r="C2066" s="769"/>
      <c r="D2066" s="84" t="s">
        <v>2176</v>
      </c>
      <c r="E2066" s="87">
        <v>1.8</v>
      </c>
      <c r="F2066" s="86" t="s">
        <v>1352</v>
      </c>
      <c r="G2066" s="470">
        <f>$H$192</f>
        <v>6841</v>
      </c>
      <c r="H2066" s="470">
        <f t="shared" si="560"/>
        <v>12313</v>
      </c>
      <c r="I2066" s="470">
        <f>$J$192</f>
        <v>17992</v>
      </c>
      <c r="J2066" s="470">
        <f t="shared" si="561"/>
        <v>32385</v>
      </c>
      <c r="K2066" s="470">
        <f>$L$192</f>
        <v>0</v>
      </c>
      <c r="L2066" s="470">
        <f t="shared" si="562"/>
        <v>0</v>
      </c>
      <c r="M2066" s="470">
        <f t="shared" si="563"/>
        <v>24833</v>
      </c>
      <c r="N2066" s="470">
        <f t="shared" si="564"/>
        <v>44698</v>
      </c>
      <c r="O2066" s="462">
        <f>$P$188</f>
        <v>28</v>
      </c>
      <c r="P2066" s="767"/>
    </row>
    <row r="2067" spans="2:17" ht="15.2" customHeight="1">
      <c r="B2067" s="768" t="s">
        <v>152</v>
      </c>
      <c r="C2067" s="769"/>
      <c r="D2067" s="84" t="s">
        <v>2177</v>
      </c>
      <c r="E2067" s="88">
        <v>3.516</v>
      </c>
      <c r="F2067" s="86" t="s">
        <v>1352</v>
      </c>
      <c r="G2067" s="470">
        <f>$H$162</f>
        <v>9089</v>
      </c>
      <c r="H2067" s="470">
        <f t="shared" si="560"/>
        <v>31956</v>
      </c>
      <c r="I2067" s="470">
        <f>$J$162</f>
        <v>26482</v>
      </c>
      <c r="J2067" s="470">
        <f t="shared" si="561"/>
        <v>93110</v>
      </c>
      <c r="K2067" s="470">
        <f>$L$162</f>
        <v>0</v>
      </c>
      <c r="L2067" s="470">
        <f t="shared" si="562"/>
        <v>0</v>
      </c>
      <c r="M2067" s="470">
        <f t="shared" si="563"/>
        <v>35571</v>
      </c>
      <c r="N2067" s="470">
        <f t="shared" si="564"/>
        <v>125066</v>
      </c>
      <c r="O2067" s="462">
        <f>$P$158</f>
        <v>22</v>
      </c>
      <c r="P2067" s="767"/>
    </row>
    <row r="2068" spans="2:17" ht="15.2" customHeight="1">
      <c r="B2068" s="768" t="s">
        <v>1793</v>
      </c>
      <c r="C2068" s="769"/>
      <c r="D2068" s="84" t="s">
        <v>793</v>
      </c>
      <c r="E2068" s="87">
        <v>0.97</v>
      </c>
      <c r="F2068" s="86" t="s">
        <v>1168</v>
      </c>
      <c r="G2068" s="470">
        <f>$H$33</f>
        <v>64236</v>
      </c>
      <c r="H2068" s="470">
        <f t="shared" si="560"/>
        <v>62308</v>
      </c>
      <c r="I2068" s="470">
        <f>$J$33</f>
        <v>305706</v>
      </c>
      <c r="J2068" s="470">
        <f t="shared" si="561"/>
        <v>296534</v>
      </c>
      <c r="K2068" s="470">
        <f>$L$33</f>
        <v>8398</v>
      </c>
      <c r="L2068" s="470">
        <f t="shared" si="562"/>
        <v>8146</v>
      </c>
      <c r="M2068" s="470">
        <f t="shared" si="563"/>
        <v>378340</v>
      </c>
      <c r="N2068" s="470">
        <f t="shared" si="564"/>
        <v>366988</v>
      </c>
      <c r="O2068" s="462">
        <f>$P$27</f>
        <v>5</v>
      </c>
      <c r="P2068" s="767"/>
    </row>
    <row r="2069" spans="2:17" ht="15.2" customHeight="1">
      <c r="B2069" s="768" t="s">
        <v>1794</v>
      </c>
      <c r="C2069" s="769"/>
      <c r="D2069" s="84" t="s">
        <v>793</v>
      </c>
      <c r="E2069" s="88">
        <v>0.156</v>
      </c>
      <c r="F2069" s="86" t="s">
        <v>1168</v>
      </c>
      <c r="G2069" s="470">
        <f>$H$33</f>
        <v>64236</v>
      </c>
      <c r="H2069" s="470">
        <f t="shared" si="560"/>
        <v>10020</v>
      </c>
      <c r="I2069" s="470">
        <f>$J$33</f>
        <v>305706</v>
      </c>
      <c r="J2069" s="470">
        <f t="shared" si="561"/>
        <v>47690</v>
      </c>
      <c r="K2069" s="470">
        <f>$L$33</f>
        <v>8398</v>
      </c>
      <c r="L2069" s="470">
        <f t="shared" si="562"/>
        <v>1310</v>
      </c>
      <c r="M2069" s="470">
        <f t="shared" si="563"/>
        <v>378340</v>
      </c>
      <c r="N2069" s="470">
        <f t="shared" si="564"/>
        <v>59020</v>
      </c>
      <c r="O2069" s="462">
        <f>$P$27</f>
        <v>5</v>
      </c>
      <c r="P2069" s="767"/>
    </row>
    <row r="2070" spans="2:17" ht="15.2" customHeight="1">
      <c r="B2070" s="768" t="s">
        <v>2167</v>
      </c>
      <c r="C2070" s="769"/>
      <c r="D2070" s="84" t="s">
        <v>1795</v>
      </c>
      <c r="E2070" s="87">
        <v>0.91</v>
      </c>
      <c r="F2070" s="86" t="s">
        <v>1168</v>
      </c>
      <c r="G2070" s="470">
        <f>$H$2185</f>
        <v>23000</v>
      </c>
      <c r="H2070" s="470">
        <f t="shared" si="560"/>
        <v>20930</v>
      </c>
      <c r="I2070" s="470">
        <f>$J$2185</f>
        <v>57751</v>
      </c>
      <c r="J2070" s="470">
        <f t="shared" si="561"/>
        <v>52553</v>
      </c>
      <c r="K2070" s="470">
        <f>$L$2185</f>
        <v>0</v>
      </c>
      <c r="L2070" s="470">
        <f t="shared" si="562"/>
        <v>0</v>
      </c>
      <c r="M2070" s="470">
        <f t="shared" si="563"/>
        <v>80751</v>
      </c>
      <c r="N2070" s="470">
        <f t="shared" si="564"/>
        <v>73483</v>
      </c>
      <c r="O2070" s="462">
        <f>$P$2181</f>
        <v>371</v>
      </c>
      <c r="P2070" s="767"/>
    </row>
    <row r="2071" spans="2:17" ht="15.2" customHeight="1">
      <c r="B2071" s="768" t="s">
        <v>2168</v>
      </c>
      <c r="C2071" s="769"/>
      <c r="D2071" s="84" t="s">
        <v>3313</v>
      </c>
      <c r="E2071" s="97">
        <v>0.12839999999999999</v>
      </c>
      <c r="F2071" s="86" t="s">
        <v>1193</v>
      </c>
      <c r="G2071" s="470">
        <f>$H$63</f>
        <v>574055</v>
      </c>
      <c r="H2071" s="470">
        <f t="shared" si="560"/>
        <v>73708</v>
      </c>
      <c r="I2071" s="470">
        <f>$J$63</f>
        <v>501784</v>
      </c>
      <c r="J2071" s="470">
        <f t="shared" si="561"/>
        <v>64429</v>
      </c>
      <c r="K2071" s="470">
        <f>$L$63</f>
        <v>0</v>
      </c>
      <c r="L2071" s="470">
        <f t="shared" si="562"/>
        <v>0</v>
      </c>
      <c r="M2071" s="470">
        <f t="shared" si="563"/>
        <v>1075839</v>
      </c>
      <c r="N2071" s="470">
        <f t="shared" si="564"/>
        <v>138137</v>
      </c>
      <c r="O2071" s="462">
        <f>$P$55</f>
        <v>9</v>
      </c>
      <c r="P2071" s="767"/>
    </row>
    <row r="2072" spans="2:17" ht="15.2" customHeight="1">
      <c r="B2072" s="768" t="s">
        <v>1162</v>
      </c>
      <c r="C2072" s="769"/>
      <c r="D2072" s="84"/>
      <c r="E2072" s="87">
        <v>1</v>
      </c>
      <c r="F2072" s="86" t="s">
        <v>1163</v>
      </c>
      <c r="G2072" s="470"/>
      <c r="H2072" s="470">
        <f t="shared" si="560"/>
        <v>0</v>
      </c>
      <c r="I2072" s="470">
        <f>SUMIF('노임(2015)'!$B$4:$B$87,B2072,'노임(2015)'!$C$4:$C$87)+SUMIF('노임(2015)'!$E$4:$E$87,B2072,'노임(2015)'!$F$4:$F$87)</f>
        <v>89566</v>
      </c>
      <c r="J2072" s="470">
        <f t="shared" si="561"/>
        <v>89566</v>
      </c>
      <c r="K2072" s="470"/>
      <c r="L2072" s="470">
        <f t="shared" si="562"/>
        <v>0</v>
      </c>
      <c r="M2072" s="470">
        <f t="shared" si="563"/>
        <v>89566</v>
      </c>
      <c r="N2072" s="470">
        <f t="shared" si="564"/>
        <v>89566</v>
      </c>
      <c r="O2072" s="459"/>
      <c r="P2072" s="767"/>
    </row>
    <row r="2073" spans="2:17" ht="15.2" customHeight="1">
      <c r="B2073" s="768" t="s">
        <v>915</v>
      </c>
      <c r="C2073" s="769"/>
      <c r="D2073" s="84" t="s">
        <v>3298</v>
      </c>
      <c r="E2073" s="87">
        <v>1</v>
      </c>
      <c r="F2073" s="86" t="s">
        <v>971</v>
      </c>
      <c r="G2073" s="470"/>
      <c r="H2073" s="470">
        <f t="shared" si="560"/>
        <v>0</v>
      </c>
      <c r="I2073" s="470"/>
      <c r="J2073" s="470">
        <f t="shared" si="561"/>
        <v>0</v>
      </c>
      <c r="K2073" s="470"/>
      <c r="L2073" s="470">
        <f t="shared" si="562"/>
        <v>0</v>
      </c>
      <c r="M2073" s="470">
        <f t="shared" si="563"/>
        <v>0</v>
      </c>
      <c r="N2073" s="470">
        <f t="shared" si="564"/>
        <v>0</v>
      </c>
      <c r="O2073" s="459"/>
      <c r="P2073" s="767"/>
    </row>
    <row r="2074" spans="2:17" ht="15.2" customHeight="1">
      <c r="B2074" s="766" t="s">
        <v>855</v>
      </c>
      <c r="C2074" s="766"/>
      <c r="D2074" s="84"/>
      <c r="E2074" s="87"/>
      <c r="F2074" s="86"/>
      <c r="G2074" s="470"/>
      <c r="H2074" s="470">
        <f>SUM(H2062:H2073)</f>
        <v>587927</v>
      </c>
      <c r="I2074" s="470"/>
      <c r="J2074" s="470">
        <f>SUM(J2062:J2073)</f>
        <v>2180786</v>
      </c>
      <c r="K2074" s="470"/>
      <c r="L2074" s="470">
        <f>SUM(L2062:L2073)</f>
        <v>31450</v>
      </c>
      <c r="M2074" s="470"/>
      <c r="N2074" s="470">
        <f>SUM(N2062:N2073)</f>
        <v>2800163</v>
      </c>
      <c r="O2074" s="459"/>
      <c r="P2074" s="767"/>
      <c r="Q2074" s="80" t="s">
        <v>3244</v>
      </c>
    </row>
    <row r="2075" spans="2:17" ht="15.2" customHeight="1">
      <c r="B2075" s="96">
        <f>P2075</f>
        <v>353</v>
      </c>
      <c r="C2075" s="770" t="s">
        <v>2180</v>
      </c>
      <c r="D2075" s="770"/>
      <c r="E2075" s="770"/>
      <c r="F2075" s="771"/>
      <c r="G2075" s="470"/>
      <c r="H2075" s="470"/>
      <c r="I2075" s="470"/>
      <c r="J2075" s="470"/>
      <c r="K2075" s="470"/>
      <c r="L2075" s="470"/>
      <c r="M2075" s="470"/>
      <c r="N2075" s="470"/>
      <c r="O2075" s="459"/>
      <c r="P2075" s="767">
        <f>MAX($P$5:P2074)+1</f>
        <v>353</v>
      </c>
      <c r="Q2075" s="80" t="s">
        <v>3243</v>
      </c>
    </row>
    <row r="2076" spans="2:17" ht="15.2" customHeight="1">
      <c r="B2076" s="768" t="s">
        <v>2181</v>
      </c>
      <c r="C2076" s="769"/>
      <c r="D2076" s="84" t="s">
        <v>793</v>
      </c>
      <c r="E2076" s="88">
        <v>8.4000000000000005E-2</v>
      </c>
      <c r="F2076" s="86" t="s">
        <v>1168</v>
      </c>
      <c r="G2076" s="470">
        <f>$H$33</f>
        <v>64236</v>
      </c>
      <c r="H2076" s="470">
        <f t="shared" ref="H2076:H2081" si="565">TRUNC(E2076*G2076,0)</f>
        <v>5395</v>
      </c>
      <c r="I2076" s="470">
        <f>$J$33</f>
        <v>305706</v>
      </c>
      <c r="J2076" s="470">
        <f t="shared" ref="J2076:J2081" si="566">TRUNC(I2076*E2076,0)</f>
        <v>25679</v>
      </c>
      <c r="K2076" s="470">
        <f>$L$33</f>
        <v>8398</v>
      </c>
      <c r="L2076" s="470">
        <f t="shared" ref="L2076:L2081" si="567">TRUNC(K2076*E2076,0)</f>
        <v>705</v>
      </c>
      <c r="M2076" s="470">
        <f t="shared" ref="M2076:M2081" si="568">G2076+I2076+K2076</f>
        <v>378340</v>
      </c>
      <c r="N2076" s="470">
        <f t="shared" ref="N2076:N2081" si="569">H2076+J2076+L2076</f>
        <v>31779</v>
      </c>
      <c r="O2076" s="462">
        <f>$P$27</f>
        <v>5</v>
      </c>
      <c r="P2076" s="767"/>
    </row>
    <row r="2077" spans="2:17" ht="15.2" customHeight="1">
      <c r="B2077" s="768" t="s">
        <v>2182</v>
      </c>
      <c r="C2077" s="769"/>
      <c r="D2077" s="84" t="s">
        <v>793</v>
      </c>
      <c r="E2077" s="88">
        <v>0.28499999999999998</v>
      </c>
      <c r="F2077" s="86" t="s">
        <v>1168</v>
      </c>
      <c r="G2077" s="470">
        <f>$H$33</f>
        <v>64236</v>
      </c>
      <c r="H2077" s="470">
        <f>TRUNC(E2077*G2077,0)</f>
        <v>18307</v>
      </c>
      <c r="I2077" s="470">
        <f>$J$33</f>
        <v>305706</v>
      </c>
      <c r="J2077" s="470">
        <f>TRUNC(I2077*E2077,0)</f>
        <v>87126</v>
      </c>
      <c r="K2077" s="470">
        <f>$L$33</f>
        <v>8398</v>
      </c>
      <c r="L2077" s="470">
        <f>TRUNC(K2077*E2077,0)</f>
        <v>2393</v>
      </c>
      <c r="M2077" s="470">
        <f>G2077+I2077+K2077</f>
        <v>378340</v>
      </c>
      <c r="N2077" s="470">
        <f>H2077+J2077+L2077</f>
        <v>107826</v>
      </c>
      <c r="O2077" s="462">
        <f>$P$27</f>
        <v>5</v>
      </c>
      <c r="P2077" s="767"/>
    </row>
    <row r="2078" spans="2:17" ht="15.2" customHeight="1">
      <c r="B2078" s="768" t="s">
        <v>1965</v>
      </c>
      <c r="C2078" s="769"/>
      <c r="D2078" s="84" t="s">
        <v>2183</v>
      </c>
      <c r="E2078" s="87">
        <v>3.7829999999999999</v>
      </c>
      <c r="F2078" s="86" t="s">
        <v>1352</v>
      </c>
      <c r="G2078" s="470">
        <f>$H$172</f>
        <v>7906</v>
      </c>
      <c r="H2078" s="470">
        <f t="shared" si="565"/>
        <v>29908</v>
      </c>
      <c r="I2078" s="470">
        <f>$J$172</f>
        <v>22490</v>
      </c>
      <c r="J2078" s="470">
        <f t="shared" si="566"/>
        <v>85079</v>
      </c>
      <c r="K2078" s="470">
        <f>$L$172</f>
        <v>0</v>
      </c>
      <c r="L2078" s="470">
        <f t="shared" si="567"/>
        <v>0</v>
      </c>
      <c r="M2078" s="470">
        <f t="shared" si="568"/>
        <v>30396</v>
      </c>
      <c r="N2078" s="470">
        <f t="shared" si="569"/>
        <v>114987</v>
      </c>
      <c r="O2078" s="462">
        <f>$P$168</f>
        <v>24</v>
      </c>
      <c r="P2078" s="767"/>
    </row>
    <row r="2079" spans="2:17" ht="15.2" customHeight="1">
      <c r="B2079" s="768" t="s">
        <v>1965</v>
      </c>
      <c r="C2079" s="769"/>
      <c r="D2079" s="84" t="s">
        <v>2184</v>
      </c>
      <c r="E2079" s="87">
        <v>0.45</v>
      </c>
      <c r="F2079" s="86" t="s">
        <v>1352</v>
      </c>
      <c r="G2079" s="470">
        <f>$H$192</f>
        <v>6841</v>
      </c>
      <c r="H2079" s="470">
        <f>TRUNC(E2079*G2079,0)</f>
        <v>3078</v>
      </c>
      <c r="I2079" s="470">
        <f>$J$192</f>
        <v>17992</v>
      </c>
      <c r="J2079" s="470">
        <f>TRUNC(I2079*E2079,0)</f>
        <v>8096</v>
      </c>
      <c r="K2079" s="470">
        <f>$L$192</f>
        <v>0</v>
      </c>
      <c r="L2079" s="470">
        <f>TRUNC(K2079*E2079,0)</f>
        <v>0</v>
      </c>
      <c r="M2079" s="470">
        <f>G2079+I2079+K2079</f>
        <v>24833</v>
      </c>
      <c r="N2079" s="470">
        <f>H2079+J2079+L2079</f>
        <v>11174</v>
      </c>
      <c r="O2079" s="462">
        <f>$P$188</f>
        <v>28</v>
      </c>
      <c r="P2079" s="767"/>
    </row>
    <row r="2080" spans="2:17" ht="15.2" customHeight="1">
      <c r="B2080" s="768" t="s">
        <v>914</v>
      </c>
      <c r="C2080" s="769"/>
      <c r="D2080" s="84" t="s">
        <v>3287</v>
      </c>
      <c r="E2080" s="87">
        <v>1</v>
      </c>
      <c r="F2080" s="86" t="s">
        <v>971</v>
      </c>
      <c r="G2080" s="470"/>
      <c r="H2080" s="470">
        <f t="shared" si="565"/>
        <v>0</v>
      </c>
      <c r="I2080" s="470"/>
      <c r="J2080" s="470">
        <f t="shared" si="566"/>
        <v>0</v>
      </c>
      <c r="K2080" s="470"/>
      <c r="L2080" s="470">
        <f t="shared" si="567"/>
        <v>0</v>
      </c>
      <c r="M2080" s="470">
        <f t="shared" si="568"/>
        <v>0</v>
      </c>
      <c r="N2080" s="470">
        <f t="shared" si="569"/>
        <v>0</v>
      </c>
      <c r="O2080" s="459"/>
      <c r="P2080" s="767"/>
    </row>
    <row r="2081" spans="2:17" ht="15.2" customHeight="1">
      <c r="B2081" s="768" t="s">
        <v>1165</v>
      </c>
      <c r="C2081" s="769"/>
      <c r="D2081" s="84"/>
      <c r="E2081" s="87">
        <v>0.02</v>
      </c>
      <c r="F2081" s="86" t="s">
        <v>1163</v>
      </c>
      <c r="G2081" s="470"/>
      <c r="H2081" s="470">
        <f t="shared" si="565"/>
        <v>0</v>
      </c>
      <c r="I2081" s="470">
        <f>SUMIF('노임(2015)'!$B$4:$B$87,B2081,'노임(2015)'!$C$4:$C$87)+SUMIF('노임(2015)'!$E$4:$E$87,B2081,'노임(2015)'!$F$4:$F$87)</f>
        <v>111771</v>
      </c>
      <c r="J2081" s="470">
        <f t="shared" si="566"/>
        <v>2235</v>
      </c>
      <c r="K2081" s="470"/>
      <c r="L2081" s="470">
        <f t="shared" si="567"/>
        <v>0</v>
      </c>
      <c r="M2081" s="470">
        <f t="shared" si="568"/>
        <v>111771</v>
      </c>
      <c r="N2081" s="470">
        <f t="shared" si="569"/>
        <v>2235</v>
      </c>
      <c r="O2081" s="459"/>
      <c r="P2081" s="767"/>
    </row>
    <row r="2082" spans="2:17" ht="15.2" customHeight="1">
      <c r="B2082" s="766" t="s">
        <v>855</v>
      </c>
      <c r="C2082" s="766"/>
      <c r="D2082" s="84"/>
      <c r="E2082" s="87"/>
      <c r="F2082" s="86"/>
      <c r="G2082" s="470"/>
      <c r="H2082" s="470">
        <f>SUM(H2076:H2081)</f>
        <v>56688</v>
      </c>
      <c r="I2082" s="470"/>
      <c r="J2082" s="470">
        <f>SUM(J2076:J2081)</f>
        <v>208215</v>
      </c>
      <c r="K2082" s="470"/>
      <c r="L2082" s="470">
        <f>SUM(L2076:L2081)</f>
        <v>3098</v>
      </c>
      <c r="M2082" s="470"/>
      <c r="N2082" s="470">
        <f>SUM(N2076:N2081)</f>
        <v>268001</v>
      </c>
      <c r="O2082" s="459"/>
      <c r="P2082" s="767"/>
      <c r="Q2082" s="80" t="s">
        <v>3244</v>
      </c>
    </row>
    <row r="2083" spans="2:17" ht="15.2" customHeight="1">
      <c r="B2083" s="96">
        <f>P2083</f>
        <v>354</v>
      </c>
      <c r="C2083" s="770" t="s">
        <v>4033</v>
      </c>
      <c r="D2083" s="770"/>
      <c r="E2083" s="770"/>
      <c r="F2083" s="771"/>
      <c r="G2083" s="470"/>
      <c r="H2083" s="470"/>
      <c r="I2083" s="470"/>
      <c r="J2083" s="470"/>
      <c r="K2083" s="470"/>
      <c r="L2083" s="470"/>
      <c r="M2083" s="470"/>
      <c r="N2083" s="470"/>
      <c r="O2083" s="459"/>
      <c r="P2083" s="767">
        <f>MAX($P$5:P2082)+1</f>
        <v>354</v>
      </c>
      <c r="Q2083" s="80" t="s">
        <v>3243</v>
      </c>
    </row>
    <row r="2084" spans="2:17" ht="15.2" customHeight="1">
      <c r="B2084" s="768" t="s">
        <v>2181</v>
      </c>
      <c r="C2084" s="769"/>
      <c r="D2084" s="84" t="s">
        <v>793</v>
      </c>
      <c r="E2084" s="88">
        <v>8.4000000000000005E-2</v>
      </c>
      <c r="F2084" s="86" t="s">
        <v>1168</v>
      </c>
      <c r="G2084" s="470">
        <f>$H$33</f>
        <v>64236</v>
      </c>
      <c r="H2084" s="470">
        <f t="shared" ref="H2084:H2089" si="570">TRUNC(E2084*G2084,0)</f>
        <v>5395</v>
      </c>
      <c r="I2084" s="470">
        <f>$J$33</f>
        <v>305706</v>
      </c>
      <c r="J2084" s="470">
        <f t="shared" ref="J2084:J2089" si="571">TRUNC(I2084*E2084,0)</f>
        <v>25679</v>
      </c>
      <c r="K2084" s="470">
        <f>$L$33</f>
        <v>8398</v>
      </c>
      <c r="L2084" s="470">
        <f t="shared" ref="L2084:L2089" si="572">TRUNC(K2084*E2084,0)</f>
        <v>705</v>
      </c>
      <c r="M2084" s="470">
        <f t="shared" ref="M2084:M2089" si="573">G2084+I2084+K2084</f>
        <v>378340</v>
      </c>
      <c r="N2084" s="470">
        <f t="shared" ref="N2084:N2089" si="574">H2084+J2084+L2084</f>
        <v>31779</v>
      </c>
      <c r="O2084" s="462">
        <f>$P$27</f>
        <v>5</v>
      </c>
      <c r="P2084" s="767"/>
    </row>
    <row r="2085" spans="2:17" ht="15.2" customHeight="1">
      <c r="B2085" s="768" t="s">
        <v>2182</v>
      </c>
      <c r="C2085" s="769"/>
      <c r="D2085" s="84" t="s">
        <v>793</v>
      </c>
      <c r="E2085" s="88">
        <v>0.29299999999999998</v>
      </c>
      <c r="F2085" s="86" t="s">
        <v>1168</v>
      </c>
      <c r="G2085" s="470">
        <f>$H$33</f>
        <v>64236</v>
      </c>
      <c r="H2085" s="470">
        <f t="shared" si="570"/>
        <v>18821</v>
      </c>
      <c r="I2085" s="470">
        <f>$J$33</f>
        <v>305706</v>
      </c>
      <c r="J2085" s="470">
        <f t="shared" si="571"/>
        <v>89571</v>
      </c>
      <c r="K2085" s="470">
        <f>$L$33</f>
        <v>8398</v>
      </c>
      <c r="L2085" s="470">
        <f t="shared" si="572"/>
        <v>2460</v>
      </c>
      <c r="M2085" s="470">
        <f t="shared" si="573"/>
        <v>378340</v>
      </c>
      <c r="N2085" s="470">
        <f t="shared" si="574"/>
        <v>110852</v>
      </c>
      <c r="O2085" s="462">
        <f>$P$27</f>
        <v>5</v>
      </c>
      <c r="P2085" s="767"/>
    </row>
    <row r="2086" spans="2:17" ht="15.2" customHeight="1">
      <c r="B2086" s="768" t="s">
        <v>1965</v>
      </c>
      <c r="C2086" s="769"/>
      <c r="D2086" s="84" t="s">
        <v>2183</v>
      </c>
      <c r="E2086" s="87">
        <v>1.83</v>
      </c>
      <c r="F2086" s="86" t="s">
        <v>1352</v>
      </c>
      <c r="G2086" s="470">
        <f>$H$172</f>
        <v>7906</v>
      </c>
      <c r="H2086" s="470">
        <f t="shared" si="570"/>
        <v>14467</v>
      </c>
      <c r="I2086" s="470">
        <f>$J$172</f>
        <v>22490</v>
      </c>
      <c r="J2086" s="470">
        <f t="shared" si="571"/>
        <v>41156</v>
      </c>
      <c r="K2086" s="470">
        <f>$L$172</f>
        <v>0</v>
      </c>
      <c r="L2086" s="470">
        <f t="shared" si="572"/>
        <v>0</v>
      </c>
      <c r="M2086" s="470">
        <f t="shared" si="573"/>
        <v>30396</v>
      </c>
      <c r="N2086" s="470">
        <f t="shared" si="574"/>
        <v>55623</v>
      </c>
      <c r="O2086" s="462">
        <f>$P$168</f>
        <v>24</v>
      </c>
      <c r="P2086" s="767"/>
    </row>
    <row r="2087" spans="2:17" ht="15.2" customHeight="1">
      <c r="B2087" s="768" t="s">
        <v>1965</v>
      </c>
      <c r="C2087" s="769"/>
      <c r="D2087" s="84" t="s">
        <v>2184</v>
      </c>
      <c r="E2087" s="87">
        <v>0.33</v>
      </c>
      <c r="F2087" s="86" t="s">
        <v>1352</v>
      </c>
      <c r="G2087" s="470">
        <f>$H$192</f>
        <v>6841</v>
      </c>
      <c r="H2087" s="470">
        <f t="shared" si="570"/>
        <v>2257</v>
      </c>
      <c r="I2087" s="470">
        <f>$J$192</f>
        <v>17992</v>
      </c>
      <c r="J2087" s="470">
        <f t="shared" si="571"/>
        <v>5937</v>
      </c>
      <c r="K2087" s="470">
        <f>$L$192</f>
        <v>0</v>
      </c>
      <c r="L2087" s="470">
        <f t="shared" si="572"/>
        <v>0</v>
      </c>
      <c r="M2087" s="470">
        <f t="shared" si="573"/>
        <v>24833</v>
      </c>
      <c r="N2087" s="470">
        <f t="shared" si="574"/>
        <v>8194</v>
      </c>
      <c r="O2087" s="462">
        <f>$P$188</f>
        <v>28</v>
      </c>
      <c r="P2087" s="767"/>
    </row>
    <row r="2088" spans="2:17" ht="15.2" customHeight="1">
      <c r="B2088" s="768" t="s">
        <v>914</v>
      </c>
      <c r="C2088" s="769"/>
      <c r="D2088" s="84" t="s">
        <v>3287</v>
      </c>
      <c r="E2088" s="87">
        <v>1</v>
      </c>
      <c r="F2088" s="86" t="s">
        <v>971</v>
      </c>
      <c r="G2088" s="470"/>
      <c r="H2088" s="470">
        <f t="shared" si="570"/>
        <v>0</v>
      </c>
      <c r="I2088" s="470"/>
      <c r="J2088" s="470">
        <f t="shared" si="571"/>
        <v>0</v>
      </c>
      <c r="K2088" s="470"/>
      <c r="L2088" s="470">
        <f t="shared" si="572"/>
        <v>0</v>
      </c>
      <c r="M2088" s="470">
        <f t="shared" si="573"/>
        <v>0</v>
      </c>
      <c r="N2088" s="470">
        <f t="shared" si="574"/>
        <v>0</v>
      </c>
      <c r="O2088" s="459"/>
      <c r="P2088" s="767"/>
    </row>
    <row r="2089" spans="2:17" ht="15.2" customHeight="1">
      <c r="B2089" s="768" t="s">
        <v>1165</v>
      </c>
      <c r="C2089" s="769"/>
      <c r="D2089" s="84"/>
      <c r="E2089" s="87">
        <v>0.02</v>
      </c>
      <c r="F2089" s="86" t="s">
        <v>1163</v>
      </c>
      <c r="G2089" s="470"/>
      <c r="H2089" s="470">
        <f t="shared" si="570"/>
        <v>0</v>
      </c>
      <c r="I2089" s="470">
        <f>SUMIF('노임(2015)'!$B$4:$B$87,B2089,'노임(2015)'!$C$4:$C$87)+SUMIF('노임(2015)'!$E$4:$E$87,B2089,'노임(2015)'!$F$4:$F$87)</f>
        <v>111771</v>
      </c>
      <c r="J2089" s="470">
        <f t="shared" si="571"/>
        <v>2235</v>
      </c>
      <c r="K2089" s="470"/>
      <c r="L2089" s="470">
        <f t="shared" si="572"/>
        <v>0</v>
      </c>
      <c r="M2089" s="470">
        <f t="shared" si="573"/>
        <v>111771</v>
      </c>
      <c r="N2089" s="470">
        <f t="shared" si="574"/>
        <v>2235</v>
      </c>
      <c r="O2089" s="459"/>
      <c r="P2089" s="767"/>
    </row>
    <row r="2090" spans="2:17" ht="15.2" customHeight="1">
      <c r="B2090" s="766" t="s">
        <v>855</v>
      </c>
      <c r="C2090" s="766"/>
      <c r="D2090" s="84"/>
      <c r="E2090" s="87"/>
      <c r="F2090" s="86"/>
      <c r="G2090" s="470"/>
      <c r="H2090" s="470">
        <f>SUM(H2084:H2089)</f>
        <v>40940</v>
      </c>
      <c r="I2090" s="470"/>
      <c r="J2090" s="470">
        <f>SUM(J2084:J2089)</f>
        <v>164578</v>
      </c>
      <c r="K2090" s="470"/>
      <c r="L2090" s="470">
        <f>SUM(L2084:L2089)</f>
        <v>3165</v>
      </c>
      <c r="M2090" s="470"/>
      <c r="N2090" s="470">
        <f>SUM(N2084:N2089)</f>
        <v>208683</v>
      </c>
      <c r="O2090" s="459"/>
      <c r="P2090" s="767"/>
      <c r="Q2090" s="80" t="s">
        <v>3244</v>
      </c>
    </row>
    <row r="2091" spans="2:17" ht="15.2" customHeight="1">
      <c r="B2091" s="96">
        <f>P2091</f>
        <v>355</v>
      </c>
      <c r="C2091" s="770" t="s">
        <v>2185</v>
      </c>
      <c r="D2091" s="770"/>
      <c r="E2091" s="770"/>
      <c r="F2091" s="771"/>
      <c r="G2091" s="470"/>
      <c r="H2091" s="470"/>
      <c r="I2091" s="470"/>
      <c r="J2091" s="470"/>
      <c r="K2091" s="470"/>
      <c r="L2091" s="470"/>
      <c r="M2091" s="470"/>
      <c r="N2091" s="470"/>
      <c r="O2091" s="459"/>
      <c r="P2091" s="767">
        <f>MAX($P$5:P2090)+1</f>
        <v>355</v>
      </c>
      <c r="Q2091" s="80" t="s">
        <v>3243</v>
      </c>
    </row>
    <row r="2092" spans="2:17" ht="15.2" customHeight="1">
      <c r="B2092" s="768" t="s">
        <v>2181</v>
      </c>
      <c r="C2092" s="769"/>
      <c r="D2092" s="84" t="s">
        <v>793</v>
      </c>
      <c r="E2092" s="88">
        <v>0.13600000000000001</v>
      </c>
      <c r="F2092" s="86" t="s">
        <v>1168</v>
      </c>
      <c r="G2092" s="470">
        <f>$H$33</f>
        <v>64236</v>
      </c>
      <c r="H2092" s="470">
        <f t="shared" ref="H2092:H2097" si="575">TRUNC(E2092*G2092,0)</f>
        <v>8736</v>
      </c>
      <c r="I2092" s="470">
        <f>$J$33</f>
        <v>305706</v>
      </c>
      <c r="J2092" s="470">
        <f t="shared" ref="J2092:J2097" si="576">TRUNC(I2092*E2092,0)</f>
        <v>41576</v>
      </c>
      <c r="K2092" s="470">
        <f>$L$33</f>
        <v>8398</v>
      </c>
      <c r="L2092" s="470">
        <f t="shared" ref="L2092:L2097" si="577">TRUNC(K2092*E2092,0)</f>
        <v>1142</v>
      </c>
      <c r="M2092" s="470">
        <f t="shared" ref="M2092:M2097" si="578">G2092+I2092+K2092</f>
        <v>378340</v>
      </c>
      <c r="N2092" s="470">
        <f t="shared" ref="N2092:N2097" si="579">H2092+J2092+L2092</f>
        <v>51454</v>
      </c>
      <c r="O2092" s="462">
        <f>$P$27</f>
        <v>5</v>
      </c>
      <c r="P2092" s="767"/>
    </row>
    <row r="2093" spans="2:17" ht="15.2" customHeight="1">
      <c r="B2093" s="768" t="s">
        <v>2182</v>
      </c>
      <c r="C2093" s="769"/>
      <c r="D2093" s="84" t="s">
        <v>793</v>
      </c>
      <c r="E2093" s="88">
        <v>0.42199999999999999</v>
      </c>
      <c r="F2093" s="86" t="s">
        <v>1168</v>
      </c>
      <c r="G2093" s="470">
        <f>$H$33</f>
        <v>64236</v>
      </c>
      <c r="H2093" s="470">
        <f t="shared" si="575"/>
        <v>27107</v>
      </c>
      <c r="I2093" s="470">
        <f>$J$33</f>
        <v>305706</v>
      </c>
      <c r="J2093" s="470">
        <f t="shared" si="576"/>
        <v>129007</v>
      </c>
      <c r="K2093" s="470">
        <f>$L$33</f>
        <v>8398</v>
      </c>
      <c r="L2093" s="470">
        <f t="shared" si="577"/>
        <v>3543</v>
      </c>
      <c r="M2093" s="470">
        <f t="shared" si="578"/>
        <v>378340</v>
      </c>
      <c r="N2093" s="470">
        <f t="shared" si="579"/>
        <v>159657</v>
      </c>
      <c r="O2093" s="462">
        <f>$P$27</f>
        <v>5</v>
      </c>
      <c r="P2093" s="767"/>
    </row>
    <row r="2094" spans="2:17" ht="15.2" customHeight="1">
      <c r="B2094" s="768" t="s">
        <v>1965</v>
      </c>
      <c r="C2094" s="769"/>
      <c r="D2094" s="84" t="s">
        <v>2183</v>
      </c>
      <c r="E2094" s="87">
        <v>5.8</v>
      </c>
      <c r="F2094" s="86" t="s">
        <v>1352</v>
      </c>
      <c r="G2094" s="470">
        <f>$H$172</f>
        <v>7906</v>
      </c>
      <c r="H2094" s="470">
        <f t="shared" si="575"/>
        <v>45854</v>
      </c>
      <c r="I2094" s="470">
        <f>$J$172</f>
        <v>22490</v>
      </c>
      <c r="J2094" s="470">
        <f t="shared" si="576"/>
        <v>130442</v>
      </c>
      <c r="K2094" s="470">
        <f>$L$172</f>
        <v>0</v>
      </c>
      <c r="L2094" s="470">
        <f t="shared" si="577"/>
        <v>0</v>
      </c>
      <c r="M2094" s="470">
        <f t="shared" si="578"/>
        <v>30396</v>
      </c>
      <c r="N2094" s="470">
        <f t="shared" si="579"/>
        <v>176296</v>
      </c>
      <c r="O2094" s="462">
        <f>$P$168</f>
        <v>24</v>
      </c>
      <c r="P2094" s="767"/>
    </row>
    <row r="2095" spans="2:17" ht="15.2" customHeight="1">
      <c r="B2095" s="768" t="s">
        <v>1965</v>
      </c>
      <c r="C2095" s="769"/>
      <c r="D2095" s="84" t="s">
        <v>2184</v>
      </c>
      <c r="E2095" s="87">
        <v>0.6</v>
      </c>
      <c r="F2095" s="86" t="s">
        <v>1352</v>
      </c>
      <c r="G2095" s="470">
        <f>$H$192</f>
        <v>6841</v>
      </c>
      <c r="H2095" s="470">
        <f t="shared" si="575"/>
        <v>4104</v>
      </c>
      <c r="I2095" s="470">
        <f>$J$192</f>
        <v>17992</v>
      </c>
      <c r="J2095" s="470">
        <f t="shared" si="576"/>
        <v>10795</v>
      </c>
      <c r="K2095" s="470">
        <f>$L$192</f>
        <v>0</v>
      </c>
      <c r="L2095" s="470">
        <f t="shared" si="577"/>
        <v>0</v>
      </c>
      <c r="M2095" s="470">
        <f t="shared" si="578"/>
        <v>24833</v>
      </c>
      <c r="N2095" s="470">
        <f t="shared" si="579"/>
        <v>14899</v>
      </c>
      <c r="O2095" s="462">
        <f>$P$188</f>
        <v>28</v>
      </c>
      <c r="P2095" s="767"/>
    </row>
    <row r="2096" spans="2:17" ht="15.2" customHeight="1">
      <c r="B2096" s="768" t="s">
        <v>914</v>
      </c>
      <c r="C2096" s="769"/>
      <c r="D2096" s="84" t="s">
        <v>3288</v>
      </c>
      <c r="E2096" s="87">
        <v>1</v>
      </c>
      <c r="F2096" s="86" t="s">
        <v>971</v>
      </c>
      <c r="G2096" s="470"/>
      <c r="H2096" s="470">
        <f t="shared" si="575"/>
        <v>0</v>
      </c>
      <c r="I2096" s="470"/>
      <c r="J2096" s="470">
        <f t="shared" si="576"/>
        <v>0</v>
      </c>
      <c r="K2096" s="470"/>
      <c r="L2096" s="470">
        <f t="shared" si="577"/>
        <v>0</v>
      </c>
      <c r="M2096" s="470">
        <f t="shared" si="578"/>
        <v>0</v>
      </c>
      <c r="N2096" s="470">
        <f t="shared" si="579"/>
        <v>0</v>
      </c>
      <c r="O2096" s="459"/>
      <c r="P2096" s="767"/>
    </row>
    <row r="2097" spans="2:17" ht="15.2" customHeight="1">
      <c r="B2097" s="768" t="s">
        <v>1165</v>
      </c>
      <c r="C2097" s="769"/>
      <c r="D2097" s="84"/>
      <c r="E2097" s="87">
        <v>0.02</v>
      </c>
      <c r="F2097" s="86" t="s">
        <v>1163</v>
      </c>
      <c r="G2097" s="470"/>
      <c r="H2097" s="470">
        <f t="shared" si="575"/>
        <v>0</v>
      </c>
      <c r="I2097" s="470">
        <f>SUMIF('노임(2015)'!$B$4:$B$87,B2097,'노임(2015)'!$C$4:$C$87)+SUMIF('노임(2015)'!$E$4:$E$87,B2097,'노임(2015)'!$F$4:$F$87)</f>
        <v>111771</v>
      </c>
      <c r="J2097" s="470">
        <f t="shared" si="576"/>
        <v>2235</v>
      </c>
      <c r="K2097" s="470"/>
      <c r="L2097" s="470">
        <f t="shared" si="577"/>
        <v>0</v>
      </c>
      <c r="M2097" s="470">
        <f t="shared" si="578"/>
        <v>111771</v>
      </c>
      <c r="N2097" s="470">
        <f t="shared" si="579"/>
        <v>2235</v>
      </c>
      <c r="O2097" s="459"/>
      <c r="P2097" s="767"/>
    </row>
    <row r="2098" spans="2:17" ht="15.2" customHeight="1">
      <c r="B2098" s="766" t="s">
        <v>855</v>
      </c>
      <c r="C2098" s="766"/>
      <c r="D2098" s="84"/>
      <c r="E2098" s="87"/>
      <c r="F2098" s="86"/>
      <c r="G2098" s="470"/>
      <c r="H2098" s="470">
        <f>SUM(H2092:H2097)</f>
        <v>85801</v>
      </c>
      <c r="I2098" s="470"/>
      <c r="J2098" s="470">
        <f>SUM(J2092:J2097)</f>
        <v>314055</v>
      </c>
      <c r="K2098" s="470"/>
      <c r="L2098" s="470">
        <f>SUM(L2092:L2097)</f>
        <v>4685</v>
      </c>
      <c r="M2098" s="470"/>
      <c r="N2098" s="470">
        <f>SUM(N2092:N2097)</f>
        <v>404541</v>
      </c>
      <c r="O2098" s="459"/>
      <c r="P2098" s="767"/>
      <c r="Q2098" s="80" t="s">
        <v>3244</v>
      </c>
    </row>
    <row r="2099" spans="2:17" ht="15.2" customHeight="1">
      <c r="B2099" s="96">
        <f>P2099</f>
        <v>356</v>
      </c>
      <c r="C2099" s="770" t="s">
        <v>2186</v>
      </c>
      <c r="D2099" s="770"/>
      <c r="E2099" s="770"/>
      <c r="F2099" s="771"/>
      <c r="G2099" s="470"/>
      <c r="H2099" s="470"/>
      <c r="I2099" s="470"/>
      <c r="J2099" s="470"/>
      <c r="K2099" s="470"/>
      <c r="L2099" s="470"/>
      <c r="M2099" s="470"/>
      <c r="N2099" s="470"/>
      <c r="O2099" s="459"/>
      <c r="P2099" s="767">
        <f>MAX($P$5:P2098)+1</f>
        <v>356</v>
      </c>
      <c r="Q2099" s="80" t="s">
        <v>3243</v>
      </c>
    </row>
    <row r="2100" spans="2:17" ht="15.2" customHeight="1">
      <c r="B2100" s="768" t="s">
        <v>2181</v>
      </c>
      <c r="C2100" s="769"/>
      <c r="D2100" s="84" t="s">
        <v>793</v>
      </c>
      <c r="E2100" s="88">
        <v>0.13600000000000001</v>
      </c>
      <c r="F2100" s="86" t="s">
        <v>1168</v>
      </c>
      <c r="G2100" s="470">
        <f>$H$33</f>
        <v>64236</v>
      </c>
      <c r="H2100" s="470">
        <f t="shared" ref="H2100:H2105" si="580">TRUNC(E2100*G2100,0)</f>
        <v>8736</v>
      </c>
      <c r="I2100" s="470">
        <f>$J$33</f>
        <v>305706</v>
      </c>
      <c r="J2100" s="470">
        <f t="shared" ref="J2100:J2105" si="581">TRUNC(I2100*E2100,0)</f>
        <v>41576</v>
      </c>
      <c r="K2100" s="470">
        <f>$L$33</f>
        <v>8398</v>
      </c>
      <c r="L2100" s="470">
        <f t="shared" ref="L2100:L2105" si="582">TRUNC(K2100*E2100,0)</f>
        <v>1142</v>
      </c>
      <c r="M2100" s="470">
        <f t="shared" ref="M2100:M2105" si="583">G2100+I2100+K2100</f>
        <v>378340</v>
      </c>
      <c r="N2100" s="470">
        <f t="shared" ref="N2100:N2105" si="584">H2100+J2100+L2100</f>
        <v>51454</v>
      </c>
      <c r="O2100" s="462">
        <f>$P$27</f>
        <v>5</v>
      </c>
      <c r="P2100" s="767"/>
    </row>
    <row r="2101" spans="2:17" ht="15.2" customHeight="1">
      <c r="B2101" s="768" t="s">
        <v>2182</v>
      </c>
      <c r="C2101" s="769"/>
      <c r="D2101" s="84" t="s">
        <v>793</v>
      </c>
      <c r="E2101" s="88">
        <v>0.42199999999999999</v>
      </c>
      <c r="F2101" s="86" t="s">
        <v>1168</v>
      </c>
      <c r="G2101" s="470">
        <f>$H$33</f>
        <v>64236</v>
      </c>
      <c r="H2101" s="470">
        <f t="shared" si="580"/>
        <v>27107</v>
      </c>
      <c r="I2101" s="470">
        <f>$J$33</f>
        <v>305706</v>
      </c>
      <c r="J2101" s="470">
        <f t="shared" si="581"/>
        <v>129007</v>
      </c>
      <c r="K2101" s="470">
        <f>$L$33</f>
        <v>8398</v>
      </c>
      <c r="L2101" s="470">
        <f t="shared" si="582"/>
        <v>3543</v>
      </c>
      <c r="M2101" s="470">
        <f t="shared" si="583"/>
        <v>378340</v>
      </c>
      <c r="N2101" s="470">
        <f t="shared" si="584"/>
        <v>159657</v>
      </c>
      <c r="O2101" s="462">
        <f>$P$27</f>
        <v>5</v>
      </c>
      <c r="P2101" s="767"/>
    </row>
    <row r="2102" spans="2:17" ht="15.2" customHeight="1">
      <c r="B2102" s="768" t="s">
        <v>1965</v>
      </c>
      <c r="C2102" s="769"/>
      <c r="D2102" s="84" t="s">
        <v>2183</v>
      </c>
      <c r="E2102" s="87">
        <v>4.5999999999999996</v>
      </c>
      <c r="F2102" s="86" t="s">
        <v>1352</v>
      </c>
      <c r="G2102" s="470">
        <f>$H$172</f>
        <v>7906</v>
      </c>
      <c r="H2102" s="470">
        <f t="shared" si="580"/>
        <v>36367</v>
      </c>
      <c r="I2102" s="470">
        <f>$J$172</f>
        <v>22490</v>
      </c>
      <c r="J2102" s="470">
        <f t="shared" si="581"/>
        <v>103454</v>
      </c>
      <c r="K2102" s="470">
        <f>$L$172</f>
        <v>0</v>
      </c>
      <c r="L2102" s="470">
        <f t="shared" si="582"/>
        <v>0</v>
      </c>
      <c r="M2102" s="470">
        <f t="shared" si="583"/>
        <v>30396</v>
      </c>
      <c r="N2102" s="470">
        <f t="shared" si="584"/>
        <v>139821</v>
      </c>
      <c r="O2102" s="462">
        <f>$P$168</f>
        <v>24</v>
      </c>
      <c r="P2102" s="767"/>
    </row>
    <row r="2103" spans="2:17" ht="15.2" customHeight="1">
      <c r="B2103" s="768" t="s">
        <v>1965</v>
      </c>
      <c r="C2103" s="769"/>
      <c r="D2103" s="84" t="s">
        <v>2184</v>
      </c>
      <c r="E2103" s="88">
        <v>0.40500000000000003</v>
      </c>
      <c r="F2103" s="86" t="s">
        <v>1352</v>
      </c>
      <c r="G2103" s="470">
        <f>$H$192</f>
        <v>6841</v>
      </c>
      <c r="H2103" s="470">
        <f t="shared" si="580"/>
        <v>2770</v>
      </c>
      <c r="I2103" s="470">
        <f>$J$192</f>
        <v>17992</v>
      </c>
      <c r="J2103" s="470">
        <f t="shared" si="581"/>
        <v>7286</v>
      </c>
      <c r="K2103" s="470">
        <f>$L$192</f>
        <v>0</v>
      </c>
      <c r="L2103" s="470">
        <f t="shared" si="582"/>
        <v>0</v>
      </c>
      <c r="M2103" s="470">
        <f t="shared" si="583"/>
        <v>24833</v>
      </c>
      <c r="N2103" s="470">
        <f t="shared" si="584"/>
        <v>10056</v>
      </c>
      <c r="O2103" s="462">
        <f>$P$188</f>
        <v>28</v>
      </c>
      <c r="P2103" s="767"/>
    </row>
    <row r="2104" spans="2:17" ht="15.2" customHeight="1">
      <c r="B2104" s="768" t="s">
        <v>914</v>
      </c>
      <c r="C2104" s="769"/>
      <c r="D2104" s="84" t="s">
        <v>3288</v>
      </c>
      <c r="E2104" s="87">
        <v>1</v>
      </c>
      <c r="F2104" s="86" t="s">
        <v>971</v>
      </c>
      <c r="G2104" s="470"/>
      <c r="H2104" s="470">
        <f t="shared" si="580"/>
        <v>0</v>
      </c>
      <c r="I2104" s="470"/>
      <c r="J2104" s="470">
        <f t="shared" si="581"/>
        <v>0</v>
      </c>
      <c r="K2104" s="470"/>
      <c r="L2104" s="470">
        <f t="shared" si="582"/>
        <v>0</v>
      </c>
      <c r="M2104" s="470">
        <f t="shared" si="583"/>
        <v>0</v>
      </c>
      <c r="N2104" s="470">
        <f t="shared" si="584"/>
        <v>0</v>
      </c>
      <c r="O2104" s="459"/>
      <c r="P2104" s="767"/>
    </row>
    <row r="2105" spans="2:17" ht="15.2" customHeight="1">
      <c r="B2105" s="768" t="s">
        <v>1165</v>
      </c>
      <c r="C2105" s="769"/>
      <c r="D2105" s="84"/>
      <c r="E2105" s="87">
        <v>0.02</v>
      </c>
      <c r="F2105" s="86" t="s">
        <v>1163</v>
      </c>
      <c r="G2105" s="470"/>
      <c r="H2105" s="470">
        <f t="shared" si="580"/>
        <v>0</v>
      </c>
      <c r="I2105" s="470">
        <f>SUMIF('노임(2015)'!$B$4:$B$87,B2105,'노임(2015)'!$C$4:$C$87)+SUMIF('노임(2015)'!$E$4:$E$87,B2105,'노임(2015)'!$F$4:$F$87)</f>
        <v>111771</v>
      </c>
      <c r="J2105" s="470">
        <f t="shared" si="581"/>
        <v>2235</v>
      </c>
      <c r="K2105" s="470"/>
      <c r="L2105" s="470">
        <f t="shared" si="582"/>
        <v>0</v>
      </c>
      <c r="M2105" s="470">
        <f t="shared" si="583"/>
        <v>111771</v>
      </c>
      <c r="N2105" s="470">
        <f t="shared" si="584"/>
        <v>2235</v>
      </c>
      <c r="O2105" s="459"/>
      <c r="P2105" s="767"/>
    </row>
    <row r="2106" spans="2:17" ht="15.2" customHeight="1">
      <c r="B2106" s="766" t="s">
        <v>855</v>
      </c>
      <c r="C2106" s="766"/>
      <c r="D2106" s="84"/>
      <c r="E2106" s="87"/>
      <c r="F2106" s="86"/>
      <c r="G2106" s="470"/>
      <c r="H2106" s="470">
        <f>SUM(H2100:H2105)</f>
        <v>74980</v>
      </c>
      <c r="I2106" s="470"/>
      <c r="J2106" s="470">
        <f>SUM(J2100:J2105)</f>
        <v>283558</v>
      </c>
      <c r="K2106" s="470"/>
      <c r="L2106" s="470">
        <f>SUM(L2100:L2105)</f>
        <v>4685</v>
      </c>
      <c r="M2106" s="470"/>
      <c r="N2106" s="470">
        <f>SUM(N2100:N2105)</f>
        <v>363223</v>
      </c>
      <c r="O2106" s="459"/>
      <c r="P2106" s="767"/>
      <c r="Q2106" s="80" t="s">
        <v>3244</v>
      </c>
    </row>
    <row r="2107" spans="2:17" ht="15.2" customHeight="1">
      <c r="B2107" s="96">
        <f>P2107</f>
        <v>357</v>
      </c>
      <c r="C2107" s="770" t="s">
        <v>2187</v>
      </c>
      <c r="D2107" s="770"/>
      <c r="E2107" s="770"/>
      <c r="F2107" s="771"/>
      <c r="G2107" s="470"/>
      <c r="H2107" s="470"/>
      <c r="I2107" s="470"/>
      <c r="J2107" s="470"/>
      <c r="K2107" s="470"/>
      <c r="L2107" s="470"/>
      <c r="M2107" s="470"/>
      <c r="N2107" s="470"/>
      <c r="O2107" s="459"/>
      <c r="P2107" s="767">
        <f>MAX($P$5:P2106)+1</f>
        <v>357</v>
      </c>
      <c r="Q2107" s="80" t="s">
        <v>3243</v>
      </c>
    </row>
    <row r="2108" spans="2:17" ht="15.2" customHeight="1">
      <c r="B2108" s="768" t="s">
        <v>2182</v>
      </c>
      <c r="C2108" s="769"/>
      <c r="D2108" s="84" t="s">
        <v>793</v>
      </c>
      <c r="E2108" s="87">
        <v>0.22</v>
      </c>
      <c r="F2108" s="86" t="s">
        <v>1168</v>
      </c>
      <c r="G2108" s="470">
        <f>$H$33</f>
        <v>64236</v>
      </c>
      <c r="H2108" s="470">
        <f>TRUNC(E2108*G2108,0)</f>
        <v>14131</v>
      </c>
      <c r="I2108" s="470">
        <f>$J$33</f>
        <v>305706</v>
      </c>
      <c r="J2108" s="470">
        <f>TRUNC(I2108*E2108,0)</f>
        <v>67255</v>
      </c>
      <c r="K2108" s="470">
        <f>$L$33</f>
        <v>8398</v>
      </c>
      <c r="L2108" s="470">
        <f>TRUNC(K2108*E2108,0)</f>
        <v>1847</v>
      </c>
      <c r="M2108" s="470">
        <f t="shared" ref="M2108:N2111" si="585">G2108+I2108+K2108</f>
        <v>378340</v>
      </c>
      <c r="N2108" s="470">
        <f t="shared" si="585"/>
        <v>83233</v>
      </c>
      <c r="O2108" s="462">
        <f>$P$27</f>
        <v>5</v>
      </c>
      <c r="P2108" s="767"/>
    </row>
    <row r="2109" spans="2:17" ht="15.2" customHeight="1">
      <c r="B2109" s="768" t="s">
        <v>1965</v>
      </c>
      <c r="C2109" s="769"/>
      <c r="D2109" s="84" t="s">
        <v>2183</v>
      </c>
      <c r="E2109" s="87">
        <v>2.2000000000000002</v>
      </c>
      <c r="F2109" s="86" t="s">
        <v>1352</v>
      </c>
      <c r="G2109" s="470">
        <f>$H$172</f>
        <v>7906</v>
      </c>
      <c r="H2109" s="470">
        <f>TRUNC(E2109*G2109,0)</f>
        <v>17393</v>
      </c>
      <c r="I2109" s="470">
        <f>$J$172</f>
        <v>22490</v>
      </c>
      <c r="J2109" s="470">
        <f>TRUNC(I2109*E2109,0)</f>
        <v>49478</v>
      </c>
      <c r="K2109" s="470">
        <f>$L$172</f>
        <v>0</v>
      </c>
      <c r="L2109" s="470">
        <f>TRUNC(K2109*E2109,0)</f>
        <v>0</v>
      </c>
      <c r="M2109" s="470">
        <f t="shared" si="585"/>
        <v>30396</v>
      </c>
      <c r="N2109" s="470">
        <f t="shared" si="585"/>
        <v>66871</v>
      </c>
      <c r="O2109" s="462">
        <f>$P$168</f>
        <v>24</v>
      </c>
      <c r="P2109" s="767"/>
    </row>
    <row r="2110" spans="2:17" ht="15.2" customHeight="1">
      <c r="B2110" s="768" t="s">
        <v>914</v>
      </c>
      <c r="C2110" s="769"/>
      <c r="D2110" s="84" t="s">
        <v>3287</v>
      </c>
      <c r="E2110" s="87">
        <v>2</v>
      </c>
      <c r="F2110" s="86" t="s">
        <v>971</v>
      </c>
      <c r="G2110" s="470"/>
      <c r="H2110" s="470">
        <f>TRUNC(E2110*G2110,0)</f>
        <v>0</v>
      </c>
      <c r="I2110" s="470"/>
      <c r="J2110" s="470">
        <f>TRUNC(I2110*E2110,0)</f>
        <v>0</v>
      </c>
      <c r="K2110" s="470"/>
      <c r="L2110" s="470">
        <f>TRUNC(K2110*E2110,0)</f>
        <v>0</v>
      </c>
      <c r="M2110" s="470">
        <f t="shared" si="585"/>
        <v>0</v>
      </c>
      <c r="N2110" s="470">
        <f t="shared" si="585"/>
        <v>0</v>
      </c>
      <c r="O2110" s="459"/>
      <c r="P2110" s="767"/>
    </row>
    <row r="2111" spans="2:17" ht="15.2" customHeight="1">
      <c r="B2111" s="768" t="s">
        <v>1165</v>
      </c>
      <c r="C2111" s="769"/>
      <c r="D2111" s="84"/>
      <c r="E2111" s="87">
        <v>0.02</v>
      </c>
      <c r="F2111" s="86" t="s">
        <v>1163</v>
      </c>
      <c r="G2111" s="470"/>
      <c r="H2111" s="470">
        <f>TRUNC(E2111*G2111,0)</f>
        <v>0</v>
      </c>
      <c r="I2111" s="470">
        <f>SUMIF('노임(2015)'!$B$4:$B$87,B2111,'노임(2015)'!$C$4:$C$87)+SUMIF('노임(2015)'!$E$4:$E$87,B2111,'노임(2015)'!$F$4:$F$87)</f>
        <v>111771</v>
      </c>
      <c r="J2111" s="470">
        <f>TRUNC(I2111*E2111,0)</f>
        <v>2235</v>
      </c>
      <c r="K2111" s="470"/>
      <c r="L2111" s="470">
        <f>TRUNC(K2111*E2111,0)</f>
        <v>0</v>
      </c>
      <c r="M2111" s="470">
        <f t="shared" si="585"/>
        <v>111771</v>
      </c>
      <c r="N2111" s="470">
        <f t="shared" si="585"/>
        <v>2235</v>
      </c>
      <c r="O2111" s="457"/>
      <c r="P2111" s="767"/>
    </row>
    <row r="2112" spans="2:17" ht="15.2" customHeight="1">
      <c r="B2112" s="766" t="s">
        <v>855</v>
      </c>
      <c r="C2112" s="766"/>
      <c r="D2112" s="84"/>
      <c r="E2112" s="87"/>
      <c r="F2112" s="86"/>
      <c r="G2112" s="470"/>
      <c r="H2112" s="470">
        <f>SUM(H2108:H2111)</f>
        <v>31524</v>
      </c>
      <c r="I2112" s="470"/>
      <c r="J2112" s="470">
        <f>SUM(J2108:J2111)</f>
        <v>118968</v>
      </c>
      <c r="K2112" s="470"/>
      <c r="L2112" s="470">
        <f>SUM(L2108:L2111)</f>
        <v>1847</v>
      </c>
      <c r="M2112" s="470"/>
      <c r="N2112" s="470">
        <f>SUM(N2108:N2111)</f>
        <v>152339</v>
      </c>
      <c r="O2112" s="457"/>
      <c r="P2112" s="767"/>
      <c r="Q2112" s="80" t="s">
        <v>3244</v>
      </c>
    </row>
    <row r="2113" spans="2:17" ht="15.2" customHeight="1">
      <c r="B2113" s="96">
        <f>P2113</f>
        <v>358</v>
      </c>
      <c r="C2113" s="770" t="s">
        <v>3216</v>
      </c>
      <c r="D2113" s="770"/>
      <c r="E2113" s="770"/>
      <c r="F2113" s="771"/>
      <c r="G2113" s="470"/>
      <c r="H2113" s="470"/>
      <c r="I2113" s="470"/>
      <c r="J2113" s="470"/>
      <c r="K2113" s="470"/>
      <c r="L2113" s="470"/>
      <c r="M2113" s="470"/>
      <c r="N2113" s="470"/>
      <c r="O2113" s="457"/>
      <c r="P2113" s="767">
        <f>MAX($P$5:P2112)+1</f>
        <v>358</v>
      </c>
      <c r="Q2113" s="80" t="s">
        <v>3243</v>
      </c>
    </row>
    <row r="2114" spans="2:17" ht="15.2" customHeight="1">
      <c r="B2114" s="768" t="s">
        <v>153</v>
      </c>
      <c r="C2114" s="769"/>
      <c r="D2114" s="84" t="s">
        <v>2188</v>
      </c>
      <c r="E2114" s="97">
        <v>2.3E-3</v>
      </c>
      <c r="F2114" s="86" t="s">
        <v>146</v>
      </c>
      <c r="G2114" s="470">
        <f>$H$2192</f>
        <v>12256</v>
      </c>
      <c r="H2114" s="470">
        <f>TRUNC(E2114*G2114,0)</f>
        <v>28</v>
      </c>
      <c r="I2114" s="470">
        <f>$J$2192</f>
        <v>787158</v>
      </c>
      <c r="J2114" s="470">
        <f>TRUNC(I2114*E2114,0)</f>
        <v>1810</v>
      </c>
      <c r="K2114" s="470">
        <f>$L$2192</f>
        <v>139304</v>
      </c>
      <c r="L2114" s="470">
        <f>TRUNC(K2114*E2114,0)</f>
        <v>320</v>
      </c>
      <c r="M2114" s="470">
        <f>G2114+I2114+K2114</f>
        <v>938718</v>
      </c>
      <c r="N2114" s="470">
        <f>H2114+J2114+L2114</f>
        <v>2158</v>
      </c>
      <c r="O2114" s="462">
        <f>$P$2186</f>
        <v>372</v>
      </c>
      <c r="P2114" s="767"/>
    </row>
    <row r="2115" spans="2:17" ht="15.2" customHeight="1">
      <c r="B2115" s="768" t="s">
        <v>2189</v>
      </c>
      <c r="C2115" s="769"/>
      <c r="D2115" s="84" t="s">
        <v>2188</v>
      </c>
      <c r="E2115" s="97">
        <v>2.3E-3</v>
      </c>
      <c r="F2115" s="86" t="s">
        <v>146</v>
      </c>
      <c r="G2115" s="470">
        <f>$H$2199</f>
        <v>26944</v>
      </c>
      <c r="H2115" s="470">
        <f>TRUNC(E2115*G2115,0)</f>
        <v>61</v>
      </c>
      <c r="I2115" s="470">
        <f>$J$2199</f>
        <v>530083</v>
      </c>
      <c r="J2115" s="470">
        <f>TRUNC(I2115*E2115,0)</f>
        <v>1219</v>
      </c>
      <c r="K2115" s="470">
        <f>$L$2199</f>
        <v>0</v>
      </c>
      <c r="L2115" s="470">
        <f>TRUNC(K2115*E2115,0)</f>
        <v>0</v>
      </c>
      <c r="M2115" s="470">
        <f>G2115+I2115+K2115</f>
        <v>557027</v>
      </c>
      <c r="N2115" s="470">
        <f>H2115+J2115+L2115</f>
        <v>1280</v>
      </c>
      <c r="O2115" s="462">
        <f>$P$2193</f>
        <v>373</v>
      </c>
      <c r="P2115" s="767"/>
    </row>
    <row r="2116" spans="2:17" ht="15.2" customHeight="1">
      <c r="B2116" s="766" t="s">
        <v>855</v>
      </c>
      <c r="C2116" s="766"/>
      <c r="D2116" s="84"/>
      <c r="E2116" s="87"/>
      <c r="F2116" s="86"/>
      <c r="G2116" s="470"/>
      <c r="H2116" s="470">
        <f>SUM(H2114:H2115)</f>
        <v>89</v>
      </c>
      <c r="I2116" s="470"/>
      <c r="J2116" s="470">
        <f>SUM(J2114:J2115)</f>
        <v>3029</v>
      </c>
      <c r="K2116" s="470"/>
      <c r="L2116" s="470">
        <f>SUM(L2114:L2115)</f>
        <v>320</v>
      </c>
      <c r="M2116" s="470"/>
      <c r="N2116" s="470">
        <f>SUM(N2114:N2115)</f>
        <v>3438</v>
      </c>
      <c r="O2116" s="459"/>
      <c r="P2116" s="767"/>
      <c r="Q2116" s="80" t="s">
        <v>3244</v>
      </c>
    </row>
    <row r="2117" spans="2:17" ht="15.2" customHeight="1">
      <c r="B2117" s="96">
        <f>P2117</f>
        <v>359</v>
      </c>
      <c r="C2117" s="770" t="s">
        <v>3217</v>
      </c>
      <c r="D2117" s="770"/>
      <c r="E2117" s="770"/>
      <c r="F2117" s="771"/>
      <c r="G2117" s="470"/>
      <c r="H2117" s="470"/>
      <c r="I2117" s="470"/>
      <c r="J2117" s="470"/>
      <c r="K2117" s="470"/>
      <c r="L2117" s="470"/>
      <c r="M2117" s="470"/>
      <c r="N2117" s="470"/>
      <c r="O2117" s="459"/>
      <c r="P2117" s="767">
        <f>MAX($P$5:P2116)+1</f>
        <v>359</v>
      </c>
      <c r="Q2117" s="80" t="s">
        <v>3243</v>
      </c>
    </row>
    <row r="2118" spans="2:17" ht="15.2" customHeight="1">
      <c r="B2118" s="768" t="s">
        <v>153</v>
      </c>
      <c r="C2118" s="769"/>
      <c r="D2118" s="84" t="s">
        <v>2188</v>
      </c>
      <c r="E2118" s="97">
        <v>3.5000000000000001E-3</v>
      </c>
      <c r="F2118" s="86" t="s">
        <v>146</v>
      </c>
      <c r="G2118" s="470">
        <f>$H$2192</f>
        <v>12256</v>
      </c>
      <c r="H2118" s="470">
        <f>TRUNC(E2118*G2118,0)</f>
        <v>42</v>
      </c>
      <c r="I2118" s="470">
        <f>$J$2192</f>
        <v>787158</v>
      </c>
      <c r="J2118" s="470">
        <f>TRUNC(I2118*E2118,0)</f>
        <v>2755</v>
      </c>
      <c r="K2118" s="470">
        <f>$L$2192</f>
        <v>139304</v>
      </c>
      <c r="L2118" s="470">
        <f>TRUNC(K2118*E2118,0)</f>
        <v>487</v>
      </c>
      <c r="M2118" s="470">
        <f>G2118+I2118+K2118</f>
        <v>938718</v>
      </c>
      <c r="N2118" s="470">
        <f>H2118+J2118+L2118</f>
        <v>3284</v>
      </c>
      <c r="O2118" s="462">
        <f>$P$2186</f>
        <v>372</v>
      </c>
      <c r="P2118" s="767"/>
    </row>
    <row r="2119" spans="2:17" ht="15.2" customHeight="1">
      <c r="B2119" s="768" t="s">
        <v>2189</v>
      </c>
      <c r="C2119" s="769"/>
      <c r="D2119" s="84" t="s">
        <v>2188</v>
      </c>
      <c r="E2119" s="97">
        <v>3.5000000000000001E-3</v>
      </c>
      <c r="F2119" s="86" t="s">
        <v>146</v>
      </c>
      <c r="G2119" s="470">
        <f>$H$2199</f>
        <v>26944</v>
      </c>
      <c r="H2119" s="470">
        <f>TRUNC(E2119*G2119,0)</f>
        <v>94</v>
      </c>
      <c r="I2119" s="470">
        <f>$J$2199</f>
        <v>530083</v>
      </c>
      <c r="J2119" s="470">
        <f>TRUNC(I2119*E2119,0)</f>
        <v>1855</v>
      </c>
      <c r="K2119" s="470">
        <f>$L$2199</f>
        <v>0</v>
      </c>
      <c r="L2119" s="470">
        <f>TRUNC(K2119*E2119,0)</f>
        <v>0</v>
      </c>
      <c r="M2119" s="470">
        <f>G2119+I2119+K2119</f>
        <v>557027</v>
      </c>
      <c r="N2119" s="470">
        <f>H2119+J2119+L2119</f>
        <v>1949</v>
      </c>
      <c r="O2119" s="462">
        <f>$P$2193</f>
        <v>373</v>
      </c>
      <c r="P2119" s="767"/>
    </row>
    <row r="2120" spans="2:17" ht="15.2" customHeight="1">
      <c r="B2120" s="766" t="s">
        <v>855</v>
      </c>
      <c r="C2120" s="766"/>
      <c r="D2120" s="84"/>
      <c r="E2120" s="87"/>
      <c r="F2120" s="86"/>
      <c r="G2120" s="470"/>
      <c r="H2120" s="470">
        <f>SUM(H2118:H2119)</f>
        <v>136</v>
      </c>
      <c r="I2120" s="470"/>
      <c r="J2120" s="470">
        <f>SUM(J2118:J2119)</f>
        <v>4610</v>
      </c>
      <c r="K2120" s="470"/>
      <c r="L2120" s="470">
        <f>SUM(L2118:L2119)</f>
        <v>487</v>
      </c>
      <c r="M2120" s="470"/>
      <c r="N2120" s="470">
        <f>SUM(N2118:N2119)</f>
        <v>5233</v>
      </c>
      <c r="O2120" s="459"/>
      <c r="P2120" s="767"/>
      <c r="Q2120" s="80" t="s">
        <v>3244</v>
      </c>
    </row>
    <row r="2121" spans="2:17" ht="15.2" customHeight="1">
      <c r="B2121" s="96">
        <f>P2121</f>
        <v>360</v>
      </c>
      <c r="C2121" s="770" t="s">
        <v>2190</v>
      </c>
      <c r="D2121" s="770"/>
      <c r="E2121" s="770"/>
      <c r="F2121" s="771"/>
      <c r="G2121" s="470"/>
      <c r="H2121" s="470"/>
      <c r="I2121" s="470"/>
      <c r="J2121" s="470"/>
      <c r="K2121" s="470"/>
      <c r="L2121" s="470"/>
      <c r="M2121" s="470"/>
      <c r="N2121" s="470"/>
      <c r="O2121" s="459"/>
      <c r="P2121" s="767">
        <f>MAX($P$5:P2120)+1</f>
        <v>360</v>
      </c>
      <c r="Q2121" s="80" t="s">
        <v>3243</v>
      </c>
    </row>
    <row r="2122" spans="2:17" ht="15.2" customHeight="1">
      <c r="B2122" s="768" t="s">
        <v>3787</v>
      </c>
      <c r="C2122" s="769"/>
      <c r="D2122" s="84" t="s">
        <v>3788</v>
      </c>
      <c r="E2122" s="87">
        <v>42</v>
      </c>
      <c r="F2122" s="86" t="s">
        <v>3789</v>
      </c>
      <c r="G2122" s="470">
        <f>사급자재!$M$138</f>
        <v>290</v>
      </c>
      <c r="H2122" s="470">
        <f>TRUNC(E2122*G2122,0)</f>
        <v>12180</v>
      </c>
      <c r="I2122" s="470"/>
      <c r="J2122" s="470">
        <f>TRUNC(I2122*E2122,0)</f>
        <v>0</v>
      </c>
      <c r="K2122" s="470"/>
      <c r="L2122" s="470">
        <f>TRUNC(K2122*E2122,0)</f>
        <v>0</v>
      </c>
      <c r="M2122" s="470">
        <f t="shared" ref="M2122:N2125" si="586">G2122+I2122+K2122</f>
        <v>290</v>
      </c>
      <c r="N2122" s="470">
        <f t="shared" si="586"/>
        <v>12180</v>
      </c>
      <c r="O2122" s="462"/>
      <c r="P2122" s="767"/>
    </row>
    <row r="2123" spans="2:17" ht="15.2" customHeight="1">
      <c r="B2123" s="768" t="s">
        <v>2191</v>
      </c>
      <c r="C2123" s="769"/>
      <c r="D2123" s="84" t="s">
        <v>3790</v>
      </c>
      <c r="E2123" s="88">
        <v>0.625</v>
      </c>
      <c r="F2123" s="86" t="s">
        <v>3791</v>
      </c>
      <c r="G2123" s="470"/>
      <c r="H2123" s="470">
        <f>TRUNC(E2123*G2123,0)</f>
        <v>0</v>
      </c>
      <c r="I2123" s="470">
        <f>SUMIF('노임(2015)'!$B$4:$B$87,D2123,'노임(2015)'!$C$4:$C$87)+SUMIF('노임(2015)'!$E$4:$E$87,D2123,'노임(2015)'!$F$4:$F$87)</f>
        <v>89566</v>
      </c>
      <c r="J2123" s="470">
        <f>TRUNC(I2123*E2123,0)</f>
        <v>55978</v>
      </c>
      <c r="K2123" s="470"/>
      <c r="L2123" s="470">
        <f>TRUNC(K2123*E2123,0)</f>
        <v>0</v>
      </c>
      <c r="M2123" s="470">
        <f>G2123+I2123+K2123</f>
        <v>89566</v>
      </c>
      <c r="N2123" s="470">
        <f>H2123+J2123+L2123</f>
        <v>55978</v>
      </c>
      <c r="O2123" s="462"/>
      <c r="P2123" s="767"/>
    </row>
    <row r="2124" spans="2:17" ht="15.2" customHeight="1">
      <c r="B2124" s="768" t="s">
        <v>2192</v>
      </c>
      <c r="C2124" s="769"/>
      <c r="D2124" s="84" t="s">
        <v>3790</v>
      </c>
      <c r="E2124" s="88">
        <v>0.25</v>
      </c>
      <c r="F2124" s="86" t="s">
        <v>3791</v>
      </c>
      <c r="G2124" s="470"/>
      <c r="H2124" s="470">
        <f>TRUNC(E2124*G2124,0)</f>
        <v>0</v>
      </c>
      <c r="I2124" s="470">
        <f>SUMIF('노임(2015)'!$B$4:$B$87,D2124,'노임(2015)'!$C$4:$C$87)+SUMIF('노임(2015)'!$E$4:$E$87,D2124,'노임(2015)'!$F$4:$F$87)</f>
        <v>89566</v>
      </c>
      <c r="J2124" s="470">
        <f>TRUNC(I2124*E2124,0)</f>
        <v>22391</v>
      </c>
      <c r="K2124" s="470"/>
      <c r="L2124" s="470">
        <f>TRUNC(K2124*E2124,0)</f>
        <v>0</v>
      </c>
      <c r="M2124" s="470">
        <f t="shared" si="586"/>
        <v>89566</v>
      </c>
      <c r="N2124" s="470">
        <f t="shared" si="586"/>
        <v>22391</v>
      </c>
      <c r="O2124" s="462"/>
      <c r="P2124" s="767"/>
    </row>
    <row r="2125" spans="2:17" ht="15.2" customHeight="1">
      <c r="B2125" s="768" t="s">
        <v>2193</v>
      </c>
      <c r="C2125" s="769"/>
      <c r="D2125" s="84" t="s">
        <v>3790</v>
      </c>
      <c r="E2125" s="88">
        <v>0.25</v>
      </c>
      <c r="F2125" s="86" t="s">
        <v>3791</v>
      </c>
      <c r="G2125" s="470"/>
      <c r="H2125" s="470">
        <f>TRUNC(E2125*G2125,0)</f>
        <v>0</v>
      </c>
      <c r="I2125" s="470">
        <f>SUMIF('노임(2015)'!$B$4:$B$87,D2125,'노임(2015)'!$C$4:$C$87)+SUMIF('노임(2015)'!$E$4:$E$87,D2125,'노임(2015)'!$F$4:$F$87)</f>
        <v>89566</v>
      </c>
      <c r="J2125" s="470">
        <f>TRUNC(I2125*E2125,0)</f>
        <v>22391</v>
      </c>
      <c r="K2125" s="470"/>
      <c r="L2125" s="470">
        <f>TRUNC(K2125*E2125,0)</f>
        <v>0</v>
      </c>
      <c r="M2125" s="470">
        <f t="shared" si="586"/>
        <v>89566</v>
      </c>
      <c r="N2125" s="470">
        <f t="shared" si="586"/>
        <v>22391</v>
      </c>
      <c r="O2125" s="462"/>
      <c r="P2125" s="767"/>
    </row>
    <row r="2126" spans="2:17" ht="15.2" customHeight="1">
      <c r="B2126" s="766" t="s">
        <v>855</v>
      </c>
      <c r="C2126" s="766"/>
      <c r="D2126" s="84"/>
      <c r="E2126" s="87"/>
      <c r="F2126" s="86"/>
      <c r="G2126" s="470"/>
      <c r="H2126" s="470">
        <f>SUM(H2122:H2125)</f>
        <v>12180</v>
      </c>
      <c r="I2126" s="470"/>
      <c r="J2126" s="470">
        <f>SUM(J2122:J2125)</f>
        <v>100760</v>
      </c>
      <c r="K2126" s="470"/>
      <c r="L2126" s="470">
        <f>SUM(L2122:L2125)</f>
        <v>0</v>
      </c>
      <c r="M2126" s="470"/>
      <c r="N2126" s="470">
        <f>SUM(N2122:N2125)</f>
        <v>112940</v>
      </c>
      <c r="O2126" s="457"/>
      <c r="P2126" s="767"/>
      <c r="Q2126" s="80" t="s">
        <v>3244</v>
      </c>
    </row>
    <row r="2127" spans="2:17" ht="15.2" customHeight="1">
      <c r="B2127" s="96">
        <f>P2127</f>
        <v>361</v>
      </c>
      <c r="C2127" s="770" t="s">
        <v>2194</v>
      </c>
      <c r="D2127" s="770"/>
      <c r="E2127" s="770"/>
      <c r="F2127" s="771"/>
      <c r="G2127" s="470"/>
      <c r="H2127" s="470"/>
      <c r="I2127" s="470"/>
      <c r="J2127" s="470"/>
      <c r="K2127" s="470"/>
      <c r="L2127" s="470"/>
      <c r="M2127" s="470"/>
      <c r="N2127" s="470"/>
      <c r="O2127" s="457"/>
      <c r="P2127" s="767">
        <f>MAX($P$5:P2126)+1</f>
        <v>361</v>
      </c>
      <c r="Q2127" s="80" t="s">
        <v>3243</v>
      </c>
    </row>
    <row r="2128" spans="2:17" ht="15.2" customHeight="1">
      <c r="B2128" s="768" t="s">
        <v>2195</v>
      </c>
      <c r="C2128" s="769"/>
      <c r="D2128" s="84" t="s">
        <v>2196</v>
      </c>
      <c r="E2128" s="87">
        <v>1</v>
      </c>
      <c r="F2128" s="86" t="s">
        <v>1161</v>
      </c>
      <c r="G2128" s="470">
        <f>사급자재!$M$221</f>
        <v>5000</v>
      </c>
      <c r="H2128" s="470">
        <f>TRUNC(E2128*G2128,0)</f>
        <v>5000</v>
      </c>
      <c r="I2128" s="470"/>
      <c r="J2128" s="470">
        <f>TRUNC(I2128*E2128,0)</f>
        <v>0</v>
      </c>
      <c r="K2128" s="470"/>
      <c r="L2128" s="470">
        <f>TRUNC(K2128*E2128,0)</f>
        <v>0</v>
      </c>
      <c r="M2128" s="470">
        <f>G2128+I2128+K2128</f>
        <v>5000</v>
      </c>
      <c r="N2128" s="470">
        <f>H2128+J2128+L2128</f>
        <v>5000</v>
      </c>
      <c r="O2128" s="464"/>
      <c r="P2128" s="767"/>
    </row>
    <row r="2129" spans="2:17" ht="15.2" customHeight="1">
      <c r="B2129" s="766" t="s">
        <v>855</v>
      </c>
      <c r="C2129" s="766"/>
      <c r="D2129" s="84"/>
      <c r="E2129" s="87"/>
      <c r="F2129" s="86"/>
      <c r="G2129" s="470"/>
      <c r="H2129" s="470">
        <f>SUM(H2128:H2128)</f>
        <v>5000</v>
      </c>
      <c r="I2129" s="470"/>
      <c r="J2129" s="470">
        <f>SUM(J2128:J2128)</f>
        <v>0</v>
      </c>
      <c r="K2129" s="470"/>
      <c r="L2129" s="470">
        <f>SUM(L2128:L2128)</f>
        <v>0</v>
      </c>
      <c r="M2129" s="470"/>
      <c r="N2129" s="470">
        <f>SUM(N2128:N2128)</f>
        <v>5000</v>
      </c>
      <c r="O2129" s="457"/>
      <c r="P2129" s="767"/>
      <c r="Q2129" s="80" t="s">
        <v>3244</v>
      </c>
    </row>
    <row r="2130" spans="2:17" ht="15.2" customHeight="1">
      <c r="B2130" s="96">
        <f>P2130</f>
        <v>362</v>
      </c>
      <c r="C2130" s="770" t="s">
        <v>2197</v>
      </c>
      <c r="D2130" s="770"/>
      <c r="E2130" s="770"/>
      <c r="F2130" s="771"/>
      <c r="G2130" s="470"/>
      <c r="H2130" s="470"/>
      <c r="I2130" s="470"/>
      <c r="J2130" s="470"/>
      <c r="K2130" s="470"/>
      <c r="L2130" s="470"/>
      <c r="M2130" s="470"/>
      <c r="N2130" s="470"/>
      <c r="O2130" s="457"/>
      <c r="P2130" s="767">
        <f>MAX($P$5:P2129)+1</f>
        <v>362</v>
      </c>
      <c r="Q2130" s="80" t="s">
        <v>3243</v>
      </c>
    </row>
    <row r="2131" spans="2:17" ht="15.2" customHeight="1">
      <c r="B2131" s="768" t="s">
        <v>2195</v>
      </c>
      <c r="C2131" s="769"/>
      <c r="D2131" s="84" t="s">
        <v>2196</v>
      </c>
      <c r="E2131" s="87">
        <v>1</v>
      </c>
      <c r="F2131" s="86" t="s">
        <v>1161</v>
      </c>
      <c r="G2131" s="470">
        <f>사급자재!$M$220</f>
        <v>4000</v>
      </c>
      <c r="H2131" s="470">
        <f>TRUNC(E2131*G2131,0)</f>
        <v>4000</v>
      </c>
      <c r="I2131" s="470"/>
      <c r="J2131" s="470">
        <f>TRUNC(I2131*E2131,0)</f>
        <v>0</v>
      </c>
      <c r="K2131" s="470"/>
      <c r="L2131" s="470">
        <f>TRUNC(K2131*E2131,0)</f>
        <v>0</v>
      </c>
      <c r="M2131" s="470">
        <f>G2131+I2131+K2131</f>
        <v>4000</v>
      </c>
      <c r="N2131" s="470">
        <f>H2131+J2131+L2131</f>
        <v>4000</v>
      </c>
      <c r="O2131" s="464"/>
      <c r="P2131" s="767"/>
    </row>
    <row r="2132" spans="2:17" ht="15.2" customHeight="1">
      <c r="B2132" s="766" t="s">
        <v>855</v>
      </c>
      <c r="C2132" s="766"/>
      <c r="D2132" s="84"/>
      <c r="E2132" s="87"/>
      <c r="F2132" s="86"/>
      <c r="G2132" s="470"/>
      <c r="H2132" s="470">
        <f>SUM(H2131:H2131)</f>
        <v>4000</v>
      </c>
      <c r="I2132" s="470"/>
      <c r="J2132" s="470">
        <f>SUM(J2131:J2131)</f>
        <v>0</v>
      </c>
      <c r="K2132" s="470"/>
      <c r="L2132" s="470">
        <f>SUM(L2131:L2131)</f>
        <v>0</v>
      </c>
      <c r="M2132" s="470"/>
      <c r="N2132" s="470">
        <f>SUM(N2131:N2131)</f>
        <v>4000</v>
      </c>
      <c r="O2132" s="457"/>
      <c r="P2132" s="767"/>
      <c r="Q2132" s="80" t="s">
        <v>3244</v>
      </c>
    </row>
    <row r="2133" spans="2:17" ht="15.2" customHeight="1">
      <c r="B2133" s="96">
        <f>P2133</f>
        <v>363</v>
      </c>
      <c r="C2133" s="770" t="s">
        <v>2198</v>
      </c>
      <c r="D2133" s="770"/>
      <c r="E2133" s="770"/>
      <c r="F2133" s="771"/>
      <c r="G2133" s="470"/>
      <c r="H2133" s="470"/>
      <c r="I2133" s="470"/>
      <c r="J2133" s="470"/>
      <c r="K2133" s="470"/>
      <c r="L2133" s="470"/>
      <c r="M2133" s="470"/>
      <c r="N2133" s="470"/>
      <c r="O2133" s="457"/>
      <c r="P2133" s="767">
        <f>MAX($P$5:P2132)+1</f>
        <v>363</v>
      </c>
      <c r="Q2133" s="80" t="s">
        <v>3243</v>
      </c>
    </row>
    <row r="2134" spans="2:17" ht="15.2" customHeight="1">
      <c r="B2134" s="768" t="s">
        <v>154</v>
      </c>
      <c r="C2134" s="769"/>
      <c r="D2134" s="84" t="s">
        <v>1731</v>
      </c>
      <c r="E2134" s="87">
        <v>4</v>
      </c>
      <c r="F2134" s="86" t="s">
        <v>1161</v>
      </c>
      <c r="G2134" s="470">
        <f>사급자재!$M$198</f>
        <v>3200</v>
      </c>
      <c r="H2134" s="470">
        <f>TRUNC(E2134*G2134,0)</f>
        <v>12800</v>
      </c>
      <c r="I2134" s="470"/>
      <c r="J2134" s="470">
        <f>TRUNC(I2134*E2134,0)</f>
        <v>0</v>
      </c>
      <c r="K2134" s="470"/>
      <c r="L2134" s="470">
        <f>TRUNC(K2134*E2134,0)</f>
        <v>0</v>
      </c>
      <c r="M2134" s="470">
        <f t="shared" ref="M2134:N2137" si="587">G2134+I2134+K2134</f>
        <v>3200</v>
      </c>
      <c r="N2134" s="470">
        <f t="shared" si="587"/>
        <v>12800</v>
      </c>
      <c r="O2134" s="464"/>
      <c r="P2134" s="767"/>
    </row>
    <row r="2135" spans="2:17" ht="15.2" customHeight="1">
      <c r="B2135" s="768" t="s">
        <v>1358</v>
      </c>
      <c r="C2135" s="769"/>
      <c r="D2135" s="84" t="s">
        <v>1731</v>
      </c>
      <c r="E2135" s="87">
        <v>4</v>
      </c>
      <c r="F2135" s="86" t="s">
        <v>1190</v>
      </c>
      <c r="G2135" s="470">
        <f>사급자재!$M$200</f>
        <v>3250</v>
      </c>
      <c r="H2135" s="470">
        <f>TRUNC(E2135*G2135,0)</f>
        <v>13000</v>
      </c>
      <c r="I2135" s="470"/>
      <c r="J2135" s="470">
        <f>TRUNC(I2135*E2135,0)</f>
        <v>0</v>
      </c>
      <c r="K2135" s="470"/>
      <c r="L2135" s="470">
        <f>TRUNC(K2135*E2135,0)</f>
        <v>0</v>
      </c>
      <c r="M2135" s="470">
        <f t="shared" si="587"/>
        <v>3250</v>
      </c>
      <c r="N2135" s="470">
        <f t="shared" si="587"/>
        <v>13000</v>
      </c>
      <c r="O2135" s="464"/>
      <c r="P2135" s="767"/>
    </row>
    <row r="2136" spans="2:17" ht="15.2" customHeight="1">
      <c r="B2136" s="768" t="s">
        <v>155</v>
      </c>
      <c r="C2136" s="769"/>
      <c r="D2136" s="84" t="s">
        <v>1731</v>
      </c>
      <c r="E2136" s="87">
        <v>4</v>
      </c>
      <c r="F2136" s="86" t="s">
        <v>1190</v>
      </c>
      <c r="G2136" s="470">
        <f>$H$2207</f>
        <v>0</v>
      </c>
      <c r="H2136" s="470">
        <f>TRUNC(E2136*G2136,0)</f>
        <v>0</v>
      </c>
      <c r="I2136" s="470">
        <f>$J$2207</f>
        <v>9024</v>
      </c>
      <c r="J2136" s="470">
        <f>TRUNC(I2136*E2136,0)</f>
        <v>36096</v>
      </c>
      <c r="K2136" s="470">
        <f>$L$2207</f>
        <v>270</v>
      </c>
      <c r="L2136" s="470">
        <f>TRUNC(K2136*E2136,0)</f>
        <v>1080</v>
      </c>
      <c r="M2136" s="470">
        <f t="shared" si="587"/>
        <v>9294</v>
      </c>
      <c r="N2136" s="470">
        <f t="shared" si="587"/>
        <v>37176</v>
      </c>
      <c r="O2136" s="459">
        <f>$H$2207</f>
        <v>0</v>
      </c>
      <c r="P2136" s="767"/>
    </row>
    <row r="2137" spans="2:17" ht="15.2" customHeight="1">
      <c r="B2137" s="768" t="s">
        <v>1359</v>
      </c>
      <c r="C2137" s="769"/>
      <c r="D2137" s="84" t="s">
        <v>1731</v>
      </c>
      <c r="E2137" s="87">
        <v>2</v>
      </c>
      <c r="F2137" s="86" t="s">
        <v>1357</v>
      </c>
      <c r="G2137" s="470">
        <f>$H$2202</f>
        <v>0</v>
      </c>
      <c r="H2137" s="470">
        <f>TRUNC(E2137*G2137,0)</f>
        <v>0</v>
      </c>
      <c r="I2137" s="470">
        <f>$J$2202</f>
        <v>17913</v>
      </c>
      <c r="J2137" s="470">
        <f>TRUNC(I2137*E2137,0)</f>
        <v>35826</v>
      </c>
      <c r="K2137" s="470">
        <f>$L$2202</f>
        <v>0</v>
      </c>
      <c r="L2137" s="470">
        <f>TRUNC(K2137*E2137,0)</f>
        <v>0</v>
      </c>
      <c r="M2137" s="470">
        <f t="shared" si="587"/>
        <v>17913</v>
      </c>
      <c r="N2137" s="470">
        <f t="shared" si="587"/>
        <v>35826</v>
      </c>
      <c r="O2137" s="459">
        <f>$H$2202</f>
        <v>0</v>
      </c>
      <c r="P2137" s="767"/>
    </row>
    <row r="2138" spans="2:17" ht="15.2" customHeight="1">
      <c r="B2138" s="766" t="s">
        <v>855</v>
      </c>
      <c r="C2138" s="766"/>
      <c r="D2138" s="84"/>
      <c r="E2138" s="87"/>
      <c r="F2138" s="86"/>
      <c r="G2138" s="470"/>
      <c r="H2138" s="470">
        <f>SUM(H2134:H2137)</f>
        <v>25800</v>
      </c>
      <c r="I2138" s="470"/>
      <c r="J2138" s="470">
        <f>SUM(J2134:J2137)</f>
        <v>71922</v>
      </c>
      <c r="K2138" s="470"/>
      <c r="L2138" s="470">
        <f>SUM(L2134:L2137)</f>
        <v>1080</v>
      </c>
      <c r="M2138" s="470"/>
      <c r="N2138" s="470">
        <f>SUM(N2134:N2137)</f>
        <v>98802</v>
      </c>
      <c r="O2138" s="457"/>
      <c r="P2138" s="767"/>
      <c r="Q2138" s="80" t="s">
        <v>3244</v>
      </c>
    </row>
    <row r="2139" spans="2:17" ht="15.2" customHeight="1">
      <c r="B2139" s="96">
        <f>P2139</f>
        <v>364</v>
      </c>
      <c r="C2139" s="770" t="s">
        <v>2199</v>
      </c>
      <c r="D2139" s="770"/>
      <c r="E2139" s="770"/>
      <c r="F2139" s="771"/>
      <c r="G2139" s="470"/>
      <c r="H2139" s="470"/>
      <c r="I2139" s="470"/>
      <c r="J2139" s="470"/>
      <c r="K2139" s="470"/>
      <c r="L2139" s="470"/>
      <c r="M2139" s="470"/>
      <c r="N2139" s="470"/>
      <c r="O2139" s="457"/>
      <c r="P2139" s="767">
        <f>MAX($P$5:P2138)+1</f>
        <v>364</v>
      </c>
      <c r="Q2139" s="80" t="s">
        <v>3243</v>
      </c>
    </row>
    <row r="2140" spans="2:17" ht="15.2" customHeight="1">
      <c r="B2140" s="768" t="s">
        <v>154</v>
      </c>
      <c r="C2140" s="769"/>
      <c r="D2140" s="84" t="s">
        <v>1360</v>
      </c>
      <c r="E2140" s="87">
        <v>4</v>
      </c>
      <c r="F2140" s="86" t="s">
        <v>1161</v>
      </c>
      <c r="G2140" s="470">
        <f>사급자재!$M$199</f>
        <v>9980</v>
      </c>
      <c r="H2140" s="470">
        <f>TRUNC(E2140*G2140,0)</f>
        <v>39920</v>
      </c>
      <c r="I2140" s="470"/>
      <c r="J2140" s="470">
        <f>TRUNC(I2140*E2140,0)</f>
        <v>0</v>
      </c>
      <c r="K2140" s="470"/>
      <c r="L2140" s="470">
        <f>TRUNC(K2140*E2140,0)</f>
        <v>0</v>
      </c>
      <c r="M2140" s="470">
        <f t="shared" ref="M2140:N2143" si="588">G2140+I2140+K2140</f>
        <v>9980</v>
      </c>
      <c r="N2140" s="470">
        <f t="shared" si="588"/>
        <v>39920</v>
      </c>
      <c r="O2140" s="464"/>
      <c r="P2140" s="767"/>
    </row>
    <row r="2141" spans="2:17" ht="15.2" customHeight="1">
      <c r="B2141" s="768" t="s">
        <v>1358</v>
      </c>
      <c r="C2141" s="769"/>
      <c r="D2141" s="84" t="s">
        <v>1360</v>
      </c>
      <c r="E2141" s="87">
        <v>4</v>
      </c>
      <c r="F2141" s="86" t="s">
        <v>1190</v>
      </c>
      <c r="G2141" s="470">
        <f>사급자재!$M$201</f>
        <v>6490</v>
      </c>
      <c r="H2141" s="470">
        <f>TRUNC(E2141*G2141,0)</f>
        <v>25960</v>
      </c>
      <c r="I2141" s="470"/>
      <c r="J2141" s="470">
        <f>TRUNC(I2141*E2141,0)</f>
        <v>0</v>
      </c>
      <c r="K2141" s="470"/>
      <c r="L2141" s="470">
        <f>TRUNC(K2141*E2141,0)</f>
        <v>0</v>
      </c>
      <c r="M2141" s="470">
        <f t="shared" si="588"/>
        <v>6490</v>
      </c>
      <c r="N2141" s="470">
        <f t="shared" si="588"/>
        <v>25960</v>
      </c>
      <c r="O2141" s="464"/>
      <c r="P2141" s="767"/>
    </row>
    <row r="2142" spans="2:17" ht="15.2" customHeight="1">
      <c r="B2142" s="768" t="s">
        <v>155</v>
      </c>
      <c r="C2142" s="769"/>
      <c r="D2142" s="84" t="s">
        <v>1360</v>
      </c>
      <c r="E2142" s="87">
        <v>4</v>
      </c>
      <c r="F2142" s="86" t="s">
        <v>1190</v>
      </c>
      <c r="G2142" s="470">
        <f>$H$2212</f>
        <v>0</v>
      </c>
      <c r="H2142" s="470">
        <f>TRUNC(E2142*G2142,0)</f>
        <v>0</v>
      </c>
      <c r="I2142" s="470">
        <f>$J$2212</f>
        <v>19111</v>
      </c>
      <c r="J2142" s="470">
        <f>TRUNC(I2142*E2142,0)</f>
        <v>76444</v>
      </c>
      <c r="K2142" s="470">
        <f>$L$2212</f>
        <v>573</v>
      </c>
      <c r="L2142" s="470">
        <f>TRUNC(K2142*E2142,0)</f>
        <v>2292</v>
      </c>
      <c r="M2142" s="470">
        <f t="shared" si="588"/>
        <v>19684</v>
      </c>
      <c r="N2142" s="470">
        <f t="shared" si="588"/>
        <v>78736</v>
      </c>
      <c r="O2142" s="459">
        <f>$H$2212</f>
        <v>0</v>
      </c>
      <c r="P2142" s="767"/>
    </row>
    <row r="2143" spans="2:17" ht="15.2" customHeight="1">
      <c r="B2143" s="768" t="s">
        <v>1359</v>
      </c>
      <c r="C2143" s="769"/>
      <c r="D2143" s="84" t="s">
        <v>1360</v>
      </c>
      <c r="E2143" s="87">
        <v>2</v>
      </c>
      <c r="F2143" s="86" t="s">
        <v>1357</v>
      </c>
      <c r="G2143" s="470">
        <f>$H$2202</f>
        <v>0</v>
      </c>
      <c r="H2143" s="470">
        <f>TRUNC(E2143*G2143,0)</f>
        <v>0</v>
      </c>
      <c r="I2143" s="470">
        <f>$J$2202</f>
        <v>17913</v>
      </c>
      <c r="J2143" s="470">
        <f>TRUNC(I2143*E2143,0)</f>
        <v>35826</v>
      </c>
      <c r="K2143" s="470">
        <f>$L$2202</f>
        <v>0</v>
      </c>
      <c r="L2143" s="470">
        <f>TRUNC(K2143*E2143,0)</f>
        <v>0</v>
      </c>
      <c r="M2143" s="470">
        <f t="shared" si="588"/>
        <v>17913</v>
      </c>
      <c r="N2143" s="470">
        <f t="shared" si="588"/>
        <v>35826</v>
      </c>
      <c r="O2143" s="459">
        <f>$H$2202</f>
        <v>0</v>
      </c>
      <c r="P2143" s="767"/>
    </row>
    <row r="2144" spans="2:17" ht="15.2" customHeight="1">
      <c r="B2144" s="766" t="s">
        <v>855</v>
      </c>
      <c r="C2144" s="766"/>
      <c r="D2144" s="84"/>
      <c r="E2144" s="87"/>
      <c r="F2144" s="86"/>
      <c r="G2144" s="470"/>
      <c r="H2144" s="470">
        <f>SUM(H2140:H2143)</f>
        <v>65880</v>
      </c>
      <c r="I2144" s="470"/>
      <c r="J2144" s="470">
        <f>SUM(J2140:J2143)</f>
        <v>112270</v>
      </c>
      <c r="K2144" s="470"/>
      <c r="L2144" s="470">
        <f>SUM(L2140:L2143)</f>
        <v>2292</v>
      </c>
      <c r="M2144" s="470"/>
      <c r="N2144" s="470">
        <f>SUM(N2140:N2143)</f>
        <v>180442</v>
      </c>
      <c r="O2144" s="457"/>
      <c r="P2144" s="767"/>
      <c r="Q2144" s="80" t="s">
        <v>3244</v>
      </c>
    </row>
    <row r="2145" spans="2:17" ht="15.2" customHeight="1">
      <c r="B2145" s="96">
        <f>P2145</f>
        <v>365</v>
      </c>
      <c r="C2145" s="770" t="s">
        <v>2072</v>
      </c>
      <c r="D2145" s="770"/>
      <c r="E2145" s="770"/>
      <c r="F2145" s="771"/>
      <c r="G2145" s="470"/>
      <c r="H2145" s="470"/>
      <c r="I2145" s="470"/>
      <c r="J2145" s="470"/>
      <c r="K2145" s="470"/>
      <c r="L2145" s="470"/>
      <c r="M2145" s="470"/>
      <c r="N2145" s="470"/>
      <c r="O2145" s="457"/>
      <c r="P2145" s="767">
        <f>MAX($P$5:P2144)+1</f>
        <v>365</v>
      </c>
      <c r="Q2145" s="80" t="s">
        <v>3243</v>
      </c>
    </row>
    <row r="2146" spans="2:17" ht="15.2" customHeight="1">
      <c r="B2146" s="768" t="s">
        <v>2201</v>
      </c>
      <c r="C2146" s="769"/>
      <c r="D2146" s="84"/>
      <c r="E2146" s="87">
        <v>0.1</v>
      </c>
      <c r="F2146" s="86" t="s">
        <v>1161</v>
      </c>
      <c r="G2146" s="470">
        <f>사급자재!$M$128</f>
        <v>300000</v>
      </c>
      <c r="H2146" s="470">
        <f>TRUNC(E2146*G2146,0)</f>
        <v>30000</v>
      </c>
      <c r="I2146" s="470"/>
      <c r="J2146" s="470">
        <f>TRUNC(I2146*E2146,0)</f>
        <v>0</v>
      </c>
      <c r="K2146" s="470"/>
      <c r="L2146" s="470">
        <f>TRUNC(K2146*E2146,0)</f>
        <v>0</v>
      </c>
      <c r="M2146" s="470">
        <f t="shared" ref="M2146:N2149" si="589">G2146+I2146+K2146</f>
        <v>300000</v>
      </c>
      <c r="N2146" s="470">
        <f t="shared" si="589"/>
        <v>30000</v>
      </c>
      <c r="O2146" s="464"/>
      <c r="P2146" s="767"/>
    </row>
    <row r="2147" spans="2:17" ht="15.2" customHeight="1">
      <c r="B2147" s="768" t="s">
        <v>1361</v>
      </c>
      <c r="C2147" s="769"/>
      <c r="D2147" s="84" t="s">
        <v>2202</v>
      </c>
      <c r="E2147" s="87">
        <v>0.2</v>
      </c>
      <c r="F2147" s="86" t="s">
        <v>933</v>
      </c>
      <c r="G2147" s="470">
        <f>사급자재!$M$206</f>
        <v>40000</v>
      </c>
      <c r="H2147" s="470">
        <f>TRUNC(E2147*G2147,0)</f>
        <v>8000</v>
      </c>
      <c r="I2147" s="470"/>
      <c r="J2147" s="470">
        <f>TRUNC(I2147*E2147,0)</f>
        <v>0</v>
      </c>
      <c r="K2147" s="470"/>
      <c r="L2147" s="470">
        <f>TRUNC(K2147*E2147,0)</f>
        <v>0</v>
      </c>
      <c r="M2147" s="470">
        <f t="shared" si="589"/>
        <v>40000</v>
      </c>
      <c r="N2147" s="470">
        <f t="shared" si="589"/>
        <v>8000</v>
      </c>
      <c r="O2147" s="464"/>
      <c r="P2147" s="767"/>
    </row>
    <row r="2148" spans="2:17" ht="15.2" customHeight="1">
      <c r="B2148" s="768" t="s">
        <v>1165</v>
      </c>
      <c r="C2148" s="769"/>
      <c r="D2148" s="84"/>
      <c r="E2148" s="87">
        <v>0.26</v>
      </c>
      <c r="F2148" s="86" t="s">
        <v>1163</v>
      </c>
      <c r="G2148" s="470"/>
      <c r="H2148" s="470">
        <f>TRUNC(E2148*G2148,0)</f>
        <v>0</v>
      </c>
      <c r="I2148" s="470">
        <f>SUMIF('노임(2015)'!$B$4:$B$87,B2148,'노임(2015)'!$C$4:$C$87)+SUMIF('노임(2015)'!$E$4:$E$87,B2148,'노임(2015)'!$F$4:$F$87)</f>
        <v>111771</v>
      </c>
      <c r="J2148" s="470">
        <f>TRUNC(I2148*E2148,0)</f>
        <v>29060</v>
      </c>
      <c r="K2148" s="470"/>
      <c r="L2148" s="470">
        <f>TRUNC(K2148*E2148,0)</f>
        <v>0</v>
      </c>
      <c r="M2148" s="470">
        <f t="shared" si="589"/>
        <v>111771</v>
      </c>
      <c r="N2148" s="470">
        <f t="shared" si="589"/>
        <v>29060</v>
      </c>
      <c r="O2148" s="466"/>
      <c r="P2148" s="767"/>
    </row>
    <row r="2149" spans="2:17" ht="15.2" customHeight="1">
      <c r="B2149" s="768" t="s">
        <v>1162</v>
      </c>
      <c r="C2149" s="769"/>
      <c r="D2149" s="84"/>
      <c r="E2149" s="87">
        <v>0.47</v>
      </c>
      <c r="F2149" s="86" t="s">
        <v>1163</v>
      </c>
      <c r="G2149" s="470"/>
      <c r="H2149" s="470">
        <f>TRUNC(E2149*G2149,0)</f>
        <v>0</v>
      </c>
      <c r="I2149" s="470">
        <f>SUMIF('노임(2015)'!$B$4:$B$87,B2149,'노임(2015)'!$C$4:$C$87)+SUMIF('노임(2015)'!$E$4:$E$87,B2149,'노임(2015)'!$F$4:$F$87)</f>
        <v>89566</v>
      </c>
      <c r="J2149" s="470">
        <f>TRUNC(I2149*E2149,0)</f>
        <v>42096</v>
      </c>
      <c r="K2149" s="470"/>
      <c r="L2149" s="470">
        <f>TRUNC(K2149*E2149,0)</f>
        <v>0</v>
      </c>
      <c r="M2149" s="470">
        <f t="shared" si="589"/>
        <v>89566</v>
      </c>
      <c r="N2149" s="470">
        <f t="shared" si="589"/>
        <v>42096</v>
      </c>
      <c r="O2149" s="466"/>
      <c r="P2149" s="767"/>
    </row>
    <row r="2150" spans="2:17" ht="15.2" customHeight="1">
      <c r="B2150" s="766" t="s">
        <v>855</v>
      </c>
      <c r="C2150" s="766"/>
      <c r="D2150" s="84"/>
      <c r="E2150" s="87"/>
      <c r="F2150" s="86"/>
      <c r="G2150" s="470"/>
      <c r="H2150" s="470">
        <f>SUM(H2146:H2149)</f>
        <v>38000</v>
      </c>
      <c r="I2150" s="470"/>
      <c r="J2150" s="470">
        <f>SUM(J2146:J2149)</f>
        <v>71156</v>
      </c>
      <c r="K2150" s="470"/>
      <c r="L2150" s="470">
        <f>SUM(L2146:L2149)</f>
        <v>0</v>
      </c>
      <c r="M2150" s="470"/>
      <c r="N2150" s="470">
        <f>SUM(N2146:N2149)</f>
        <v>109156</v>
      </c>
      <c r="O2150" s="457"/>
      <c r="P2150" s="767"/>
      <c r="Q2150" s="80" t="s">
        <v>1164</v>
      </c>
    </row>
    <row r="2151" spans="2:17" ht="15.2" customHeight="1">
      <c r="B2151" s="96">
        <f>P2151</f>
        <v>366</v>
      </c>
      <c r="C2151" s="770" t="s">
        <v>2200</v>
      </c>
      <c r="D2151" s="770"/>
      <c r="E2151" s="770"/>
      <c r="F2151" s="771"/>
      <c r="G2151" s="470"/>
      <c r="H2151" s="470"/>
      <c r="I2151" s="470"/>
      <c r="J2151" s="470"/>
      <c r="K2151" s="470"/>
      <c r="L2151" s="470"/>
      <c r="M2151" s="470"/>
      <c r="N2151" s="470"/>
      <c r="O2151" s="457"/>
      <c r="P2151" s="767">
        <f>MAX($P$5:P2150)+1</f>
        <v>366</v>
      </c>
      <c r="Q2151" s="80" t="s">
        <v>3243</v>
      </c>
    </row>
    <row r="2152" spans="2:17" ht="15.2" customHeight="1">
      <c r="B2152" s="768" t="s">
        <v>2201</v>
      </c>
      <c r="C2152" s="769"/>
      <c r="D2152" s="84"/>
      <c r="E2152" s="87">
        <v>0.1</v>
      </c>
      <c r="F2152" s="86" t="s">
        <v>1161</v>
      </c>
      <c r="G2152" s="470">
        <f>사급자재!$M$130</f>
        <v>400000</v>
      </c>
      <c r="H2152" s="470">
        <f>TRUNC(E2152*G2152,0)</f>
        <v>40000</v>
      </c>
      <c r="I2152" s="470"/>
      <c r="J2152" s="470">
        <f>TRUNC(I2152*E2152,0)</f>
        <v>0</v>
      </c>
      <c r="K2152" s="470"/>
      <c r="L2152" s="470">
        <f>TRUNC(K2152*E2152,0)</f>
        <v>0</v>
      </c>
      <c r="M2152" s="470">
        <f t="shared" ref="M2152:N2155" si="590">G2152+I2152+K2152</f>
        <v>400000</v>
      </c>
      <c r="N2152" s="470">
        <f t="shared" si="590"/>
        <v>40000</v>
      </c>
      <c r="O2152" s="464"/>
      <c r="P2152" s="767"/>
    </row>
    <row r="2153" spans="2:17" ht="15.2" customHeight="1">
      <c r="B2153" s="768" t="s">
        <v>1361</v>
      </c>
      <c r="C2153" s="769"/>
      <c r="D2153" s="84" t="s">
        <v>2202</v>
      </c>
      <c r="E2153" s="87">
        <v>0.2</v>
      </c>
      <c r="F2153" s="86" t="s">
        <v>933</v>
      </c>
      <c r="G2153" s="470">
        <f>사급자재!$M$206</f>
        <v>40000</v>
      </c>
      <c r="H2153" s="470">
        <f>TRUNC(E2153*G2153,0)</f>
        <v>8000</v>
      </c>
      <c r="I2153" s="470"/>
      <c r="J2153" s="470">
        <f>TRUNC(I2153*E2153,0)</f>
        <v>0</v>
      </c>
      <c r="K2153" s="470"/>
      <c r="L2153" s="470">
        <f>TRUNC(K2153*E2153,0)</f>
        <v>0</v>
      </c>
      <c r="M2153" s="470">
        <f t="shared" si="590"/>
        <v>40000</v>
      </c>
      <c r="N2153" s="470">
        <f t="shared" si="590"/>
        <v>8000</v>
      </c>
      <c r="O2153" s="464"/>
      <c r="P2153" s="767"/>
    </row>
    <row r="2154" spans="2:17" ht="15.2" customHeight="1">
      <c r="B2154" s="768" t="s">
        <v>1165</v>
      </c>
      <c r="C2154" s="769"/>
      <c r="D2154" s="84"/>
      <c r="E2154" s="87">
        <v>0.31</v>
      </c>
      <c r="F2154" s="86" t="s">
        <v>1163</v>
      </c>
      <c r="G2154" s="470"/>
      <c r="H2154" s="470">
        <f>TRUNC(E2154*G2154,0)</f>
        <v>0</v>
      </c>
      <c r="I2154" s="470">
        <f>SUMIF('노임(2015)'!$B$4:$B$87,B2154,'노임(2015)'!$C$4:$C$87)+SUMIF('노임(2015)'!$E$4:$E$87,B2154,'노임(2015)'!$F$4:$F$87)</f>
        <v>111771</v>
      </c>
      <c r="J2154" s="470">
        <f>TRUNC(I2154*E2154,0)</f>
        <v>34649</v>
      </c>
      <c r="K2154" s="470"/>
      <c r="L2154" s="470">
        <f>TRUNC(K2154*E2154,0)</f>
        <v>0</v>
      </c>
      <c r="M2154" s="470">
        <f t="shared" si="590"/>
        <v>111771</v>
      </c>
      <c r="N2154" s="470">
        <f t="shared" si="590"/>
        <v>34649</v>
      </c>
      <c r="O2154" s="466"/>
      <c r="P2154" s="767"/>
    </row>
    <row r="2155" spans="2:17" ht="15.2" customHeight="1">
      <c r="B2155" s="768" t="s">
        <v>1162</v>
      </c>
      <c r="C2155" s="769"/>
      <c r="D2155" s="84"/>
      <c r="E2155" s="87">
        <v>0.63</v>
      </c>
      <c r="F2155" s="86" t="s">
        <v>1163</v>
      </c>
      <c r="G2155" s="470"/>
      <c r="H2155" s="470">
        <f>TRUNC(E2155*G2155,0)</f>
        <v>0</v>
      </c>
      <c r="I2155" s="470">
        <f>SUMIF('노임(2015)'!$B$4:$B$87,B2155,'노임(2015)'!$C$4:$C$87)+SUMIF('노임(2015)'!$E$4:$E$87,B2155,'노임(2015)'!$F$4:$F$87)</f>
        <v>89566</v>
      </c>
      <c r="J2155" s="470">
        <f>TRUNC(I2155*E2155,0)</f>
        <v>56426</v>
      </c>
      <c r="K2155" s="470"/>
      <c r="L2155" s="470">
        <f>TRUNC(K2155*E2155,0)</f>
        <v>0</v>
      </c>
      <c r="M2155" s="470">
        <f t="shared" si="590"/>
        <v>89566</v>
      </c>
      <c r="N2155" s="470">
        <f t="shared" si="590"/>
        <v>56426</v>
      </c>
      <c r="O2155" s="466"/>
      <c r="P2155" s="767"/>
    </row>
    <row r="2156" spans="2:17" ht="15.2" customHeight="1">
      <c r="B2156" s="766" t="s">
        <v>855</v>
      </c>
      <c r="C2156" s="766"/>
      <c r="D2156" s="84"/>
      <c r="E2156" s="87"/>
      <c r="F2156" s="86"/>
      <c r="G2156" s="470"/>
      <c r="H2156" s="470">
        <f>SUM(H2152:H2155)</f>
        <v>48000</v>
      </c>
      <c r="I2156" s="470"/>
      <c r="J2156" s="470">
        <f>SUM(J2152:J2155)</f>
        <v>91075</v>
      </c>
      <c r="K2156" s="470"/>
      <c r="L2156" s="470">
        <f>SUM(L2152:L2155)</f>
        <v>0</v>
      </c>
      <c r="M2156" s="470"/>
      <c r="N2156" s="470">
        <f>SUM(N2152:N2155)</f>
        <v>139075</v>
      </c>
      <c r="O2156" s="457"/>
      <c r="P2156" s="767"/>
      <c r="Q2156" s="80" t="s">
        <v>3244</v>
      </c>
    </row>
    <row r="2157" spans="2:17" ht="15.2" customHeight="1">
      <c r="B2157" s="96">
        <f>P2157</f>
        <v>367</v>
      </c>
      <c r="C2157" s="770" t="s">
        <v>2069</v>
      </c>
      <c r="D2157" s="770"/>
      <c r="E2157" s="770"/>
      <c r="F2157" s="771"/>
      <c r="G2157" s="470"/>
      <c r="H2157" s="470"/>
      <c r="I2157" s="470"/>
      <c r="J2157" s="470"/>
      <c r="K2157" s="470"/>
      <c r="L2157" s="470"/>
      <c r="M2157" s="470"/>
      <c r="N2157" s="470"/>
      <c r="O2157" s="457"/>
      <c r="P2157" s="767">
        <f>MAX($P$5:P2156)+1</f>
        <v>367</v>
      </c>
      <c r="Q2157" s="80" t="s">
        <v>3243</v>
      </c>
    </row>
    <row r="2158" spans="2:17" ht="15.2" customHeight="1">
      <c r="B2158" s="768" t="s">
        <v>2201</v>
      </c>
      <c r="C2158" s="769"/>
      <c r="D2158" s="84"/>
      <c r="E2158" s="87">
        <v>0.1</v>
      </c>
      <c r="F2158" s="86" t="s">
        <v>1161</v>
      </c>
      <c r="G2158" s="470">
        <f>사급자재!$M$132</f>
        <v>500000</v>
      </c>
      <c r="H2158" s="470">
        <f>TRUNC(E2158*G2158,0)</f>
        <v>50000</v>
      </c>
      <c r="I2158" s="470"/>
      <c r="J2158" s="470">
        <f>TRUNC(I2158*E2158,0)</f>
        <v>0</v>
      </c>
      <c r="K2158" s="470"/>
      <c r="L2158" s="470">
        <f>TRUNC(K2158*E2158,0)</f>
        <v>0</v>
      </c>
      <c r="M2158" s="470">
        <f t="shared" ref="M2158:N2161" si="591">G2158+I2158+K2158</f>
        <v>500000</v>
      </c>
      <c r="N2158" s="470">
        <f t="shared" si="591"/>
        <v>50000</v>
      </c>
      <c r="O2158" s="464"/>
      <c r="P2158" s="767"/>
    </row>
    <row r="2159" spans="2:17" ht="15.2" customHeight="1">
      <c r="B2159" s="768" t="s">
        <v>1361</v>
      </c>
      <c r="C2159" s="769"/>
      <c r="D2159" s="84" t="s">
        <v>2070</v>
      </c>
      <c r="E2159" s="87">
        <v>0.2</v>
      </c>
      <c r="F2159" s="86" t="s">
        <v>933</v>
      </c>
      <c r="G2159" s="470">
        <f>사급자재!$M$207</f>
        <v>45000</v>
      </c>
      <c r="H2159" s="470">
        <f>TRUNC(E2159*G2159,0)</f>
        <v>9000</v>
      </c>
      <c r="I2159" s="470"/>
      <c r="J2159" s="470">
        <f>TRUNC(I2159*E2159,0)</f>
        <v>0</v>
      </c>
      <c r="K2159" s="470"/>
      <c r="L2159" s="470">
        <f>TRUNC(K2159*E2159,0)</f>
        <v>0</v>
      </c>
      <c r="M2159" s="470">
        <f t="shared" si="591"/>
        <v>45000</v>
      </c>
      <c r="N2159" s="470">
        <f t="shared" si="591"/>
        <v>9000</v>
      </c>
      <c r="O2159" s="464"/>
      <c r="P2159" s="767"/>
    </row>
    <row r="2160" spans="2:17" ht="15.2" customHeight="1">
      <c r="B2160" s="768" t="s">
        <v>1165</v>
      </c>
      <c r="C2160" s="769"/>
      <c r="D2160" s="84"/>
      <c r="E2160" s="87">
        <v>0.37</v>
      </c>
      <c r="F2160" s="86" t="s">
        <v>1163</v>
      </c>
      <c r="G2160" s="470"/>
      <c r="H2160" s="470">
        <f>TRUNC(E2160*G2160,0)</f>
        <v>0</v>
      </c>
      <c r="I2160" s="470">
        <f>SUMIF('노임(2015)'!$B$4:$B$87,B2160,'노임(2015)'!$C$4:$C$87)+SUMIF('노임(2015)'!$E$4:$E$87,B2160,'노임(2015)'!$F$4:$F$87)</f>
        <v>111771</v>
      </c>
      <c r="J2160" s="470">
        <f>TRUNC(I2160*E2160,0)</f>
        <v>41355</v>
      </c>
      <c r="K2160" s="470"/>
      <c r="L2160" s="470">
        <f>TRUNC(K2160*E2160,0)</f>
        <v>0</v>
      </c>
      <c r="M2160" s="470">
        <f t="shared" si="591"/>
        <v>111771</v>
      </c>
      <c r="N2160" s="470">
        <f t="shared" si="591"/>
        <v>41355</v>
      </c>
      <c r="O2160" s="466"/>
      <c r="P2160" s="767"/>
    </row>
    <row r="2161" spans="2:17" ht="15.2" customHeight="1">
      <c r="B2161" s="768" t="s">
        <v>1162</v>
      </c>
      <c r="C2161" s="769"/>
      <c r="D2161" s="84"/>
      <c r="E2161" s="87">
        <v>0.8</v>
      </c>
      <c r="F2161" s="86" t="s">
        <v>1163</v>
      </c>
      <c r="G2161" s="470"/>
      <c r="H2161" s="470">
        <f>TRUNC(E2161*G2161,0)</f>
        <v>0</v>
      </c>
      <c r="I2161" s="470">
        <f>SUMIF('노임(2015)'!$B$4:$B$87,B2161,'노임(2015)'!$C$4:$C$87)+SUMIF('노임(2015)'!$E$4:$E$87,B2161,'노임(2015)'!$F$4:$F$87)</f>
        <v>89566</v>
      </c>
      <c r="J2161" s="470">
        <f>TRUNC(I2161*E2161,0)</f>
        <v>71652</v>
      </c>
      <c r="K2161" s="470"/>
      <c r="L2161" s="470">
        <f>TRUNC(K2161*E2161,0)</f>
        <v>0</v>
      </c>
      <c r="M2161" s="470">
        <f t="shared" si="591"/>
        <v>89566</v>
      </c>
      <c r="N2161" s="470">
        <f t="shared" si="591"/>
        <v>71652</v>
      </c>
      <c r="O2161" s="466"/>
      <c r="P2161" s="767"/>
    </row>
    <row r="2162" spans="2:17" ht="15.2" customHeight="1">
      <c r="B2162" s="766" t="s">
        <v>855</v>
      </c>
      <c r="C2162" s="766"/>
      <c r="D2162" s="84"/>
      <c r="E2162" s="87"/>
      <c r="F2162" s="86"/>
      <c r="G2162" s="470"/>
      <c r="H2162" s="470">
        <f>SUM(H2158:H2161)</f>
        <v>59000</v>
      </c>
      <c r="I2162" s="470"/>
      <c r="J2162" s="470">
        <f>SUM(J2158:J2161)</f>
        <v>113007</v>
      </c>
      <c r="K2162" s="470"/>
      <c r="L2162" s="470">
        <f>SUM(L2158:L2161)</f>
        <v>0</v>
      </c>
      <c r="M2162" s="470"/>
      <c r="N2162" s="470">
        <f>SUM(N2158:N2161)</f>
        <v>172007</v>
      </c>
      <c r="O2162" s="457"/>
      <c r="P2162" s="767"/>
      <c r="Q2162" s="80" t="s">
        <v>1164</v>
      </c>
    </row>
    <row r="2163" spans="2:17" ht="15.2" customHeight="1">
      <c r="B2163" s="96">
        <f>P2163</f>
        <v>368</v>
      </c>
      <c r="C2163" s="770" t="s">
        <v>2207</v>
      </c>
      <c r="D2163" s="770"/>
      <c r="E2163" s="770"/>
      <c r="F2163" s="771"/>
      <c r="G2163" s="470"/>
      <c r="H2163" s="470"/>
      <c r="I2163" s="470"/>
      <c r="J2163" s="470"/>
      <c r="K2163" s="470"/>
      <c r="L2163" s="470"/>
      <c r="M2163" s="470"/>
      <c r="N2163" s="470"/>
      <c r="O2163" s="457"/>
      <c r="P2163" s="767">
        <f>MAX($P$5:P2162)+1</f>
        <v>368</v>
      </c>
      <c r="Q2163" s="80" t="s">
        <v>3243</v>
      </c>
    </row>
    <row r="2164" spans="2:17" ht="15.2" customHeight="1">
      <c r="B2164" s="768" t="s">
        <v>2204</v>
      </c>
      <c r="C2164" s="769"/>
      <c r="D2164" s="84" t="s">
        <v>2205</v>
      </c>
      <c r="E2164" s="87">
        <v>0.1</v>
      </c>
      <c r="F2164" s="86" t="s">
        <v>1161</v>
      </c>
      <c r="G2164" s="470">
        <f>사급자재!$M$122</f>
        <v>35000</v>
      </c>
      <c r="H2164" s="470">
        <f>TRUNC(E2164*G2164,0)</f>
        <v>3500</v>
      </c>
      <c r="I2164" s="470"/>
      <c r="J2164" s="470">
        <f>TRUNC(I2164*E2164,0)</f>
        <v>0</v>
      </c>
      <c r="K2164" s="470"/>
      <c r="L2164" s="470">
        <f>TRUNC(K2164*E2164,0)</f>
        <v>0</v>
      </c>
      <c r="M2164" s="470">
        <f t="shared" ref="M2164:N2167" si="592">G2164+I2164+K2164</f>
        <v>35000</v>
      </c>
      <c r="N2164" s="470">
        <f t="shared" si="592"/>
        <v>3500</v>
      </c>
      <c r="O2164" s="464"/>
      <c r="P2164" s="767"/>
    </row>
    <row r="2165" spans="2:17" ht="15.2" customHeight="1">
      <c r="B2165" s="768" t="s">
        <v>2206</v>
      </c>
      <c r="C2165" s="769"/>
      <c r="D2165" s="84" t="s">
        <v>2205</v>
      </c>
      <c r="E2165" s="87">
        <v>0.1</v>
      </c>
      <c r="F2165" s="86" t="s">
        <v>1161</v>
      </c>
      <c r="G2165" s="470">
        <f>사급자재!$M$125</f>
        <v>45000</v>
      </c>
      <c r="H2165" s="470">
        <f>TRUNC(E2165*G2165,0)</f>
        <v>4500</v>
      </c>
      <c r="I2165" s="470"/>
      <c r="J2165" s="470">
        <f>TRUNC(I2165*E2165,0)</f>
        <v>0</v>
      </c>
      <c r="K2165" s="470"/>
      <c r="L2165" s="470">
        <f>TRUNC(K2165*E2165,0)</f>
        <v>0</v>
      </c>
      <c r="M2165" s="470">
        <f t="shared" si="592"/>
        <v>45000</v>
      </c>
      <c r="N2165" s="470">
        <f t="shared" si="592"/>
        <v>4500</v>
      </c>
      <c r="O2165" s="464"/>
      <c r="P2165" s="767"/>
    </row>
    <row r="2166" spans="2:17" ht="15.2" customHeight="1">
      <c r="B2166" s="768" t="s">
        <v>1165</v>
      </c>
      <c r="C2166" s="769"/>
      <c r="D2166" s="84"/>
      <c r="E2166" s="87">
        <v>0.14000000000000001</v>
      </c>
      <c r="F2166" s="86" t="s">
        <v>1163</v>
      </c>
      <c r="G2166" s="470"/>
      <c r="H2166" s="470">
        <f>TRUNC(E2166*G2166,0)</f>
        <v>0</v>
      </c>
      <c r="I2166" s="470">
        <f>SUMIF('노임(2015)'!$B$4:$B$87,B2166,'노임(2015)'!$C$4:$C$87)+SUMIF('노임(2015)'!$E$4:$E$87,B2166,'노임(2015)'!$F$4:$F$87)</f>
        <v>111771</v>
      </c>
      <c r="J2166" s="470">
        <f>TRUNC(I2166*E2166,0)</f>
        <v>15647</v>
      </c>
      <c r="K2166" s="470"/>
      <c r="L2166" s="470">
        <f>TRUNC(K2166*E2166,0)</f>
        <v>0</v>
      </c>
      <c r="M2166" s="470">
        <f t="shared" si="592"/>
        <v>111771</v>
      </c>
      <c r="N2166" s="470">
        <f t="shared" si="592"/>
        <v>15647</v>
      </c>
      <c r="O2166" s="466"/>
      <c r="P2166" s="767"/>
    </row>
    <row r="2167" spans="2:17" ht="15.2" customHeight="1">
      <c r="B2167" s="768" t="s">
        <v>1162</v>
      </c>
      <c r="C2167" s="769"/>
      <c r="D2167" s="84"/>
      <c r="E2167" s="87">
        <v>0.25</v>
      </c>
      <c r="F2167" s="86" t="s">
        <v>1163</v>
      </c>
      <c r="G2167" s="470"/>
      <c r="H2167" s="470">
        <f>TRUNC(E2167*G2167,0)</f>
        <v>0</v>
      </c>
      <c r="I2167" s="470">
        <f>SUMIF('노임(2015)'!$B$4:$B$87,B2167,'노임(2015)'!$C$4:$C$87)+SUMIF('노임(2015)'!$E$4:$E$87,B2167,'노임(2015)'!$F$4:$F$87)</f>
        <v>89566</v>
      </c>
      <c r="J2167" s="470">
        <f>TRUNC(I2167*E2167,0)</f>
        <v>22391</v>
      </c>
      <c r="K2167" s="470"/>
      <c r="L2167" s="470">
        <f>TRUNC(K2167*E2167,0)</f>
        <v>0</v>
      </c>
      <c r="M2167" s="470">
        <f t="shared" si="592"/>
        <v>89566</v>
      </c>
      <c r="N2167" s="470">
        <f t="shared" si="592"/>
        <v>22391</v>
      </c>
      <c r="O2167" s="466"/>
      <c r="P2167" s="767"/>
    </row>
    <row r="2168" spans="2:17" ht="15.2" customHeight="1">
      <c r="B2168" s="766" t="s">
        <v>855</v>
      </c>
      <c r="C2168" s="766"/>
      <c r="D2168" s="84"/>
      <c r="E2168" s="87"/>
      <c r="F2168" s="86"/>
      <c r="G2168" s="470"/>
      <c r="H2168" s="470">
        <f>SUM(H2164:H2167)</f>
        <v>8000</v>
      </c>
      <c r="I2168" s="470"/>
      <c r="J2168" s="470">
        <f>SUM(J2164:J2167)</f>
        <v>38038</v>
      </c>
      <c r="K2168" s="470"/>
      <c r="L2168" s="470">
        <f>SUM(L2164:L2167)</f>
        <v>0</v>
      </c>
      <c r="M2168" s="470"/>
      <c r="N2168" s="470">
        <f>SUM(N2164:N2167)</f>
        <v>46038</v>
      </c>
      <c r="O2168" s="457"/>
      <c r="P2168" s="767"/>
      <c r="Q2168" s="80" t="s">
        <v>1164</v>
      </c>
    </row>
    <row r="2169" spans="2:17" ht="15.2" customHeight="1">
      <c r="B2169" s="96">
        <f>P2169</f>
        <v>369</v>
      </c>
      <c r="C2169" s="770" t="s">
        <v>2203</v>
      </c>
      <c r="D2169" s="770"/>
      <c r="E2169" s="770"/>
      <c r="F2169" s="771"/>
      <c r="G2169" s="470"/>
      <c r="H2169" s="470"/>
      <c r="I2169" s="470"/>
      <c r="J2169" s="470"/>
      <c r="K2169" s="470"/>
      <c r="L2169" s="470"/>
      <c r="M2169" s="470"/>
      <c r="N2169" s="470"/>
      <c r="O2169" s="457"/>
      <c r="P2169" s="767">
        <f>MAX($P$5:P2168)+1</f>
        <v>369</v>
      </c>
      <c r="Q2169" s="80" t="s">
        <v>3243</v>
      </c>
    </row>
    <row r="2170" spans="2:17" ht="15.2" customHeight="1">
      <c r="B2170" s="768" t="s">
        <v>2204</v>
      </c>
      <c r="C2170" s="769"/>
      <c r="D2170" s="84" t="s">
        <v>2205</v>
      </c>
      <c r="E2170" s="87">
        <v>0.1</v>
      </c>
      <c r="F2170" s="86" t="s">
        <v>1161</v>
      </c>
      <c r="G2170" s="470">
        <f>사급자재!$M$123</f>
        <v>60000</v>
      </c>
      <c r="H2170" s="470">
        <f>TRUNC(E2170*G2170,0)</f>
        <v>6000</v>
      </c>
      <c r="I2170" s="470"/>
      <c r="J2170" s="470">
        <f>TRUNC(I2170*E2170,0)</f>
        <v>0</v>
      </c>
      <c r="K2170" s="470"/>
      <c r="L2170" s="470">
        <f>TRUNC(K2170*E2170,0)</f>
        <v>0</v>
      </c>
      <c r="M2170" s="470">
        <f t="shared" ref="M2170:N2173" si="593">G2170+I2170+K2170</f>
        <v>60000</v>
      </c>
      <c r="N2170" s="470">
        <f t="shared" si="593"/>
        <v>6000</v>
      </c>
      <c r="O2170" s="464"/>
      <c r="P2170" s="767"/>
    </row>
    <row r="2171" spans="2:17" ht="15.2" customHeight="1">
      <c r="B2171" s="768" t="s">
        <v>2206</v>
      </c>
      <c r="C2171" s="769"/>
      <c r="D2171" s="84" t="s">
        <v>2205</v>
      </c>
      <c r="E2171" s="87">
        <v>0.1</v>
      </c>
      <c r="F2171" s="86" t="s">
        <v>1161</v>
      </c>
      <c r="G2171" s="470">
        <f>사급자재!$M$126</f>
        <v>70000</v>
      </c>
      <c r="H2171" s="470">
        <f>TRUNC(E2171*G2171,0)</f>
        <v>7000</v>
      </c>
      <c r="I2171" s="470"/>
      <c r="J2171" s="470">
        <f>TRUNC(I2171*E2171,0)</f>
        <v>0</v>
      </c>
      <c r="K2171" s="470"/>
      <c r="L2171" s="470">
        <f>TRUNC(K2171*E2171,0)</f>
        <v>0</v>
      </c>
      <c r="M2171" s="470">
        <f t="shared" si="593"/>
        <v>70000</v>
      </c>
      <c r="N2171" s="470">
        <f t="shared" si="593"/>
        <v>7000</v>
      </c>
      <c r="O2171" s="464"/>
      <c r="P2171" s="767"/>
    </row>
    <row r="2172" spans="2:17" ht="15.2" customHeight="1">
      <c r="B2172" s="768" t="s">
        <v>1165</v>
      </c>
      <c r="C2172" s="769"/>
      <c r="D2172" s="84"/>
      <c r="E2172" s="87">
        <v>0.15</v>
      </c>
      <c r="F2172" s="86" t="s">
        <v>1163</v>
      </c>
      <c r="G2172" s="470"/>
      <c r="H2172" s="470">
        <f>TRUNC(E2172*G2172,0)</f>
        <v>0</v>
      </c>
      <c r="I2172" s="470">
        <f>SUMIF('노임(2015)'!$B$4:$B$87,B2172,'노임(2015)'!$C$4:$C$87)+SUMIF('노임(2015)'!$E$4:$E$87,B2172,'노임(2015)'!$F$4:$F$87)</f>
        <v>111771</v>
      </c>
      <c r="J2172" s="470">
        <f>TRUNC(I2172*E2172,0)</f>
        <v>16765</v>
      </c>
      <c r="K2172" s="470"/>
      <c r="L2172" s="470">
        <f>TRUNC(K2172*E2172,0)</f>
        <v>0</v>
      </c>
      <c r="M2172" s="470">
        <f t="shared" si="593"/>
        <v>111771</v>
      </c>
      <c r="N2172" s="470">
        <f t="shared" si="593"/>
        <v>16765</v>
      </c>
      <c r="O2172" s="466"/>
      <c r="P2172" s="767"/>
    </row>
    <row r="2173" spans="2:17" ht="15.2" customHeight="1">
      <c r="B2173" s="768" t="s">
        <v>1162</v>
      </c>
      <c r="C2173" s="769"/>
      <c r="D2173" s="84"/>
      <c r="E2173" s="87">
        <v>0.3</v>
      </c>
      <c r="F2173" s="86" t="s">
        <v>1163</v>
      </c>
      <c r="G2173" s="470"/>
      <c r="H2173" s="470">
        <f>TRUNC(E2173*G2173,0)</f>
        <v>0</v>
      </c>
      <c r="I2173" s="470">
        <f>SUMIF('노임(2015)'!$B$4:$B$87,B2173,'노임(2015)'!$C$4:$C$87)+SUMIF('노임(2015)'!$E$4:$E$87,B2173,'노임(2015)'!$F$4:$F$87)</f>
        <v>89566</v>
      </c>
      <c r="J2173" s="470">
        <f>TRUNC(I2173*E2173,0)</f>
        <v>26869</v>
      </c>
      <c r="K2173" s="470"/>
      <c r="L2173" s="470">
        <f>TRUNC(K2173*E2173,0)</f>
        <v>0</v>
      </c>
      <c r="M2173" s="470">
        <f t="shared" si="593"/>
        <v>89566</v>
      </c>
      <c r="N2173" s="470">
        <f t="shared" si="593"/>
        <v>26869</v>
      </c>
      <c r="O2173" s="466"/>
      <c r="P2173" s="767"/>
    </row>
    <row r="2174" spans="2:17" ht="15.2" customHeight="1">
      <c r="B2174" s="766" t="s">
        <v>855</v>
      </c>
      <c r="C2174" s="766"/>
      <c r="D2174" s="84"/>
      <c r="E2174" s="87"/>
      <c r="F2174" s="86"/>
      <c r="G2174" s="470"/>
      <c r="H2174" s="470">
        <f>SUM(H2170:H2173)</f>
        <v>13000</v>
      </c>
      <c r="I2174" s="470"/>
      <c r="J2174" s="470">
        <f>SUM(J2170:J2173)</f>
        <v>43634</v>
      </c>
      <c r="K2174" s="470"/>
      <c r="L2174" s="470">
        <f>SUM(L2170:L2173)</f>
        <v>0</v>
      </c>
      <c r="M2174" s="470"/>
      <c r="N2174" s="470">
        <f>SUM(N2170:N2173)</f>
        <v>56634</v>
      </c>
      <c r="O2174" s="457"/>
      <c r="P2174" s="767"/>
      <c r="Q2174" s="80" t="s">
        <v>3244</v>
      </c>
    </row>
    <row r="2175" spans="2:17" ht="15.2" customHeight="1">
      <c r="B2175" s="96">
        <f>P2175</f>
        <v>370</v>
      </c>
      <c r="C2175" s="770" t="s">
        <v>2071</v>
      </c>
      <c r="D2175" s="770"/>
      <c r="E2175" s="770"/>
      <c r="F2175" s="771"/>
      <c r="G2175" s="470"/>
      <c r="H2175" s="470"/>
      <c r="I2175" s="470"/>
      <c r="J2175" s="470"/>
      <c r="K2175" s="470"/>
      <c r="L2175" s="470"/>
      <c r="M2175" s="470"/>
      <c r="N2175" s="470"/>
      <c r="O2175" s="457"/>
      <c r="P2175" s="767">
        <f>MAX($P$5:P2174)+1</f>
        <v>370</v>
      </c>
      <c r="Q2175" s="80" t="s">
        <v>3243</v>
      </c>
    </row>
    <row r="2176" spans="2:17" ht="15.2" customHeight="1">
      <c r="B2176" s="768" t="s">
        <v>2204</v>
      </c>
      <c r="C2176" s="769"/>
      <c r="D2176" s="84" t="s">
        <v>2205</v>
      </c>
      <c r="E2176" s="87">
        <v>0.1</v>
      </c>
      <c r="F2176" s="86" t="s">
        <v>1161</v>
      </c>
      <c r="G2176" s="470">
        <f>사급자재!$M$124</f>
        <v>75000</v>
      </c>
      <c r="H2176" s="470">
        <f>TRUNC(E2176*G2176,0)</f>
        <v>7500</v>
      </c>
      <c r="I2176" s="470"/>
      <c r="J2176" s="470">
        <f>TRUNC(I2176*E2176,0)</f>
        <v>0</v>
      </c>
      <c r="K2176" s="470"/>
      <c r="L2176" s="470">
        <f>TRUNC(K2176*E2176,0)</f>
        <v>0</v>
      </c>
      <c r="M2176" s="470">
        <f t="shared" ref="M2176:N2179" si="594">G2176+I2176+K2176</f>
        <v>75000</v>
      </c>
      <c r="N2176" s="470">
        <f t="shared" si="594"/>
        <v>7500</v>
      </c>
      <c r="O2176" s="464"/>
      <c r="P2176" s="767"/>
    </row>
    <row r="2177" spans="1:17" ht="15.2" customHeight="1">
      <c r="B2177" s="768" t="s">
        <v>2206</v>
      </c>
      <c r="C2177" s="769"/>
      <c r="D2177" s="84" t="s">
        <v>2205</v>
      </c>
      <c r="E2177" s="87">
        <v>0.1</v>
      </c>
      <c r="F2177" s="86" t="s">
        <v>1161</v>
      </c>
      <c r="G2177" s="470">
        <f>사급자재!$M$127</f>
        <v>85000</v>
      </c>
      <c r="H2177" s="470">
        <f>TRUNC(E2177*G2177,0)</f>
        <v>8500</v>
      </c>
      <c r="I2177" s="470"/>
      <c r="J2177" s="470">
        <f>TRUNC(I2177*E2177,0)</f>
        <v>0</v>
      </c>
      <c r="K2177" s="470"/>
      <c r="L2177" s="470">
        <f>TRUNC(K2177*E2177,0)</f>
        <v>0</v>
      </c>
      <c r="M2177" s="470">
        <f t="shared" si="594"/>
        <v>85000</v>
      </c>
      <c r="N2177" s="470">
        <f t="shared" si="594"/>
        <v>8500</v>
      </c>
      <c r="O2177" s="464"/>
      <c r="P2177" s="767"/>
    </row>
    <row r="2178" spans="1:17" ht="15.2" customHeight="1">
      <c r="B2178" s="768" t="s">
        <v>1165</v>
      </c>
      <c r="C2178" s="769"/>
      <c r="D2178" s="84"/>
      <c r="E2178" s="87">
        <v>0.17</v>
      </c>
      <c r="F2178" s="86" t="s">
        <v>1163</v>
      </c>
      <c r="G2178" s="470"/>
      <c r="H2178" s="470">
        <f>TRUNC(E2178*G2178,0)</f>
        <v>0</v>
      </c>
      <c r="I2178" s="470">
        <f>SUMIF('노임(2015)'!$B$4:$B$87,B2178,'노임(2015)'!$C$4:$C$87)+SUMIF('노임(2015)'!$E$4:$E$87,B2178,'노임(2015)'!$F$4:$F$87)</f>
        <v>111771</v>
      </c>
      <c r="J2178" s="470">
        <f>TRUNC(I2178*E2178,0)</f>
        <v>19001</v>
      </c>
      <c r="K2178" s="470"/>
      <c r="L2178" s="470">
        <f>TRUNC(K2178*E2178,0)</f>
        <v>0</v>
      </c>
      <c r="M2178" s="470">
        <f t="shared" si="594"/>
        <v>111771</v>
      </c>
      <c r="N2178" s="470">
        <f t="shared" si="594"/>
        <v>19001</v>
      </c>
      <c r="O2178" s="466"/>
      <c r="P2178" s="767"/>
    </row>
    <row r="2179" spans="1:17" ht="15.2" customHeight="1">
      <c r="B2179" s="768" t="s">
        <v>1162</v>
      </c>
      <c r="C2179" s="769"/>
      <c r="D2179" s="84"/>
      <c r="E2179" s="87">
        <v>0.4</v>
      </c>
      <c r="F2179" s="86" t="s">
        <v>1163</v>
      </c>
      <c r="G2179" s="470"/>
      <c r="H2179" s="470">
        <f>TRUNC(E2179*G2179,0)</f>
        <v>0</v>
      </c>
      <c r="I2179" s="470">
        <f>SUMIF('노임(2015)'!$B$4:$B$87,B2179,'노임(2015)'!$C$4:$C$87)+SUMIF('노임(2015)'!$E$4:$E$87,B2179,'노임(2015)'!$F$4:$F$87)</f>
        <v>89566</v>
      </c>
      <c r="J2179" s="470">
        <f>TRUNC(I2179*E2179,0)</f>
        <v>35826</v>
      </c>
      <c r="K2179" s="470"/>
      <c r="L2179" s="470">
        <f>TRUNC(K2179*E2179,0)</f>
        <v>0</v>
      </c>
      <c r="M2179" s="470">
        <f t="shared" si="594"/>
        <v>89566</v>
      </c>
      <c r="N2179" s="470">
        <f t="shared" si="594"/>
        <v>35826</v>
      </c>
      <c r="O2179" s="466"/>
      <c r="P2179" s="767"/>
    </row>
    <row r="2180" spans="1:17" ht="15.2" customHeight="1">
      <c r="B2180" s="766" t="s">
        <v>855</v>
      </c>
      <c r="C2180" s="766"/>
      <c r="D2180" s="84"/>
      <c r="E2180" s="87"/>
      <c r="F2180" s="86"/>
      <c r="G2180" s="470"/>
      <c r="H2180" s="470">
        <f>SUM(H2176:H2179)</f>
        <v>16000</v>
      </c>
      <c r="I2180" s="470"/>
      <c r="J2180" s="470">
        <f>SUM(J2176:J2179)</f>
        <v>54827</v>
      </c>
      <c r="K2180" s="470"/>
      <c r="L2180" s="470">
        <f>SUM(L2176:L2179)</f>
        <v>0</v>
      </c>
      <c r="M2180" s="470"/>
      <c r="N2180" s="470">
        <f>SUM(N2176:N2179)</f>
        <v>70827</v>
      </c>
      <c r="O2180" s="457"/>
      <c r="P2180" s="767"/>
      <c r="Q2180" s="80" t="s">
        <v>3244</v>
      </c>
    </row>
    <row r="2181" spans="1:17" ht="15.2" customHeight="1">
      <c r="B2181" s="96">
        <f>P2181</f>
        <v>371</v>
      </c>
      <c r="C2181" s="770" t="s">
        <v>2073</v>
      </c>
      <c r="D2181" s="770"/>
      <c r="E2181" s="770"/>
      <c r="F2181" s="771"/>
      <c r="G2181" s="470"/>
      <c r="H2181" s="470"/>
      <c r="I2181" s="470"/>
      <c r="J2181" s="470"/>
      <c r="K2181" s="470"/>
      <c r="L2181" s="470"/>
      <c r="M2181" s="470"/>
      <c r="N2181" s="470"/>
      <c r="O2181" s="457"/>
      <c r="P2181" s="767">
        <f>MAX($P$5:P2180)+1</f>
        <v>371</v>
      </c>
      <c r="Q2181" s="80" t="s">
        <v>3243</v>
      </c>
    </row>
    <row r="2182" spans="1:17" ht="15.2" customHeight="1">
      <c r="B2182" s="768" t="s">
        <v>1355</v>
      </c>
      <c r="C2182" s="769"/>
      <c r="D2182" s="84" t="s">
        <v>1541</v>
      </c>
      <c r="E2182" s="87">
        <v>1</v>
      </c>
      <c r="F2182" s="86" t="s">
        <v>301</v>
      </c>
      <c r="G2182" s="470">
        <f>사급자재!$M$15</f>
        <v>23000</v>
      </c>
      <c r="H2182" s="470">
        <f>TRUNC(E2182*G2182,0)</f>
        <v>23000</v>
      </c>
      <c r="I2182" s="470"/>
      <c r="J2182" s="470">
        <f>TRUNC(I2182*E2182,0)</f>
        <v>0</v>
      </c>
      <c r="K2182" s="470"/>
      <c r="L2182" s="470">
        <f>TRUNC(K2182*E2182,0)</f>
        <v>0</v>
      </c>
      <c r="M2182" s="470">
        <f t="shared" ref="M2182:N2184" si="595">G2182+I2182+K2182</f>
        <v>23000</v>
      </c>
      <c r="N2182" s="470">
        <f t="shared" si="595"/>
        <v>23000</v>
      </c>
      <c r="O2182" s="464"/>
      <c r="P2182" s="767"/>
    </row>
    <row r="2183" spans="1:17" ht="15.2" customHeight="1">
      <c r="B2183" s="768" t="s">
        <v>1165</v>
      </c>
      <c r="C2183" s="769"/>
      <c r="D2183" s="84"/>
      <c r="E2183" s="87">
        <v>0.1</v>
      </c>
      <c r="F2183" s="86" t="s">
        <v>1163</v>
      </c>
      <c r="G2183" s="470"/>
      <c r="H2183" s="470">
        <f>TRUNC(E2183*G2183,0)</f>
        <v>0</v>
      </c>
      <c r="I2183" s="470">
        <f>SUMIF('노임(2015)'!$B$4:$B$87,B2183,'노임(2015)'!$C$4:$C$87)+SUMIF('노임(2015)'!$E$4:$E$87,B2183,'노임(2015)'!$F$4:$F$87)</f>
        <v>111771</v>
      </c>
      <c r="J2183" s="470">
        <f>TRUNC(I2183*E2183,0)</f>
        <v>11177</v>
      </c>
      <c r="K2183" s="470"/>
      <c r="L2183" s="470">
        <f>TRUNC(K2183*E2183,0)</f>
        <v>0</v>
      </c>
      <c r="M2183" s="470">
        <f t="shared" si="595"/>
        <v>111771</v>
      </c>
      <c r="N2183" s="470">
        <f t="shared" si="595"/>
        <v>11177</v>
      </c>
      <c r="O2183" s="465"/>
      <c r="P2183" s="767"/>
    </row>
    <row r="2184" spans="1:17" ht="15.2" customHeight="1">
      <c r="B2184" s="768" t="s">
        <v>1162</v>
      </c>
      <c r="C2184" s="769"/>
      <c r="D2184" s="84"/>
      <c r="E2184" s="87">
        <v>0.52</v>
      </c>
      <c r="F2184" s="86" t="s">
        <v>1163</v>
      </c>
      <c r="G2184" s="470"/>
      <c r="H2184" s="470">
        <f>TRUNC(E2184*G2184,0)</f>
        <v>0</v>
      </c>
      <c r="I2184" s="470">
        <f>SUMIF('노임(2015)'!$B$4:$B$87,B2184,'노임(2015)'!$C$4:$C$87)+SUMIF('노임(2015)'!$E$4:$E$87,B2184,'노임(2015)'!$F$4:$F$87)</f>
        <v>89566</v>
      </c>
      <c r="J2184" s="470">
        <f>TRUNC(I2184*E2184,0)</f>
        <v>46574</v>
      </c>
      <c r="K2184" s="470"/>
      <c r="L2184" s="470">
        <f>TRUNC(K2184*E2184,0)</f>
        <v>0</v>
      </c>
      <c r="M2184" s="470">
        <f t="shared" si="595"/>
        <v>89566</v>
      </c>
      <c r="N2184" s="470">
        <f t="shared" si="595"/>
        <v>46574</v>
      </c>
      <c r="O2184" s="465"/>
      <c r="P2184" s="767"/>
    </row>
    <row r="2185" spans="1:17" ht="15.2" customHeight="1">
      <c r="B2185" s="766" t="s">
        <v>855</v>
      </c>
      <c r="C2185" s="766"/>
      <c r="D2185" s="84"/>
      <c r="E2185" s="87"/>
      <c r="F2185" s="86"/>
      <c r="G2185" s="470"/>
      <c r="H2185" s="470">
        <f>SUM(H2182:H2184)</f>
        <v>23000</v>
      </c>
      <c r="I2185" s="470"/>
      <c r="J2185" s="470">
        <f>SUM(J2182:J2184)</f>
        <v>57751</v>
      </c>
      <c r="K2185" s="470"/>
      <c r="L2185" s="470">
        <f>SUM(L2182:L2184)</f>
        <v>0</v>
      </c>
      <c r="M2185" s="470"/>
      <c r="N2185" s="470">
        <f>SUM(N2182:N2184)</f>
        <v>80751</v>
      </c>
      <c r="O2185" s="457"/>
      <c r="P2185" s="767"/>
      <c r="Q2185" s="80" t="s">
        <v>3244</v>
      </c>
    </row>
    <row r="2186" spans="1:17" ht="15.2" customHeight="1">
      <c r="A2186" s="80" t="s">
        <v>3285</v>
      </c>
      <c r="B2186" s="96">
        <f>P2186</f>
        <v>372</v>
      </c>
      <c r="C2186" s="770" t="s">
        <v>2074</v>
      </c>
      <c r="D2186" s="770"/>
      <c r="E2186" s="770"/>
      <c r="F2186" s="771"/>
      <c r="G2186" s="470"/>
      <c r="H2186" s="470"/>
      <c r="I2186" s="470"/>
      <c r="J2186" s="470"/>
      <c r="K2186" s="470"/>
      <c r="L2186" s="470"/>
      <c r="M2186" s="470"/>
      <c r="N2186" s="470"/>
      <c r="O2186" s="457"/>
      <c r="P2186" s="767">
        <f>MAX($P$5:P2185)+1</f>
        <v>372</v>
      </c>
      <c r="Q2186" s="80" t="s">
        <v>3243</v>
      </c>
    </row>
    <row r="2187" spans="1:17" ht="15.2" customHeight="1">
      <c r="B2187" s="768" t="s">
        <v>3191</v>
      </c>
      <c r="C2187" s="769"/>
      <c r="D2187" s="84"/>
      <c r="E2187" s="87">
        <v>1</v>
      </c>
      <c r="F2187" s="86" t="s">
        <v>1163</v>
      </c>
      <c r="G2187" s="470"/>
      <c r="H2187" s="470">
        <f>TRUNC(E2187*G2187,0)</f>
        <v>0</v>
      </c>
      <c r="I2187" s="470">
        <f>SUMIF('노임(2015)'!$B$4:$B$87,B2187,'노임(2015)'!$C$4:$C$87)+SUMIF('노임(2015)'!$E$4:$E$87,B2187,'노임(2015)'!$F$4:$F$87)</f>
        <v>221375</v>
      </c>
      <c r="J2187" s="470">
        <f>TRUNC(I2187*E2187,0)</f>
        <v>221375</v>
      </c>
      <c r="K2187" s="470"/>
      <c r="L2187" s="470">
        <f>TRUNC(K2187*E2187,0)</f>
        <v>0</v>
      </c>
      <c r="M2187" s="470">
        <f t="shared" ref="M2187:N2191" si="596">G2187+I2187+K2187</f>
        <v>221375</v>
      </c>
      <c r="N2187" s="470">
        <f t="shared" si="596"/>
        <v>221375</v>
      </c>
      <c r="O2187" s="464"/>
      <c r="P2187" s="767"/>
    </row>
    <row r="2188" spans="1:17" ht="15.2" customHeight="1">
      <c r="B2188" s="768" t="s">
        <v>3171</v>
      </c>
      <c r="C2188" s="769"/>
      <c r="D2188" s="84"/>
      <c r="E2188" s="87">
        <v>1</v>
      </c>
      <c r="F2188" s="86" t="s">
        <v>1163</v>
      </c>
      <c r="G2188" s="470"/>
      <c r="H2188" s="470">
        <f>TRUNC(E2188*G2188,0)</f>
        <v>0</v>
      </c>
      <c r="I2188" s="470">
        <f>SUMIF('노임(2015)'!$B$4:$B$87,B2188,'노임(2015)'!$C$4:$C$87)+SUMIF('노임(2015)'!$E$4:$E$87,B2188,'노임(2015)'!$F$4:$F$87)</f>
        <v>190787</v>
      </c>
      <c r="J2188" s="470">
        <f>TRUNC(I2188*E2188,0)</f>
        <v>190787</v>
      </c>
      <c r="K2188" s="470"/>
      <c r="L2188" s="470">
        <f>TRUNC(K2188*E2188,0)</f>
        <v>0</v>
      </c>
      <c r="M2188" s="470">
        <f t="shared" si="596"/>
        <v>190787</v>
      </c>
      <c r="N2188" s="470">
        <f t="shared" si="596"/>
        <v>190787</v>
      </c>
      <c r="O2188" s="464"/>
      <c r="P2188" s="767"/>
    </row>
    <row r="2189" spans="1:17" ht="15.2" customHeight="1">
      <c r="B2189" s="768" t="s">
        <v>1162</v>
      </c>
      <c r="C2189" s="769"/>
      <c r="D2189" s="84"/>
      <c r="E2189" s="87">
        <v>2</v>
      </c>
      <c r="F2189" s="86" t="s">
        <v>1163</v>
      </c>
      <c r="G2189" s="470"/>
      <c r="H2189" s="470">
        <f>TRUNC(E2189*G2189,0)</f>
        <v>0</v>
      </c>
      <c r="I2189" s="470">
        <f>SUMIF('노임(2015)'!$B$4:$B$87,B2189,'노임(2015)'!$C$4:$C$87)+SUMIF('노임(2015)'!$E$4:$E$87,B2189,'노임(2015)'!$F$4:$F$87)</f>
        <v>89566</v>
      </c>
      <c r="J2189" s="470">
        <f>TRUNC(I2189*E2189,0)</f>
        <v>179132</v>
      </c>
      <c r="K2189" s="470"/>
      <c r="L2189" s="470">
        <f>TRUNC(K2189*E2189,0)</f>
        <v>0</v>
      </c>
      <c r="M2189" s="470">
        <f t="shared" si="596"/>
        <v>89566</v>
      </c>
      <c r="N2189" s="470">
        <f t="shared" si="596"/>
        <v>179132</v>
      </c>
      <c r="O2189" s="465"/>
      <c r="P2189" s="767"/>
    </row>
    <row r="2190" spans="1:17" ht="15.2" customHeight="1">
      <c r="B2190" s="768" t="s">
        <v>2075</v>
      </c>
      <c r="C2190" s="769"/>
      <c r="D2190" s="84" t="s">
        <v>1542</v>
      </c>
      <c r="E2190" s="87">
        <v>8</v>
      </c>
      <c r="F2190" s="86" t="s">
        <v>453</v>
      </c>
      <c r="G2190" s="470"/>
      <c r="H2190" s="470">
        <f>TRUNC(E2190*G2190,0)</f>
        <v>0</v>
      </c>
      <c r="I2190" s="470"/>
      <c r="J2190" s="470">
        <f>TRUNC(I2190*E2190,0)</f>
        <v>0</v>
      </c>
      <c r="K2190" s="470">
        <f>중기사용료!$M$1714</f>
        <v>14157</v>
      </c>
      <c r="L2190" s="470">
        <f>TRUNC(K2190*E2190,0)</f>
        <v>113256</v>
      </c>
      <c r="M2190" s="470">
        <f t="shared" si="596"/>
        <v>14157</v>
      </c>
      <c r="N2190" s="470">
        <f t="shared" si="596"/>
        <v>113256</v>
      </c>
      <c r="O2190" s="460">
        <f>중기사용료!$A$1712</f>
        <v>91</v>
      </c>
      <c r="P2190" s="767"/>
    </row>
    <row r="2191" spans="1:17" ht="15.2" customHeight="1">
      <c r="B2191" s="768" t="s">
        <v>1954</v>
      </c>
      <c r="C2191" s="769"/>
      <c r="D2191" s="84" t="s">
        <v>2076</v>
      </c>
      <c r="E2191" s="87">
        <v>8</v>
      </c>
      <c r="F2191" s="86" t="s">
        <v>453</v>
      </c>
      <c r="G2191" s="470">
        <f>중기사용료!$M$1746</f>
        <v>1532</v>
      </c>
      <c r="H2191" s="470">
        <f>TRUNC(E2191*G2191,0)</f>
        <v>12256</v>
      </c>
      <c r="I2191" s="470">
        <f>중기사용료!$M$1740</f>
        <v>24483</v>
      </c>
      <c r="J2191" s="470">
        <f>TRUNC(I2191*E2191,0)</f>
        <v>195864</v>
      </c>
      <c r="K2191" s="470">
        <f>중기사용료!$M$1735</f>
        <v>3256</v>
      </c>
      <c r="L2191" s="470">
        <f>TRUNC(K2191*E2191,0)</f>
        <v>26048</v>
      </c>
      <c r="M2191" s="470">
        <f t="shared" si="596"/>
        <v>29271</v>
      </c>
      <c r="N2191" s="470">
        <f t="shared" si="596"/>
        <v>234168</v>
      </c>
      <c r="O2191" s="460">
        <f>중기사용료!$A$1731</f>
        <v>92</v>
      </c>
      <c r="P2191" s="767"/>
    </row>
    <row r="2192" spans="1:17" ht="15.2" customHeight="1">
      <c r="B2192" s="766" t="s">
        <v>855</v>
      </c>
      <c r="C2192" s="766"/>
      <c r="D2192" s="84"/>
      <c r="E2192" s="87"/>
      <c r="F2192" s="86"/>
      <c r="G2192" s="470"/>
      <c r="H2192" s="470">
        <f>SUM(H2187:H2191)</f>
        <v>12256</v>
      </c>
      <c r="I2192" s="470"/>
      <c r="J2192" s="470">
        <f>SUM(J2187:J2191)</f>
        <v>787158</v>
      </c>
      <c r="K2192" s="470"/>
      <c r="L2192" s="470">
        <f>SUM(L2187:L2191)</f>
        <v>139304</v>
      </c>
      <c r="M2192" s="470"/>
      <c r="N2192" s="470">
        <f>SUM(N2187:N2191)</f>
        <v>938718</v>
      </c>
      <c r="O2192" s="457"/>
      <c r="P2192" s="767"/>
      <c r="Q2192" s="80" t="s">
        <v>3244</v>
      </c>
    </row>
    <row r="2193" spans="2:17" ht="15.2" customHeight="1">
      <c r="B2193" s="96">
        <f>P2193</f>
        <v>373</v>
      </c>
      <c r="C2193" s="770" t="s">
        <v>2077</v>
      </c>
      <c r="D2193" s="770"/>
      <c r="E2193" s="770"/>
      <c r="F2193" s="771"/>
      <c r="G2193" s="470"/>
      <c r="H2193" s="470"/>
      <c r="I2193" s="470"/>
      <c r="J2193" s="470"/>
      <c r="K2193" s="470"/>
      <c r="L2193" s="470"/>
      <c r="M2193" s="470"/>
      <c r="N2193" s="470"/>
      <c r="O2193" s="457"/>
      <c r="P2193" s="767">
        <f>MAX($P$5:P2192)+1</f>
        <v>373</v>
      </c>
      <c r="Q2193" s="80" t="s">
        <v>3243</v>
      </c>
    </row>
    <row r="2194" spans="2:17" ht="15.2" customHeight="1">
      <c r="B2194" s="768" t="s">
        <v>3191</v>
      </c>
      <c r="C2194" s="769"/>
      <c r="D2194" s="84"/>
      <c r="E2194" s="87">
        <v>1</v>
      </c>
      <c r="F2194" s="86" t="s">
        <v>1163</v>
      </c>
      <c r="G2194" s="470"/>
      <c r="H2194" s="470">
        <f>TRUNC(E2194*G2194,0)</f>
        <v>0</v>
      </c>
      <c r="I2194" s="470">
        <f>SUMIF('노임(2015)'!$B$4:$B$87,B2194,'노임(2015)'!$C$4:$C$87)+SUMIF('노임(2015)'!$E$4:$E$87,B2194,'노임(2015)'!$F$4:$F$87)</f>
        <v>221375</v>
      </c>
      <c r="J2194" s="470">
        <f>TRUNC(I2194*E2194,0)</f>
        <v>221375</v>
      </c>
      <c r="K2194" s="470"/>
      <c r="L2194" s="470">
        <f>TRUNC(K2194*E2194,0)</f>
        <v>0</v>
      </c>
      <c r="M2194" s="470">
        <f t="shared" ref="M2194:N2198" si="597">G2194+I2194+K2194</f>
        <v>221375</v>
      </c>
      <c r="N2194" s="470">
        <f t="shared" si="597"/>
        <v>221375</v>
      </c>
      <c r="O2194" s="464"/>
      <c r="P2194" s="767"/>
    </row>
    <row r="2195" spans="2:17" ht="15.2" customHeight="1">
      <c r="B2195" s="768" t="s">
        <v>3171</v>
      </c>
      <c r="C2195" s="769"/>
      <c r="D2195" s="84"/>
      <c r="E2195" s="87">
        <v>1</v>
      </c>
      <c r="F2195" s="86" t="s">
        <v>1163</v>
      </c>
      <c r="G2195" s="470"/>
      <c r="H2195" s="470">
        <f>TRUNC(E2195*G2195,0)</f>
        <v>0</v>
      </c>
      <c r="I2195" s="470">
        <f>SUMIF('노임(2015)'!$B$4:$B$87,B2195,'노임(2015)'!$C$4:$C$87)+SUMIF('노임(2015)'!$E$4:$E$87,B2195,'노임(2015)'!$F$4:$F$87)</f>
        <v>190787</v>
      </c>
      <c r="J2195" s="470">
        <f>TRUNC(I2195*E2195,0)</f>
        <v>190787</v>
      </c>
      <c r="K2195" s="470"/>
      <c r="L2195" s="470">
        <f>TRUNC(K2195*E2195,0)</f>
        <v>0</v>
      </c>
      <c r="M2195" s="470">
        <f t="shared" si="597"/>
        <v>190787</v>
      </c>
      <c r="N2195" s="470">
        <f t="shared" si="597"/>
        <v>190787</v>
      </c>
      <c r="O2195" s="464"/>
      <c r="P2195" s="767"/>
    </row>
    <row r="2196" spans="2:17" ht="15.2" customHeight="1">
      <c r="B2196" s="768" t="s">
        <v>965</v>
      </c>
      <c r="C2196" s="769"/>
      <c r="D2196" s="84"/>
      <c r="E2196" s="87">
        <v>1</v>
      </c>
      <c r="F2196" s="86" t="s">
        <v>1163</v>
      </c>
      <c r="G2196" s="470"/>
      <c r="H2196" s="470">
        <f>TRUNC(E2196*G2196,0)</f>
        <v>0</v>
      </c>
      <c r="I2196" s="470">
        <f>SUMIF('노임(2015)'!$B$4:$B$87,B2196,'노임(2015)'!$C$4:$C$87)+SUMIF('노임(2015)'!$E$4:$E$87,B2196,'노임(2015)'!$F$4:$F$87)</f>
        <v>117921</v>
      </c>
      <c r="J2196" s="470">
        <f>TRUNC(I2196*E2196,0)</f>
        <v>117921</v>
      </c>
      <c r="K2196" s="470"/>
      <c r="L2196" s="470">
        <f>TRUNC(K2196*E2196,0)</f>
        <v>0</v>
      </c>
      <c r="M2196" s="470">
        <f t="shared" si="597"/>
        <v>117921</v>
      </c>
      <c r="N2196" s="470">
        <f t="shared" si="597"/>
        <v>117921</v>
      </c>
      <c r="O2196" s="464"/>
      <c r="P2196" s="767"/>
    </row>
    <row r="2197" spans="2:17" ht="15.2" customHeight="1">
      <c r="B2197" s="768" t="s">
        <v>803</v>
      </c>
      <c r="C2197" s="769"/>
      <c r="D2197" s="84"/>
      <c r="E2197" s="87">
        <v>2</v>
      </c>
      <c r="F2197" s="86" t="s">
        <v>1161</v>
      </c>
      <c r="G2197" s="470">
        <f>사급자재!$M$205</f>
        <v>220</v>
      </c>
      <c r="H2197" s="470">
        <f>TRUNC(E2197*G2197,0)</f>
        <v>440</v>
      </c>
      <c r="I2197" s="470"/>
      <c r="J2197" s="470">
        <f>TRUNC(I2197*E2197,0)</f>
        <v>0</v>
      </c>
      <c r="K2197" s="470"/>
      <c r="L2197" s="470">
        <f>TRUNC(K2197*E2197,0)</f>
        <v>0</v>
      </c>
      <c r="M2197" s="470">
        <f t="shared" si="597"/>
        <v>220</v>
      </c>
      <c r="N2197" s="470">
        <f t="shared" si="597"/>
        <v>440</v>
      </c>
      <c r="O2197" s="464"/>
      <c r="P2197" s="767"/>
    </row>
    <row r="2198" spans="2:17" ht="15.2" customHeight="1">
      <c r="B2198" s="768" t="s">
        <v>1166</v>
      </c>
      <c r="C2198" s="769"/>
      <c r="D2198" s="84" t="s">
        <v>1569</v>
      </c>
      <c r="E2198" s="87">
        <v>0.05</v>
      </c>
      <c r="F2198" s="86" t="s">
        <v>933</v>
      </c>
      <c r="G2198" s="470">
        <f>J2194+J2195+J2196</f>
        <v>530083</v>
      </c>
      <c r="H2198" s="470">
        <f>TRUNC(E2198*G2198,0)</f>
        <v>26504</v>
      </c>
      <c r="I2198" s="470"/>
      <c r="J2198" s="470">
        <f>TRUNC(I2198*E2198,0)</f>
        <v>0</v>
      </c>
      <c r="K2198" s="470"/>
      <c r="L2198" s="470">
        <f>TRUNC(K2198*E2198,0)</f>
        <v>0</v>
      </c>
      <c r="M2198" s="470">
        <f t="shared" si="597"/>
        <v>530083</v>
      </c>
      <c r="N2198" s="470">
        <f t="shared" si="597"/>
        <v>26504</v>
      </c>
      <c r="O2198" s="464"/>
      <c r="P2198" s="767"/>
    </row>
    <row r="2199" spans="2:17" ht="15.2" customHeight="1">
      <c r="B2199" s="768" t="s">
        <v>855</v>
      </c>
      <c r="C2199" s="769"/>
      <c r="D2199" s="84"/>
      <c r="E2199" s="87"/>
      <c r="F2199" s="86"/>
      <c r="G2199" s="470"/>
      <c r="H2199" s="470">
        <f>SUM(H2194:H2198)</f>
        <v>26944</v>
      </c>
      <c r="I2199" s="470"/>
      <c r="J2199" s="470">
        <f>SUM(J2194:J2198)</f>
        <v>530083</v>
      </c>
      <c r="K2199" s="470"/>
      <c r="L2199" s="470">
        <f>SUM(L2194:L2198)</f>
        <v>0</v>
      </c>
      <c r="M2199" s="470"/>
      <c r="N2199" s="470">
        <f>SUM(N2194:N2198)</f>
        <v>557027</v>
      </c>
      <c r="O2199" s="457"/>
      <c r="P2199" s="767"/>
      <c r="Q2199" s="80" t="s">
        <v>3244</v>
      </c>
    </row>
    <row r="2200" spans="2:17" ht="15.2" customHeight="1">
      <c r="B2200" s="96">
        <f>P2200</f>
        <v>374</v>
      </c>
      <c r="C2200" s="770" t="s">
        <v>3260</v>
      </c>
      <c r="D2200" s="770"/>
      <c r="E2200" s="770"/>
      <c r="F2200" s="771"/>
      <c r="G2200" s="470"/>
      <c r="H2200" s="470"/>
      <c r="I2200" s="470"/>
      <c r="J2200" s="470"/>
      <c r="K2200" s="470"/>
      <c r="L2200" s="470"/>
      <c r="M2200" s="470"/>
      <c r="N2200" s="470"/>
      <c r="O2200" s="457"/>
      <c r="P2200" s="767">
        <f>MAX($P$5:P2199)+1</f>
        <v>374</v>
      </c>
      <c r="Q2200" s="80" t="s">
        <v>3243</v>
      </c>
    </row>
    <row r="2201" spans="2:17" ht="15.2" customHeight="1">
      <c r="B2201" s="768" t="s">
        <v>1162</v>
      </c>
      <c r="C2201" s="769"/>
      <c r="D2201" s="84"/>
      <c r="E2201" s="87">
        <v>0.2</v>
      </c>
      <c r="F2201" s="86" t="s">
        <v>1163</v>
      </c>
      <c r="G2201" s="470"/>
      <c r="H2201" s="470">
        <f>TRUNC(E2201*G2201,0)</f>
        <v>0</v>
      </c>
      <c r="I2201" s="470">
        <f>SUMIF('노임(2015)'!$B$4:$B$87,B2201,'노임(2015)'!$C$4:$C$87)+SUMIF('노임(2015)'!$E$4:$E$87,B2201,'노임(2015)'!$F$4:$F$87)</f>
        <v>89566</v>
      </c>
      <c r="J2201" s="470">
        <f>TRUNC(I2201*E2201,0)</f>
        <v>17913</v>
      </c>
      <c r="K2201" s="470"/>
      <c r="L2201" s="470">
        <f>TRUNC(K2201*E2201,0)</f>
        <v>0</v>
      </c>
      <c r="M2201" s="470">
        <f>G2201+I2201+K2201</f>
        <v>89566</v>
      </c>
      <c r="N2201" s="470">
        <f>H2201+J2201+L2201</f>
        <v>17913</v>
      </c>
      <c r="O2201" s="465"/>
      <c r="P2201" s="767"/>
    </row>
    <row r="2202" spans="2:17" ht="15.2" customHeight="1">
      <c r="B2202" s="768" t="s">
        <v>855</v>
      </c>
      <c r="C2202" s="769"/>
      <c r="D2202" s="84"/>
      <c r="E2202" s="87"/>
      <c r="F2202" s="86"/>
      <c r="G2202" s="470"/>
      <c r="H2202" s="470">
        <f>SUM(H2201:H2201)</f>
        <v>0</v>
      </c>
      <c r="I2202" s="470"/>
      <c r="J2202" s="470">
        <f>SUM(J2201:J2201)</f>
        <v>17913</v>
      </c>
      <c r="K2202" s="470"/>
      <c r="L2202" s="470">
        <f>SUM(L2201:L2201)</f>
        <v>0</v>
      </c>
      <c r="M2202" s="470"/>
      <c r="N2202" s="470">
        <f>SUM(N2201:N2201)</f>
        <v>17913</v>
      </c>
      <c r="O2202" s="457"/>
      <c r="P2202" s="767"/>
      <c r="Q2202" s="80" t="s">
        <v>1164</v>
      </c>
    </row>
    <row r="2203" spans="2:17" ht="15.2" customHeight="1">
      <c r="B2203" s="96">
        <f>P2203</f>
        <v>375</v>
      </c>
      <c r="C2203" s="770" t="s">
        <v>2078</v>
      </c>
      <c r="D2203" s="770"/>
      <c r="E2203" s="770"/>
      <c r="F2203" s="771"/>
      <c r="G2203" s="470"/>
      <c r="H2203" s="470"/>
      <c r="I2203" s="470"/>
      <c r="J2203" s="470"/>
      <c r="K2203" s="470"/>
      <c r="L2203" s="470"/>
      <c r="M2203" s="470"/>
      <c r="N2203" s="470"/>
      <c r="O2203" s="457"/>
      <c r="P2203" s="767">
        <f>MAX($P$5:P2202)+1</f>
        <v>375</v>
      </c>
      <c r="Q2203" s="80" t="s">
        <v>3243</v>
      </c>
    </row>
    <row r="2204" spans="2:17" ht="15.2" customHeight="1">
      <c r="B2204" s="768" t="s">
        <v>1404</v>
      </c>
      <c r="C2204" s="769"/>
      <c r="D2204" s="84"/>
      <c r="E2204" s="97">
        <v>3.2399999999999998E-2</v>
      </c>
      <c r="F2204" s="86" t="s">
        <v>1163</v>
      </c>
      <c r="G2204" s="470"/>
      <c r="H2204" s="470">
        <f>TRUNC(E2204*G2204,0)</f>
        <v>0</v>
      </c>
      <c r="I2204" s="470">
        <f>SUMIF('노임(2015)'!$B$4:$B$87,B2204,'노임(2015)'!$C$4:$C$87)+SUMIF('노임(2015)'!$E$4:$E$87,B2204,'노임(2015)'!$F$4:$F$87)</f>
        <v>123333</v>
      </c>
      <c r="J2204" s="470">
        <f>TRUNC(I2204*E2204,0)</f>
        <v>3995</v>
      </c>
      <c r="K2204" s="470"/>
      <c r="L2204" s="470">
        <f>TRUNC(K2204*E2204,0)</f>
        <v>0</v>
      </c>
      <c r="M2204" s="470">
        <f t="shared" ref="M2204:N2206" si="598">G2204+I2204+K2204</f>
        <v>123333</v>
      </c>
      <c r="N2204" s="470">
        <f t="shared" si="598"/>
        <v>3995</v>
      </c>
      <c r="O2204" s="464"/>
      <c r="P2204" s="767"/>
    </row>
    <row r="2205" spans="2:17" ht="15.2" customHeight="1">
      <c r="B2205" s="768" t="s">
        <v>1165</v>
      </c>
      <c r="C2205" s="769"/>
      <c r="D2205" s="84"/>
      <c r="E2205" s="88">
        <v>4.4999999999999998E-2</v>
      </c>
      <c r="F2205" s="86" t="s">
        <v>1163</v>
      </c>
      <c r="G2205" s="470"/>
      <c r="H2205" s="470">
        <f>TRUNC(E2205*G2205,0)</f>
        <v>0</v>
      </c>
      <c r="I2205" s="470">
        <f>SUMIF('노임(2015)'!$B$4:$B$87,B2205,'노임(2015)'!$C$4:$C$87)+SUMIF('노임(2015)'!$E$4:$E$87,B2205,'노임(2015)'!$F$4:$F$87)</f>
        <v>111771</v>
      </c>
      <c r="J2205" s="470">
        <f>TRUNC(I2205*E2205,0)</f>
        <v>5029</v>
      </c>
      <c r="K2205" s="470"/>
      <c r="L2205" s="470">
        <f>TRUNC(K2205*E2205,0)</f>
        <v>0</v>
      </c>
      <c r="M2205" s="470">
        <f t="shared" si="598"/>
        <v>111771</v>
      </c>
      <c r="N2205" s="470">
        <f t="shared" si="598"/>
        <v>5029</v>
      </c>
      <c r="O2205" s="464"/>
      <c r="P2205" s="767"/>
    </row>
    <row r="2206" spans="2:17" ht="15.2" customHeight="1">
      <c r="B2206" s="768" t="s">
        <v>966</v>
      </c>
      <c r="C2206" s="769"/>
      <c r="D2206" s="84" t="s">
        <v>1623</v>
      </c>
      <c r="E2206" s="87">
        <v>0.03</v>
      </c>
      <c r="F2206" s="86" t="s">
        <v>933</v>
      </c>
      <c r="G2206" s="470"/>
      <c r="H2206" s="470">
        <f>TRUNC(E2206*G2206,0)</f>
        <v>0</v>
      </c>
      <c r="I2206" s="470"/>
      <c r="J2206" s="470">
        <f>TRUNC(I2206*E2206,0)</f>
        <v>0</v>
      </c>
      <c r="K2206" s="470">
        <f>TRUNC(E2204*I2204+E2205*I2205)</f>
        <v>9025</v>
      </c>
      <c r="L2206" s="470">
        <f>TRUNC(K2206*E2206,0)</f>
        <v>270</v>
      </c>
      <c r="M2206" s="470">
        <f t="shared" si="598"/>
        <v>9025</v>
      </c>
      <c r="N2206" s="470">
        <f t="shared" si="598"/>
        <v>270</v>
      </c>
      <c r="O2206" s="464"/>
      <c r="P2206" s="767"/>
    </row>
    <row r="2207" spans="2:17" ht="15.2" customHeight="1">
      <c r="B2207" s="766" t="s">
        <v>855</v>
      </c>
      <c r="C2207" s="766"/>
      <c r="D2207" s="84"/>
      <c r="E2207" s="87"/>
      <c r="F2207" s="86"/>
      <c r="G2207" s="470"/>
      <c r="H2207" s="470">
        <f>SUM(H2204:H2206)</f>
        <v>0</v>
      </c>
      <c r="I2207" s="470"/>
      <c r="J2207" s="470">
        <f>SUM(J2204:J2206)</f>
        <v>9024</v>
      </c>
      <c r="K2207" s="470"/>
      <c r="L2207" s="470">
        <f>SUM(L2204:L2206)</f>
        <v>270</v>
      </c>
      <c r="M2207" s="470"/>
      <c r="N2207" s="470">
        <f>SUM(N2204:N2206)</f>
        <v>9294</v>
      </c>
      <c r="O2207" s="457"/>
      <c r="P2207" s="767"/>
      <c r="Q2207" s="80" t="s">
        <v>3244</v>
      </c>
    </row>
    <row r="2208" spans="2:17" ht="15.2" customHeight="1">
      <c r="B2208" s="96">
        <f>P2208</f>
        <v>376</v>
      </c>
      <c r="C2208" s="770" t="s">
        <v>1456</v>
      </c>
      <c r="D2208" s="770"/>
      <c r="E2208" s="770"/>
      <c r="F2208" s="771"/>
      <c r="G2208" s="470"/>
      <c r="H2208" s="470"/>
      <c r="I2208" s="470"/>
      <c r="J2208" s="470"/>
      <c r="K2208" s="470"/>
      <c r="L2208" s="470"/>
      <c r="M2208" s="470"/>
      <c r="N2208" s="470"/>
      <c r="O2208" s="457"/>
      <c r="P2208" s="767">
        <f>MAX($P$5:P2207)+1</f>
        <v>376</v>
      </c>
      <c r="Q2208" s="80" t="s">
        <v>3243</v>
      </c>
    </row>
    <row r="2209" spans="2:17" ht="15.2" customHeight="1">
      <c r="B2209" s="768" t="s">
        <v>1404</v>
      </c>
      <c r="C2209" s="769"/>
      <c r="D2209" s="84"/>
      <c r="E2209" s="97">
        <v>9.1800000000000007E-2</v>
      </c>
      <c r="F2209" s="86" t="s">
        <v>1163</v>
      </c>
      <c r="G2209" s="470"/>
      <c r="H2209" s="470">
        <f>TRUNC(E2209*G2209,0)</f>
        <v>0</v>
      </c>
      <c r="I2209" s="470">
        <f>SUMIF('노임(2015)'!$B$4:$B$87,B2209,'노임(2015)'!$C$4:$C$87)+SUMIF('노임(2015)'!$E$4:$E$87,B2209,'노임(2015)'!$F$4:$F$87)</f>
        <v>123333</v>
      </c>
      <c r="J2209" s="470">
        <f>TRUNC(I2209*E2209,0)</f>
        <v>11321</v>
      </c>
      <c r="K2209" s="470"/>
      <c r="L2209" s="470">
        <f>TRUNC(K2209*E2209,0)</f>
        <v>0</v>
      </c>
      <c r="M2209" s="470">
        <f t="shared" ref="M2209:N2211" si="599">G2209+I2209+K2209</f>
        <v>123333</v>
      </c>
      <c r="N2209" s="470">
        <f t="shared" si="599"/>
        <v>11321</v>
      </c>
      <c r="O2209" s="464"/>
      <c r="P2209" s="767"/>
    </row>
    <row r="2210" spans="2:17" ht="15.2" customHeight="1">
      <c r="B2210" s="768" t="s">
        <v>1165</v>
      </c>
      <c r="C2210" s="769"/>
      <c r="D2210" s="84"/>
      <c r="E2210" s="97">
        <v>6.9699999999999998E-2</v>
      </c>
      <c r="F2210" s="86" t="s">
        <v>1163</v>
      </c>
      <c r="G2210" s="470"/>
      <c r="H2210" s="470">
        <f>TRUNC(E2210*G2210,0)</f>
        <v>0</v>
      </c>
      <c r="I2210" s="470">
        <f>SUMIF('노임(2015)'!$B$4:$B$87,B2210,'노임(2015)'!$C$4:$C$87)+SUMIF('노임(2015)'!$E$4:$E$87,B2210,'노임(2015)'!$F$4:$F$87)</f>
        <v>111771</v>
      </c>
      <c r="J2210" s="470">
        <f>TRUNC(I2210*E2210,0)</f>
        <v>7790</v>
      </c>
      <c r="K2210" s="470"/>
      <c r="L2210" s="470">
        <f>TRUNC(K2210*E2210,0)</f>
        <v>0</v>
      </c>
      <c r="M2210" s="470">
        <f t="shared" si="599"/>
        <v>111771</v>
      </c>
      <c r="N2210" s="470">
        <f t="shared" si="599"/>
        <v>7790</v>
      </c>
      <c r="O2210" s="464"/>
      <c r="P2210" s="767"/>
    </row>
    <row r="2211" spans="2:17" ht="15.2" customHeight="1">
      <c r="B2211" s="768" t="s">
        <v>966</v>
      </c>
      <c r="C2211" s="769"/>
      <c r="D2211" s="84" t="s">
        <v>1623</v>
      </c>
      <c r="E2211" s="87">
        <v>0.03</v>
      </c>
      <c r="F2211" s="86" t="s">
        <v>933</v>
      </c>
      <c r="G2211" s="470"/>
      <c r="H2211" s="470">
        <f>TRUNC(E2211*G2211,0)</f>
        <v>0</v>
      </c>
      <c r="I2211" s="470"/>
      <c r="J2211" s="470">
        <f>TRUNC(I2211*E2211,0)</f>
        <v>0</v>
      </c>
      <c r="K2211" s="470">
        <f>TRUNC(E2209*I2209+E2210*I2210)</f>
        <v>19112</v>
      </c>
      <c r="L2211" s="470">
        <f>TRUNC(K2211*E2211,0)</f>
        <v>573</v>
      </c>
      <c r="M2211" s="470">
        <f t="shared" si="599"/>
        <v>19112</v>
      </c>
      <c r="N2211" s="470">
        <f t="shared" si="599"/>
        <v>573</v>
      </c>
      <c r="O2211" s="464"/>
      <c r="P2211" s="767"/>
    </row>
    <row r="2212" spans="2:17" ht="15.2" customHeight="1">
      <c r="B2212" s="766" t="s">
        <v>855</v>
      </c>
      <c r="C2212" s="766"/>
      <c r="D2212" s="84"/>
      <c r="E2212" s="87"/>
      <c r="F2212" s="86"/>
      <c r="G2212" s="470"/>
      <c r="H2212" s="470">
        <f>SUM(H2209:H2211)</f>
        <v>0</v>
      </c>
      <c r="I2212" s="470"/>
      <c r="J2212" s="470">
        <f>SUM(J2209:J2211)</f>
        <v>19111</v>
      </c>
      <c r="K2212" s="470"/>
      <c r="L2212" s="470">
        <f>SUM(L2209:L2211)</f>
        <v>573</v>
      </c>
      <c r="M2212" s="470"/>
      <c r="N2212" s="470">
        <f>SUM(N2209:N2211)</f>
        <v>19684</v>
      </c>
      <c r="O2212" s="457"/>
      <c r="P2212" s="767"/>
      <c r="Q2212" s="80" t="s">
        <v>3244</v>
      </c>
    </row>
    <row r="2213" spans="2:17" ht="15.2" customHeight="1">
      <c r="B2213" s="96">
        <f>P2213</f>
        <v>377</v>
      </c>
      <c r="C2213" s="770" t="s">
        <v>3914</v>
      </c>
      <c r="D2213" s="770"/>
      <c r="E2213" s="770"/>
      <c r="F2213" s="771"/>
      <c r="G2213" s="470"/>
      <c r="H2213" s="470"/>
      <c r="I2213" s="470"/>
      <c r="J2213" s="470"/>
      <c r="K2213" s="470"/>
      <c r="L2213" s="470"/>
      <c r="M2213" s="470"/>
      <c r="N2213" s="470"/>
      <c r="O2213" s="457"/>
      <c r="P2213" s="767">
        <f>MAX($P$5:P2212)+1</f>
        <v>377</v>
      </c>
      <c r="Q2213" s="80" t="s">
        <v>3243</v>
      </c>
    </row>
    <row r="2214" spans="2:17" ht="15.2" customHeight="1">
      <c r="B2214" s="768" t="s">
        <v>3894</v>
      </c>
      <c r="C2214" s="769"/>
      <c r="D2214" s="622" t="s">
        <v>3903</v>
      </c>
      <c r="E2214" s="87">
        <v>0.1</v>
      </c>
      <c r="F2214" s="623" t="s">
        <v>3904</v>
      </c>
      <c r="G2214" s="626">
        <f>사급자재!$M$162+사급자재!$M$168</f>
        <v>1048000</v>
      </c>
      <c r="H2214" s="470">
        <f>TRUNC(E2214*G2214,0)</f>
        <v>104800</v>
      </c>
      <c r="I2214" s="470"/>
      <c r="J2214" s="470">
        <f>TRUNC(I2214*E2214,0)</f>
        <v>0</v>
      </c>
      <c r="K2214" s="470"/>
      <c r="L2214" s="470">
        <f>TRUNC(K2214*E2214,0)</f>
        <v>0</v>
      </c>
      <c r="M2214" s="470">
        <f t="shared" ref="M2214:N2216" si="600">G2214+I2214+K2214</f>
        <v>1048000</v>
      </c>
      <c r="N2214" s="470">
        <f t="shared" si="600"/>
        <v>104800</v>
      </c>
      <c r="O2214" s="464"/>
      <c r="P2214" s="767"/>
    </row>
    <row r="2215" spans="2:17" ht="15.2" customHeight="1">
      <c r="B2215" s="768" t="s">
        <v>3895</v>
      </c>
      <c r="C2215" s="769"/>
      <c r="D2215" s="622" t="s">
        <v>2460</v>
      </c>
      <c r="E2215" s="87">
        <v>1.47</v>
      </c>
      <c r="F2215" s="623" t="s">
        <v>3907</v>
      </c>
      <c r="G2215" s="470">
        <f>중기사용료!$M$1366</f>
        <v>8018</v>
      </c>
      <c r="H2215" s="470">
        <f>TRUNC(E2215*G2215,0)</f>
        <v>11786</v>
      </c>
      <c r="I2215" s="470">
        <f>중기사용료!$M$1360</f>
        <v>27168</v>
      </c>
      <c r="J2215" s="626">
        <f t="shared" ref="J2215:J2220" si="601">TRUNC(I2215*E2215,0)</f>
        <v>39936</v>
      </c>
      <c r="K2215" s="470">
        <f>중기사용료!$M$1354</f>
        <v>2066</v>
      </c>
      <c r="L2215" s="626">
        <f t="shared" ref="L2215:L2220" si="602">TRUNC(K2215*E2215,0)</f>
        <v>3037</v>
      </c>
      <c r="M2215" s="470">
        <f t="shared" si="600"/>
        <v>37252</v>
      </c>
      <c r="N2215" s="470">
        <f t="shared" si="600"/>
        <v>54759</v>
      </c>
      <c r="O2215" s="464"/>
      <c r="P2215" s="767"/>
    </row>
    <row r="2216" spans="2:17" ht="15.2" customHeight="1">
      <c r="B2216" s="768" t="s">
        <v>3896</v>
      </c>
      <c r="C2216" s="769"/>
      <c r="D2216" s="622" t="s">
        <v>3902</v>
      </c>
      <c r="E2216" s="87">
        <v>1.47</v>
      </c>
      <c r="F2216" s="623" t="s">
        <v>3907</v>
      </c>
      <c r="G2216" s="470">
        <f>중기사용료!$M$1594</f>
        <v>13479</v>
      </c>
      <c r="H2216" s="470">
        <f>TRUNC(E2216*G2216,0)</f>
        <v>19814</v>
      </c>
      <c r="I2216" s="470">
        <f>중기사용료!$M$1588</f>
        <v>24483</v>
      </c>
      <c r="J2216" s="626">
        <f t="shared" si="601"/>
        <v>35990</v>
      </c>
      <c r="K2216" s="470">
        <f>중기사용료!$M$1582</f>
        <v>7823</v>
      </c>
      <c r="L2216" s="626">
        <f t="shared" si="602"/>
        <v>11499</v>
      </c>
      <c r="M2216" s="470">
        <f t="shared" si="600"/>
        <v>45785</v>
      </c>
      <c r="N2216" s="470">
        <f t="shared" si="600"/>
        <v>67303</v>
      </c>
      <c r="O2216" s="464"/>
      <c r="P2216" s="767"/>
    </row>
    <row r="2217" spans="2:17" ht="15.2" customHeight="1">
      <c r="B2217" s="768" t="s">
        <v>3897</v>
      </c>
      <c r="C2217" s="769"/>
      <c r="D2217" s="84"/>
      <c r="E2217" s="88">
        <v>0.79700000000000004</v>
      </c>
      <c r="F2217" s="623" t="s">
        <v>3906</v>
      </c>
      <c r="G2217" s="470"/>
      <c r="H2217" s="470">
        <f>TRUNC(E2217*G2217,0)</f>
        <v>0</v>
      </c>
      <c r="I2217" s="470">
        <f>'노임(2015)'!$C$6</f>
        <v>111771</v>
      </c>
      <c r="J2217" s="626">
        <f t="shared" si="601"/>
        <v>89081</v>
      </c>
      <c r="K2217" s="470"/>
      <c r="L2217" s="626">
        <f t="shared" si="602"/>
        <v>0</v>
      </c>
      <c r="M2217" s="470">
        <f>G2217+I2217+K2217</f>
        <v>111771</v>
      </c>
      <c r="N2217" s="470">
        <f>H2217+J2217+L2217</f>
        <v>89081</v>
      </c>
      <c r="O2217" s="464"/>
      <c r="P2217" s="767"/>
    </row>
    <row r="2218" spans="2:17" ht="15.2" customHeight="1">
      <c r="B2218" s="768" t="s">
        <v>3898</v>
      </c>
      <c r="C2218" s="769"/>
      <c r="D2218" s="84"/>
      <c r="E2218" s="88">
        <v>0.36799999999999999</v>
      </c>
      <c r="F2218" s="623" t="s">
        <v>3906</v>
      </c>
      <c r="G2218" s="470"/>
      <c r="H2218" s="470">
        <f>TRUNC(E2218*G2218,0)</f>
        <v>0</v>
      </c>
      <c r="I2218" s="470">
        <f>'노임(2015)'!$C$5</f>
        <v>89566</v>
      </c>
      <c r="J2218" s="626">
        <f t="shared" si="601"/>
        <v>32960</v>
      </c>
      <c r="K2218" s="470"/>
      <c r="L2218" s="626">
        <f t="shared" si="602"/>
        <v>0</v>
      </c>
      <c r="M2218" s="470">
        <f>G2218+I2218+K2218</f>
        <v>89566</v>
      </c>
      <c r="N2218" s="470">
        <f>H2218+J2218+L2218</f>
        <v>32960</v>
      </c>
      <c r="O2218" s="464"/>
      <c r="P2218" s="767"/>
    </row>
    <row r="2219" spans="2:17" s="621" customFormat="1" ht="15.2" customHeight="1">
      <c r="B2219" s="627" t="s">
        <v>3899</v>
      </c>
      <c r="C2219" s="628"/>
      <c r="D2219" s="622"/>
      <c r="E2219" s="629">
        <v>7950</v>
      </c>
      <c r="F2219" s="623" t="s">
        <v>456</v>
      </c>
      <c r="G2219" s="471">
        <f>사급자재!$M$86/1000</f>
        <v>0.36</v>
      </c>
      <c r="H2219" s="626">
        <f t="shared" ref="H2219:H2220" si="603">TRUNC(E2219*G2219,0)</f>
        <v>2862</v>
      </c>
      <c r="I2219" s="626"/>
      <c r="J2219" s="626">
        <f t="shared" si="601"/>
        <v>0</v>
      </c>
      <c r="K2219" s="626"/>
      <c r="L2219" s="626">
        <f t="shared" si="602"/>
        <v>0</v>
      </c>
      <c r="M2219" s="626">
        <f t="shared" ref="M2219:M2220" si="604">G2219+I2219+K2219</f>
        <v>0.36</v>
      </c>
      <c r="N2219" s="626">
        <f t="shared" ref="N2219:N2220" si="605">H2219+J2219+L2219</f>
        <v>2862</v>
      </c>
      <c r="O2219" s="625"/>
      <c r="P2219" s="767"/>
    </row>
    <row r="2220" spans="2:17" s="621" customFormat="1" ht="15.2" customHeight="1">
      <c r="B2220" s="627" t="s">
        <v>3900</v>
      </c>
      <c r="C2220" s="628"/>
      <c r="D2220" s="622" t="s">
        <v>3901</v>
      </c>
      <c r="E2220" s="624">
        <v>0.05</v>
      </c>
      <c r="F2220" s="623" t="s">
        <v>3905</v>
      </c>
      <c r="G2220" s="626">
        <f>SUM(J2217:J2218)</f>
        <v>122041</v>
      </c>
      <c r="H2220" s="626">
        <f t="shared" si="603"/>
        <v>6102</v>
      </c>
      <c r="I2220" s="626"/>
      <c r="J2220" s="626">
        <f t="shared" si="601"/>
        <v>0</v>
      </c>
      <c r="K2220" s="626"/>
      <c r="L2220" s="626">
        <f t="shared" si="602"/>
        <v>0</v>
      </c>
      <c r="M2220" s="626">
        <f t="shared" si="604"/>
        <v>122041</v>
      </c>
      <c r="N2220" s="626">
        <f t="shared" si="605"/>
        <v>6102</v>
      </c>
      <c r="O2220" s="625"/>
      <c r="P2220" s="767"/>
    </row>
    <row r="2221" spans="2:17" ht="15.2" customHeight="1">
      <c r="B2221" s="756" t="s">
        <v>855</v>
      </c>
      <c r="C2221" s="772"/>
      <c r="D2221" s="84"/>
      <c r="E2221" s="87"/>
      <c r="F2221" s="86"/>
      <c r="G2221" s="470"/>
      <c r="H2221" s="470">
        <f>SUM(H2214:H2218)</f>
        <v>136400</v>
      </c>
      <c r="I2221" s="470"/>
      <c r="J2221" s="626">
        <f>SUM(J2214:J2218)</f>
        <v>197967</v>
      </c>
      <c r="K2221" s="470"/>
      <c r="L2221" s="626">
        <f>SUM(L2214:L2218)</f>
        <v>14536</v>
      </c>
      <c r="M2221" s="470"/>
      <c r="N2221" s="470">
        <f>SUM(N2214:N2218)</f>
        <v>348903</v>
      </c>
      <c r="O2221" s="464"/>
      <c r="P2221" s="767"/>
      <c r="Q2221" s="80" t="s">
        <v>3244</v>
      </c>
    </row>
    <row r="2222" spans="2:17" s="621" customFormat="1" ht="15.2" customHeight="1">
      <c r="B2222" s="96">
        <f>P2222</f>
        <v>378</v>
      </c>
      <c r="C2222" s="770" t="s">
        <v>3915</v>
      </c>
      <c r="D2222" s="770"/>
      <c r="E2222" s="770"/>
      <c r="F2222" s="771"/>
      <c r="G2222" s="626"/>
      <c r="H2222" s="626"/>
      <c r="I2222" s="626"/>
      <c r="J2222" s="626"/>
      <c r="K2222" s="626"/>
      <c r="L2222" s="626"/>
      <c r="M2222" s="626"/>
      <c r="N2222" s="626"/>
      <c r="O2222" s="457"/>
      <c r="P2222" s="767">
        <f>MAX($P$5:P2221)+1</f>
        <v>378</v>
      </c>
      <c r="Q2222" s="621" t="s">
        <v>3243</v>
      </c>
    </row>
    <row r="2223" spans="2:17" s="621" customFormat="1" ht="15.2" customHeight="1">
      <c r="B2223" s="768" t="s">
        <v>3894</v>
      </c>
      <c r="C2223" s="769"/>
      <c r="D2223" s="622" t="s">
        <v>3908</v>
      </c>
      <c r="E2223" s="624">
        <v>0.1</v>
      </c>
      <c r="F2223" s="623" t="s">
        <v>3904</v>
      </c>
      <c r="G2223" s="626">
        <f>사급자재!$M$164+사급자재!$M$170</f>
        <v>1520000</v>
      </c>
      <c r="H2223" s="626">
        <f>TRUNC(E2223*G2223,0)</f>
        <v>152000</v>
      </c>
      <c r="I2223" s="626"/>
      <c r="J2223" s="626">
        <f>TRUNC(I2223*E2223,0)</f>
        <v>0</v>
      </c>
      <c r="K2223" s="626"/>
      <c r="L2223" s="626">
        <f>TRUNC(K2223*E2223,0)</f>
        <v>0</v>
      </c>
      <c r="M2223" s="626">
        <f t="shared" ref="M2223:M2225" si="606">G2223+I2223+K2223</f>
        <v>1520000</v>
      </c>
      <c r="N2223" s="626">
        <f t="shared" ref="N2223:N2225" si="607">H2223+J2223+L2223</f>
        <v>152000</v>
      </c>
      <c r="O2223" s="625"/>
      <c r="P2223" s="767"/>
    </row>
    <row r="2224" spans="2:17" s="621" customFormat="1" ht="15.2" customHeight="1">
      <c r="B2224" s="768" t="s">
        <v>3895</v>
      </c>
      <c r="C2224" s="769"/>
      <c r="D2224" s="622" t="s">
        <v>2460</v>
      </c>
      <c r="E2224" s="624">
        <v>1.53</v>
      </c>
      <c r="F2224" s="623" t="s">
        <v>3907</v>
      </c>
      <c r="G2224" s="626">
        <f>중기사용료!$M$1366</f>
        <v>8018</v>
      </c>
      <c r="H2224" s="626">
        <f>TRUNC(E2224*G2224,0)</f>
        <v>12267</v>
      </c>
      <c r="I2224" s="626">
        <f>중기사용료!$M$1360</f>
        <v>27168</v>
      </c>
      <c r="J2224" s="626">
        <f t="shared" ref="J2224:J2229" si="608">TRUNC(I2224*E2224,0)</f>
        <v>41567</v>
      </c>
      <c r="K2224" s="626">
        <f>중기사용료!$M$1354</f>
        <v>2066</v>
      </c>
      <c r="L2224" s="626">
        <f t="shared" ref="L2224:L2229" si="609">TRUNC(K2224*E2224,0)</f>
        <v>3160</v>
      </c>
      <c r="M2224" s="626">
        <f t="shared" si="606"/>
        <v>37252</v>
      </c>
      <c r="N2224" s="626">
        <f t="shared" si="607"/>
        <v>56994</v>
      </c>
      <c r="O2224" s="625"/>
      <c r="P2224" s="767"/>
    </row>
    <row r="2225" spans="2:17" s="621" customFormat="1" ht="15.2" customHeight="1">
      <c r="B2225" s="768" t="s">
        <v>3896</v>
      </c>
      <c r="C2225" s="769"/>
      <c r="D2225" s="622" t="s">
        <v>3902</v>
      </c>
      <c r="E2225" s="624">
        <v>1.53</v>
      </c>
      <c r="F2225" s="623" t="s">
        <v>3907</v>
      </c>
      <c r="G2225" s="626">
        <f>중기사용료!$M$1594</f>
        <v>13479</v>
      </c>
      <c r="H2225" s="626">
        <f>TRUNC(E2225*G2225,0)</f>
        <v>20622</v>
      </c>
      <c r="I2225" s="626">
        <f>중기사용료!$M$1588</f>
        <v>24483</v>
      </c>
      <c r="J2225" s="626">
        <f t="shared" si="608"/>
        <v>37458</v>
      </c>
      <c r="K2225" s="626">
        <f>중기사용료!$M$1582</f>
        <v>7823</v>
      </c>
      <c r="L2225" s="626">
        <f t="shared" si="609"/>
        <v>11969</v>
      </c>
      <c r="M2225" s="626">
        <f t="shared" si="606"/>
        <v>45785</v>
      </c>
      <c r="N2225" s="626">
        <f t="shared" si="607"/>
        <v>70049</v>
      </c>
      <c r="O2225" s="625"/>
      <c r="P2225" s="767"/>
    </row>
    <row r="2226" spans="2:17" s="621" customFormat="1" ht="15.2" customHeight="1">
      <c r="B2226" s="768" t="s">
        <v>3897</v>
      </c>
      <c r="C2226" s="769"/>
      <c r="D2226" s="622"/>
      <c r="E2226" s="88">
        <v>0.96199999999999997</v>
      </c>
      <c r="F2226" s="623" t="s">
        <v>3906</v>
      </c>
      <c r="G2226" s="626"/>
      <c r="H2226" s="626">
        <f>TRUNC(E2226*G2226,0)</f>
        <v>0</v>
      </c>
      <c r="I2226" s="626">
        <f>'노임(2015)'!$C$6</f>
        <v>111771</v>
      </c>
      <c r="J2226" s="626">
        <f t="shared" si="608"/>
        <v>107523</v>
      </c>
      <c r="K2226" s="626"/>
      <c r="L2226" s="626">
        <f t="shared" si="609"/>
        <v>0</v>
      </c>
      <c r="M2226" s="626">
        <f>G2226+I2226+K2226</f>
        <v>111771</v>
      </c>
      <c r="N2226" s="626">
        <f>H2226+J2226+L2226</f>
        <v>107523</v>
      </c>
      <c r="O2226" s="625"/>
      <c r="P2226" s="767"/>
    </row>
    <row r="2227" spans="2:17" s="621" customFormat="1" ht="15.2" customHeight="1">
      <c r="B2227" s="768" t="s">
        <v>3898</v>
      </c>
      <c r="C2227" s="769"/>
      <c r="D2227" s="622"/>
      <c r="E2227" s="88">
        <v>0.38300000000000001</v>
      </c>
      <c r="F2227" s="623" t="s">
        <v>3906</v>
      </c>
      <c r="G2227" s="626"/>
      <c r="H2227" s="626">
        <f>TRUNC(E2227*G2227,0)</f>
        <v>0</v>
      </c>
      <c r="I2227" s="626">
        <f>'노임(2015)'!$C$5</f>
        <v>89566</v>
      </c>
      <c r="J2227" s="626">
        <f t="shared" si="608"/>
        <v>34303</v>
      </c>
      <c r="K2227" s="626"/>
      <c r="L2227" s="626">
        <f t="shared" si="609"/>
        <v>0</v>
      </c>
      <c r="M2227" s="626">
        <f>G2227+I2227+K2227</f>
        <v>89566</v>
      </c>
      <c r="N2227" s="626">
        <f>H2227+J2227+L2227</f>
        <v>34303</v>
      </c>
      <c r="O2227" s="625"/>
      <c r="P2227" s="767"/>
    </row>
    <row r="2228" spans="2:17" s="621" customFormat="1" ht="15.2" customHeight="1">
      <c r="B2228" s="627" t="s">
        <v>3899</v>
      </c>
      <c r="C2228" s="628"/>
      <c r="D2228" s="622"/>
      <c r="E2228" s="629">
        <v>14100</v>
      </c>
      <c r="F2228" s="623" t="s">
        <v>456</v>
      </c>
      <c r="G2228" s="471">
        <f>사급자재!$M$86/1000</f>
        <v>0.36</v>
      </c>
      <c r="H2228" s="626">
        <f t="shared" ref="H2228:H2229" si="610">TRUNC(E2228*G2228,0)</f>
        <v>5076</v>
      </c>
      <c r="I2228" s="626"/>
      <c r="J2228" s="626">
        <f t="shared" si="608"/>
        <v>0</v>
      </c>
      <c r="K2228" s="626"/>
      <c r="L2228" s="626">
        <f t="shared" si="609"/>
        <v>0</v>
      </c>
      <c r="M2228" s="626">
        <f t="shared" ref="M2228:M2229" si="611">G2228+I2228+K2228</f>
        <v>0.36</v>
      </c>
      <c r="N2228" s="626">
        <f t="shared" ref="N2228:N2229" si="612">H2228+J2228+L2228</f>
        <v>5076</v>
      </c>
      <c r="O2228" s="625"/>
      <c r="P2228" s="767"/>
    </row>
    <row r="2229" spans="2:17" s="621" customFormat="1" ht="15.2" customHeight="1">
      <c r="B2229" s="627" t="s">
        <v>3900</v>
      </c>
      <c r="C2229" s="628"/>
      <c r="D2229" s="622" t="s">
        <v>3901</v>
      </c>
      <c r="E2229" s="624">
        <v>0.05</v>
      </c>
      <c r="F2229" s="623" t="s">
        <v>3905</v>
      </c>
      <c r="G2229" s="626">
        <f>SUM(J2226:J2227)</f>
        <v>141826</v>
      </c>
      <c r="H2229" s="626">
        <f t="shared" si="610"/>
        <v>7091</v>
      </c>
      <c r="I2229" s="626"/>
      <c r="J2229" s="626">
        <f t="shared" si="608"/>
        <v>0</v>
      </c>
      <c r="K2229" s="626"/>
      <c r="L2229" s="626">
        <f t="shared" si="609"/>
        <v>0</v>
      </c>
      <c r="M2229" s="626">
        <f t="shared" si="611"/>
        <v>141826</v>
      </c>
      <c r="N2229" s="626">
        <f t="shared" si="612"/>
        <v>7091</v>
      </c>
      <c r="O2229" s="625"/>
      <c r="P2229" s="767"/>
    </row>
    <row r="2230" spans="2:17" s="621" customFormat="1" ht="15.2" customHeight="1">
      <c r="B2230" s="756" t="s">
        <v>855</v>
      </c>
      <c r="C2230" s="772"/>
      <c r="D2230" s="622"/>
      <c r="E2230" s="624"/>
      <c r="F2230" s="623"/>
      <c r="G2230" s="626"/>
      <c r="H2230" s="626">
        <f>SUM(H2223:H2227)</f>
        <v>184889</v>
      </c>
      <c r="I2230" s="626"/>
      <c r="J2230" s="626">
        <f>SUM(J2223:J2227)</f>
        <v>220851</v>
      </c>
      <c r="K2230" s="626"/>
      <c r="L2230" s="626">
        <f>SUM(L2223:L2227)</f>
        <v>15129</v>
      </c>
      <c r="M2230" s="626"/>
      <c r="N2230" s="626">
        <f>SUM(N2223:N2227)</f>
        <v>420869</v>
      </c>
      <c r="O2230" s="625"/>
      <c r="P2230" s="767"/>
      <c r="Q2230" s="621" t="s">
        <v>1164</v>
      </c>
    </row>
    <row r="2231" spans="2:17" s="647" customFormat="1" ht="15.2" customHeight="1">
      <c r="B2231" s="652">
        <f>P2231</f>
        <v>379</v>
      </c>
      <c r="C2231" s="770" t="s">
        <v>3973</v>
      </c>
      <c r="D2231" s="770"/>
      <c r="E2231" s="770"/>
      <c r="F2231" s="771"/>
      <c r="G2231" s="655"/>
      <c r="H2231" s="655"/>
      <c r="I2231" s="655"/>
      <c r="J2231" s="655"/>
      <c r="K2231" s="655"/>
      <c r="L2231" s="655"/>
      <c r="M2231" s="655"/>
      <c r="N2231" s="655"/>
      <c r="O2231" s="653"/>
      <c r="P2231" s="767">
        <f>MAX($P$5:P2230)+1</f>
        <v>379</v>
      </c>
      <c r="Q2231" s="647" t="s">
        <v>3243</v>
      </c>
    </row>
    <row r="2232" spans="2:17" s="647" customFormat="1" ht="15.2" customHeight="1">
      <c r="B2232" s="768" t="s">
        <v>3894</v>
      </c>
      <c r="C2232" s="769"/>
      <c r="D2232" s="648" t="s">
        <v>3214</v>
      </c>
      <c r="E2232" s="650">
        <v>0.1</v>
      </c>
      <c r="F2232" s="649" t="s">
        <v>3263</v>
      </c>
      <c r="G2232" s="655">
        <f>사급자재!$M$165+사급자재!$M$171</f>
        <v>1840000</v>
      </c>
      <c r="H2232" s="655">
        <f>TRUNC(E2232*G2232,0)</f>
        <v>184000</v>
      </c>
      <c r="I2232" s="655"/>
      <c r="J2232" s="655">
        <f>TRUNC(I2232*E2232,0)</f>
        <v>0</v>
      </c>
      <c r="K2232" s="655"/>
      <c r="L2232" s="655">
        <f>TRUNC(K2232*E2232,0)</f>
        <v>0</v>
      </c>
      <c r="M2232" s="655">
        <f t="shared" ref="M2232:M2234" si="613">G2232+I2232+K2232</f>
        <v>1840000</v>
      </c>
      <c r="N2232" s="655">
        <f t="shared" ref="N2232:N2234" si="614">H2232+J2232+L2232</f>
        <v>184000</v>
      </c>
      <c r="O2232" s="654"/>
      <c r="P2232" s="767"/>
    </row>
    <row r="2233" spans="2:17" s="647" customFormat="1" ht="15.2" customHeight="1">
      <c r="B2233" s="768" t="s">
        <v>3895</v>
      </c>
      <c r="C2233" s="769"/>
      <c r="D2233" s="648" t="s">
        <v>2460</v>
      </c>
      <c r="E2233" s="650">
        <v>1.57</v>
      </c>
      <c r="F2233" s="649" t="s">
        <v>445</v>
      </c>
      <c r="G2233" s="655">
        <f>중기사용료!$M$1366</f>
        <v>8018</v>
      </c>
      <c r="H2233" s="655">
        <f>TRUNC(E2233*G2233,0)</f>
        <v>12588</v>
      </c>
      <c r="I2233" s="655">
        <f>중기사용료!$M$1360</f>
        <v>27168</v>
      </c>
      <c r="J2233" s="655">
        <f t="shared" ref="J2233:J2238" si="615">TRUNC(I2233*E2233,0)</f>
        <v>42653</v>
      </c>
      <c r="K2233" s="655">
        <f>중기사용료!$M$1354</f>
        <v>2066</v>
      </c>
      <c r="L2233" s="655">
        <f t="shared" ref="L2233:L2238" si="616">TRUNC(K2233*E2233,0)</f>
        <v>3243</v>
      </c>
      <c r="M2233" s="655">
        <f t="shared" si="613"/>
        <v>37252</v>
      </c>
      <c r="N2233" s="655">
        <f t="shared" si="614"/>
        <v>58484</v>
      </c>
      <c r="O2233" s="654"/>
      <c r="P2233" s="767"/>
    </row>
    <row r="2234" spans="2:17" s="647" customFormat="1" ht="15.2" customHeight="1">
      <c r="B2234" s="768" t="s">
        <v>1266</v>
      </c>
      <c r="C2234" s="769"/>
      <c r="D2234" s="648" t="s">
        <v>3213</v>
      </c>
      <c r="E2234" s="650">
        <v>1.57</v>
      </c>
      <c r="F2234" s="649" t="s">
        <v>445</v>
      </c>
      <c r="G2234" s="655">
        <f>중기사용료!$M$1594</f>
        <v>13479</v>
      </c>
      <c r="H2234" s="655">
        <f>TRUNC(E2234*G2234,0)</f>
        <v>21162</v>
      </c>
      <c r="I2234" s="655">
        <f>중기사용료!$M$1588</f>
        <v>24483</v>
      </c>
      <c r="J2234" s="655">
        <f t="shared" si="615"/>
        <v>38438</v>
      </c>
      <c r="K2234" s="655">
        <f>중기사용료!$M$1582</f>
        <v>7823</v>
      </c>
      <c r="L2234" s="655">
        <f t="shared" si="616"/>
        <v>12282</v>
      </c>
      <c r="M2234" s="655">
        <f t="shared" si="613"/>
        <v>45785</v>
      </c>
      <c r="N2234" s="655">
        <f t="shared" si="614"/>
        <v>71882</v>
      </c>
      <c r="O2234" s="654"/>
      <c r="P2234" s="767"/>
    </row>
    <row r="2235" spans="2:17" s="647" customFormat="1" ht="15.2" customHeight="1">
      <c r="B2235" s="768" t="s">
        <v>1165</v>
      </c>
      <c r="C2235" s="769"/>
      <c r="D2235" s="648"/>
      <c r="E2235" s="651">
        <v>1.0720000000000001</v>
      </c>
      <c r="F2235" s="649" t="s">
        <v>3610</v>
      </c>
      <c r="G2235" s="655"/>
      <c r="H2235" s="655">
        <f>TRUNC(E2235*G2235,0)</f>
        <v>0</v>
      </c>
      <c r="I2235" s="655">
        <f>'노임(2015)'!$C$6</f>
        <v>111771</v>
      </c>
      <c r="J2235" s="655">
        <f t="shared" si="615"/>
        <v>119818</v>
      </c>
      <c r="K2235" s="655"/>
      <c r="L2235" s="655">
        <f t="shared" si="616"/>
        <v>0</v>
      </c>
      <c r="M2235" s="655">
        <f>G2235+I2235+K2235</f>
        <v>111771</v>
      </c>
      <c r="N2235" s="655">
        <f>H2235+J2235+L2235</f>
        <v>119818</v>
      </c>
      <c r="O2235" s="654"/>
      <c r="P2235" s="767"/>
    </row>
    <row r="2236" spans="2:17" s="647" customFormat="1" ht="15.2" customHeight="1">
      <c r="B2236" s="768" t="s">
        <v>1162</v>
      </c>
      <c r="C2236" s="769"/>
      <c r="D2236" s="648"/>
      <c r="E2236" s="651">
        <v>0.39300000000000002</v>
      </c>
      <c r="F2236" s="649" t="s">
        <v>3610</v>
      </c>
      <c r="G2236" s="655"/>
      <c r="H2236" s="655">
        <f>TRUNC(E2236*G2236,0)</f>
        <v>0</v>
      </c>
      <c r="I2236" s="655">
        <f>'노임(2015)'!$C$5</f>
        <v>89566</v>
      </c>
      <c r="J2236" s="655">
        <f t="shared" si="615"/>
        <v>35199</v>
      </c>
      <c r="K2236" s="655"/>
      <c r="L2236" s="655">
        <f t="shared" si="616"/>
        <v>0</v>
      </c>
      <c r="M2236" s="655">
        <f>G2236+I2236+K2236</f>
        <v>89566</v>
      </c>
      <c r="N2236" s="655">
        <f>H2236+J2236+L2236</f>
        <v>35199</v>
      </c>
      <c r="O2236" s="654"/>
      <c r="P2236" s="767"/>
    </row>
    <row r="2237" spans="2:17" s="647" customFormat="1" ht="15.2" customHeight="1">
      <c r="B2237" s="695" t="s">
        <v>455</v>
      </c>
      <c r="C2237" s="696"/>
      <c r="D2237" s="648"/>
      <c r="E2237" s="629">
        <v>19240</v>
      </c>
      <c r="F2237" s="649" t="s">
        <v>456</v>
      </c>
      <c r="G2237" s="656">
        <f>사급자재!$M$86/1000</f>
        <v>0.36</v>
      </c>
      <c r="H2237" s="655">
        <f t="shared" ref="H2237:H2238" si="617">TRUNC(E2237*G2237,0)</f>
        <v>6926</v>
      </c>
      <c r="I2237" s="655"/>
      <c r="J2237" s="655">
        <f t="shared" si="615"/>
        <v>0</v>
      </c>
      <c r="K2237" s="655"/>
      <c r="L2237" s="655">
        <f t="shared" si="616"/>
        <v>0</v>
      </c>
      <c r="M2237" s="655">
        <f t="shared" ref="M2237:M2238" si="618">G2237+I2237+K2237</f>
        <v>0.36</v>
      </c>
      <c r="N2237" s="655">
        <f t="shared" ref="N2237:N2238" si="619">H2237+J2237+L2237</f>
        <v>6926</v>
      </c>
      <c r="O2237" s="654"/>
      <c r="P2237" s="767"/>
    </row>
    <row r="2238" spans="2:17" s="647" customFormat="1" ht="15.2" customHeight="1">
      <c r="B2238" s="695" t="s">
        <v>1166</v>
      </c>
      <c r="C2238" s="696"/>
      <c r="D2238" s="648" t="s">
        <v>3218</v>
      </c>
      <c r="E2238" s="650">
        <v>0.05</v>
      </c>
      <c r="F2238" s="649" t="s">
        <v>933</v>
      </c>
      <c r="G2238" s="655">
        <f>SUM(J2235:J2236)</f>
        <v>155017</v>
      </c>
      <c r="H2238" s="655">
        <f t="shared" si="617"/>
        <v>7750</v>
      </c>
      <c r="I2238" s="655"/>
      <c r="J2238" s="655">
        <f t="shared" si="615"/>
        <v>0</v>
      </c>
      <c r="K2238" s="655"/>
      <c r="L2238" s="655">
        <f t="shared" si="616"/>
        <v>0</v>
      </c>
      <c r="M2238" s="655">
        <f t="shared" si="618"/>
        <v>155017</v>
      </c>
      <c r="N2238" s="655">
        <f t="shared" si="619"/>
        <v>7750</v>
      </c>
      <c r="O2238" s="654"/>
      <c r="P2238" s="767"/>
    </row>
    <row r="2239" spans="2:17" s="647" customFormat="1" ht="15.2" customHeight="1">
      <c r="B2239" s="756" t="s">
        <v>855</v>
      </c>
      <c r="C2239" s="772"/>
      <c r="D2239" s="648"/>
      <c r="E2239" s="650"/>
      <c r="F2239" s="649"/>
      <c r="G2239" s="655"/>
      <c r="H2239" s="655">
        <f>SUM(H2232:H2236)</f>
        <v>217750</v>
      </c>
      <c r="I2239" s="655"/>
      <c r="J2239" s="655">
        <f>SUM(J2232:J2236)</f>
        <v>236108</v>
      </c>
      <c r="K2239" s="655"/>
      <c r="L2239" s="655">
        <f>SUM(L2232:L2236)</f>
        <v>15525</v>
      </c>
      <c r="M2239" s="655"/>
      <c r="N2239" s="655">
        <f>SUM(N2232:N2236)</f>
        <v>469383</v>
      </c>
      <c r="O2239" s="654"/>
      <c r="P2239" s="767"/>
      <c r="Q2239" s="647" t="s">
        <v>1164</v>
      </c>
    </row>
    <row r="2240" spans="2:17" s="621" customFormat="1" ht="15.2" customHeight="1">
      <c r="B2240" s="96">
        <f>P2240</f>
        <v>380</v>
      </c>
      <c r="C2240" s="770" t="s">
        <v>3916</v>
      </c>
      <c r="D2240" s="770"/>
      <c r="E2240" s="770"/>
      <c r="F2240" s="771"/>
      <c r="G2240" s="626"/>
      <c r="H2240" s="626"/>
      <c r="I2240" s="626"/>
      <c r="J2240" s="626"/>
      <c r="K2240" s="626"/>
      <c r="L2240" s="626"/>
      <c r="M2240" s="626"/>
      <c r="N2240" s="626"/>
      <c r="O2240" s="457"/>
      <c r="P2240" s="767">
        <f>MAX($P$5:P2239)+1</f>
        <v>380</v>
      </c>
      <c r="Q2240" s="621" t="s">
        <v>3243</v>
      </c>
    </row>
    <row r="2241" spans="2:17" s="621" customFormat="1" ht="15.2" customHeight="1">
      <c r="B2241" s="768" t="s">
        <v>3894</v>
      </c>
      <c r="C2241" s="769"/>
      <c r="D2241" s="622" t="s">
        <v>3909</v>
      </c>
      <c r="E2241" s="624">
        <v>0.1</v>
      </c>
      <c r="F2241" s="623" t="s">
        <v>3904</v>
      </c>
      <c r="G2241" s="626">
        <f>사급자재!$M$166+사급자재!$M$172</f>
        <v>2100000</v>
      </c>
      <c r="H2241" s="626">
        <f>TRUNC(E2241*G2241,0)</f>
        <v>210000</v>
      </c>
      <c r="I2241" s="626"/>
      <c r="J2241" s="626">
        <f>TRUNC(I2241*E2241,0)</f>
        <v>0</v>
      </c>
      <c r="K2241" s="626"/>
      <c r="L2241" s="626">
        <f>TRUNC(K2241*E2241,0)</f>
        <v>0</v>
      </c>
      <c r="M2241" s="626">
        <f t="shared" ref="M2241:M2243" si="620">G2241+I2241+K2241</f>
        <v>2100000</v>
      </c>
      <c r="N2241" s="626">
        <f t="shared" ref="N2241:N2243" si="621">H2241+J2241+L2241</f>
        <v>210000</v>
      </c>
      <c r="O2241" s="625"/>
      <c r="P2241" s="767"/>
    </row>
    <row r="2242" spans="2:17" s="621" customFormat="1" ht="15.2" customHeight="1">
      <c r="B2242" s="768" t="s">
        <v>3895</v>
      </c>
      <c r="C2242" s="769"/>
      <c r="D2242" s="622" t="s">
        <v>2460</v>
      </c>
      <c r="E2242" s="624">
        <v>1.61</v>
      </c>
      <c r="F2242" s="623" t="s">
        <v>3907</v>
      </c>
      <c r="G2242" s="626">
        <f>중기사용료!$M$1366</f>
        <v>8018</v>
      </c>
      <c r="H2242" s="626">
        <f>TRUNC(E2242*G2242,0)</f>
        <v>12908</v>
      </c>
      <c r="I2242" s="626">
        <f>중기사용료!$M$1360</f>
        <v>27168</v>
      </c>
      <c r="J2242" s="626">
        <f t="shared" ref="J2242:J2247" si="622">TRUNC(I2242*E2242,0)</f>
        <v>43740</v>
      </c>
      <c r="K2242" s="626">
        <f>중기사용료!$M$1354</f>
        <v>2066</v>
      </c>
      <c r="L2242" s="626">
        <f t="shared" ref="L2242:L2247" si="623">TRUNC(K2242*E2242,0)</f>
        <v>3326</v>
      </c>
      <c r="M2242" s="626">
        <f t="shared" si="620"/>
        <v>37252</v>
      </c>
      <c r="N2242" s="626">
        <f t="shared" si="621"/>
        <v>59974</v>
      </c>
      <c r="O2242" s="625"/>
      <c r="P2242" s="767"/>
    </row>
    <row r="2243" spans="2:17" s="621" customFormat="1" ht="15.2" customHeight="1">
      <c r="B2243" s="768" t="s">
        <v>3896</v>
      </c>
      <c r="C2243" s="769"/>
      <c r="D2243" s="622" t="s">
        <v>3902</v>
      </c>
      <c r="E2243" s="624">
        <v>1.61</v>
      </c>
      <c r="F2243" s="623" t="s">
        <v>3907</v>
      </c>
      <c r="G2243" s="626">
        <f>중기사용료!$M$1594</f>
        <v>13479</v>
      </c>
      <c r="H2243" s="626">
        <f>TRUNC(E2243*G2243,0)</f>
        <v>21701</v>
      </c>
      <c r="I2243" s="626">
        <f>중기사용료!$M$1588</f>
        <v>24483</v>
      </c>
      <c r="J2243" s="626">
        <f t="shared" si="622"/>
        <v>39417</v>
      </c>
      <c r="K2243" s="626">
        <f>중기사용료!$M$1582</f>
        <v>7823</v>
      </c>
      <c r="L2243" s="626">
        <f t="shared" si="623"/>
        <v>12595</v>
      </c>
      <c r="M2243" s="626">
        <f t="shared" si="620"/>
        <v>45785</v>
      </c>
      <c r="N2243" s="626">
        <f t="shared" si="621"/>
        <v>73713</v>
      </c>
      <c r="O2243" s="625"/>
      <c r="P2243" s="767"/>
    </row>
    <row r="2244" spans="2:17" s="621" customFormat="1" ht="15.2" customHeight="1">
      <c r="B2244" s="768" t="s">
        <v>3897</v>
      </c>
      <c r="C2244" s="769"/>
      <c r="D2244" s="622"/>
      <c r="E2244" s="88">
        <v>1.1819999999999999</v>
      </c>
      <c r="F2244" s="623" t="s">
        <v>3906</v>
      </c>
      <c r="G2244" s="626"/>
      <c r="H2244" s="626">
        <f>TRUNC(E2244*G2244,0)</f>
        <v>0</v>
      </c>
      <c r="I2244" s="626">
        <f>'노임(2015)'!$C$6</f>
        <v>111771</v>
      </c>
      <c r="J2244" s="626">
        <f t="shared" si="622"/>
        <v>132113</v>
      </c>
      <c r="K2244" s="626"/>
      <c r="L2244" s="626">
        <f t="shared" si="623"/>
        <v>0</v>
      </c>
      <c r="M2244" s="626">
        <f>G2244+I2244+K2244</f>
        <v>111771</v>
      </c>
      <c r="N2244" s="626">
        <f>H2244+J2244+L2244</f>
        <v>132113</v>
      </c>
      <c r="O2244" s="625"/>
      <c r="P2244" s="767"/>
    </row>
    <row r="2245" spans="2:17" s="621" customFormat="1" ht="15.2" customHeight="1">
      <c r="B2245" s="768" t="s">
        <v>3898</v>
      </c>
      <c r="C2245" s="769"/>
      <c r="D2245" s="622"/>
      <c r="E2245" s="88">
        <v>0.40300000000000002</v>
      </c>
      <c r="F2245" s="623" t="s">
        <v>3906</v>
      </c>
      <c r="G2245" s="626"/>
      <c r="H2245" s="626">
        <f>TRUNC(E2245*G2245,0)</f>
        <v>0</v>
      </c>
      <c r="I2245" s="626">
        <f>'노임(2015)'!$C$5</f>
        <v>89566</v>
      </c>
      <c r="J2245" s="626">
        <f t="shared" si="622"/>
        <v>36095</v>
      </c>
      <c r="K2245" s="626"/>
      <c r="L2245" s="626">
        <f t="shared" si="623"/>
        <v>0</v>
      </c>
      <c r="M2245" s="626">
        <f>G2245+I2245+K2245</f>
        <v>89566</v>
      </c>
      <c r="N2245" s="626">
        <f>H2245+J2245+L2245</f>
        <v>36095</v>
      </c>
      <c r="O2245" s="625"/>
      <c r="P2245" s="767"/>
    </row>
    <row r="2246" spans="2:17" s="621" customFormat="1" ht="15.2" customHeight="1">
      <c r="B2246" s="627" t="s">
        <v>3899</v>
      </c>
      <c r="C2246" s="628"/>
      <c r="D2246" s="622"/>
      <c r="E2246" s="629">
        <v>25100</v>
      </c>
      <c r="F2246" s="623" t="s">
        <v>456</v>
      </c>
      <c r="G2246" s="471">
        <f>사급자재!$M$86/1000</f>
        <v>0.36</v>
      </c>
      <c r="H2246" s="626">
        <f t="shared" ref="H2246:H2247" si="624">TRUNC(E2246*G2246,0)</f>
        <v>9036</v>
      </c>
      <c r="I2246" s="626"/>
      <c r="J2246" s="626">
        <f t="shared" si="622"/>
        <v>0</v>
      </c>
      <c r="K2246" s="626"/>
      <c r="L2246" s="626">
        <f t="shared" si="623"/>
        <v>0</v>
      </c>
      <c r="M2246" s="626">
        <f t="shared" ref="M2246:M2247" si="625">G2246+I2246+K2246</f>
        <v>0.36</v>
      </c>
      <c r="N2246" s="626">
        <f t="shared" ref="N2246:N2247" si="626">H2246+J2246+L2246</f>
        <v>9036</v>
      </c>
      <c r="O2246" s="625"/>
      <c r="P2246" s="767"/>
    </row>
    <row r="2247" spans="2:17" s="621" customFormat="1" ht="15.2" customHeight="1">
      <c r="B2247" s="627" t="s">
        <v>3900</v>
      </c>
      <c r="C2247" s="628"/>
      <c r="D2247" s="622" t="s">
        <v>3901</v>
      </c>
      <c r="E2247" s="624">
        <v>0.05</v>
      </c>
      <c r="F2247" s="623" t="s">
        <v>3905</v>
      </c>
      <c r="G2247" s="626">
        <f>SUM(J2244:J2245)</f>
        <v>168208</v>
      </c>
      <c r="H2247" s="626">
        <f t="shared" si="624"/>
        <v>8410</v>
      </c>
      <c r="I2247" s="626"/>
      <c r="J2247" s="626">
        <f t="shared" si="622"/>
        <v>0</v>
      </c>
      <c r="K2247" s="626"/>
      <c r="L2247" s="626">
        <f t="shared" si="623"/>
        <v>0</v>
      </c>
      <c r="M2247" s="626">
        <f t="shared" si="625"/>
        <v>168208</v>
      </c>
      <c r="N2247" s="626">
        <f t="shared" si="626"/>
        <v>8410</v>
      </c>
      <c r="O2247" s="625"/>
      <c r="P2247" s="767"/>
    </row>
    <row r="2248" spans="2:17" s="621" customFormat="1" ht="15.2" customHeight="1">
      <c r="B2248" s="756" t="s">
        <v>855</v>
      </c>
      <c r="C2248" s="772"/>
      <c r="D2248" s="622"/>
      <c r="E2248" s="624"/>
      <c r="F2248" s="623"/>
      <c r="G2248" s="626"/>
      <c r="H2248" s="626">
        <f>SUM(H2241:H2245)</f>
        <v>244609</v>
      </c>
      <c r="I2248" s="626"/>
      <c r="J2248" s="626">
        <f>SUM(J2241:J2245)</f>
        <v>251365</v>
      </c>
      <c r="K2248" s="626"/>
      <c r="L2248" s="626">
        <f>SUM(L2241:L2245)</f>
        <v>15921</v>
      </c>
      <c r="M2248" s="626"/>
      <c r="N2248" s="626">
        <f>SUM(N2241:N2245)</f>
        <v>511895</v>
      </c>
      <c r="O2248" s="625"/>
      <c r="P2248" s="767"/>
      <c r="Q2248" s="621" t="s">
        <v>1164</v>
      </c>
    </row>
    <row r="2249" spans="2:17" ht="15.2" customHeight="1">
      <c r="B2249" s="96">
        <f>P2249</f>
        <v>381</v>
      </c>
      <c r="C2249" s="770" t="s">
        <v>3335</v>
      </c>
      <c r="D2249" s="770"/>
      <c r="E2249" s="770"/>
      <c r="F2249" s="771"/>
      <c r="G2249" s="470"/>
      <c r="H2249" s="470"/>
      <c r="I2249" s="470"/>
      <c r="J2249" s="470"/>
      <c r="K2249" s="470"/>
      <c r="L2249" s="470"/>
      <c r="M2249" s="470"/>
      <c r="N2249" s="470"/>
      <c r="O2249" s="457"/>
      <c r="P2249" s="767">
        <f>MAX($P$5:P2248)+1</f>
        <v>381</v>
      </c>
      <c r="Q2249" s="80" t="s">
        <v>3243</v>
      </c>
    </row>
    <row r="2250" spans="2:17" ht="15.2" customHeight="1">
      <c r="B2250" s="768" t="s">
        <v>3677</v>
      </c>
      <c r="C2250" s="769"/>
      <c r="D2250" s="84"/>
      <c r="E2250" s="87">
        <v>1.2</v>
      </c>
      <c r="F2250" s="516" t="s">
        <v>3332</v>
      </c>
      <c r="G2250" s="470">
        <f>사급자재!$M$90</f>
        <v>18700</v>
      </c>
      <c r="H2250" s="470">
        <f>TRUNC(E2250*G2250,0)</f>
        <v>22440</v>
      </c>
      <c r="I2250" s="470"/>
      <c r="J2250" s="470">
        <f>TRUNC(I2250*E2250,0)</f>
        <v>0</v>
      </c>
      <c r="K2250" s="470"/>
      <c r="L2250" s="470">
        <f>TRUNC(K2250*E2250,0)</f>
        <v>0</v>
      </c>
      <c r="M2250" s="470">
        <f t="shared" ref="M2250:N2252" si="627">G2250+I2250+K2250</f>
        <v>18700</v>
      </c>
      <c r="N2250" s="470">
        <f t="shared" si="627"/>
        <v>22440</v>
      </c>
      <c r="O2250" s="464"/>
      <c r="P2250" s="767"/>
    </row>
    <row r="2251" spans="2:17" ht="15.2" customHeight="1">
      <c r="B2251" s="768" t="s">
        <v>3678</v>
      </c>
      <c r="C2251" s="769"/>
      <c r="D2251" s="84"/>
      <c r="E2251" s="87">
        <v>0.2</v>
      </c>
      <c r="F2251" s="517" t="s">
        <v>3333</v>
      </c>
      <c r="G2251" s="470">
        <f>사급자재!$M$91</f>
        <v>3800</v>
      </c>
      <c r="H2251" s="470">
        <f>TRUNC(E2251*G2251,0)</f>
        <v>760</v>
      </c>
      <c r="I2251" s="470"/>
      <c r="J2251" s="470">
        <f>TRUNC(I2251*E2251,0)</f>
        <v>0</v>
      </c>
      <c r="K2251" s="470"/>
      <c r="L2251" s="470">
        <f>TRUNC(K2251*E2251,0)</f>
        <v>0</v>
      </c>
      <c r="M2251" s="470">
        <f t="shared" si="627"/>
        <v>3800</v>
      </c>
      <c r="N2251" s="470">
        <f t="shared" si="627"/>
        <v>760</v>
      </c>
      <c r="O2251" s="464"/>
      <c r="P2251" s="767"/>
    </row>
    <row r="2252" spans="2:17" ht="15.2" customHeight="1">
      <c r="B2252" s="768" t="s">
        <v>3679</v>
      </c>
      <c r="C2252" s="769"/>
      <c r="D2252" s="84"/>
      <c r="E2252" s="87">
        <v>0.12</v>
      </c>
      <c r="F2252" s="517" t="s">
        <v>3334</v>
      </c>
      <c r="G2252" s="470"/>
      <c r="H2252" s="470">
        <f>TRUNC(E2252*G2252,0)</f>
        <v>0</v>
      </c>
      <c r="I2252" s="470">
        <f>SUMIF('노임(2015)'!$B$4:$B$87,B2210,'노임(2015)'!$C$4:$C$87)+SUMIF('노임(2015)'!$E$4:$E$87,B2210,'노임(2015)'!$F$4:$F$87)</f>
        <v>111771</v>
      </c>
      <c r="J2252" s="470">
        <f>TRUNC(I2252*E2252,0)</f>
        <v>13412</v>
      </c>
      <c r="K2252" s="470"/>
      <c r="L2252" s="470">
        <f>TRUNC(K2252*E2252,0)</f>
        <v>0</v>
      </c>
      <c r="M2252" s="470">
        <f t="shared" si="627"/>
        <v>111771</v>
      </c>
      <c r="N2252" s="470">
        <f t="shared" si="627"/>
        <v>13412</v>
      </c>
      <c r="O2252" s="464"/>
      <c r="P2252" s="767"/>
    </row>
    <row r="2253" spans="2:17" ht="15.2" customHeight="1">
      <c r="B2253" s="768" t="s">
        <v>3680</v>
      </c>
      <c r="C2253" s="769"/>
      <c r="D2253" s="84"/>
      <c r="E2253" s="87"/>
      <c r="F2253" s="86"/>
      <c r="G2253" s="470"/>
      <c r="H2253" s="470">
        <f>SUM(H2250:H2252)</f>
        <v>23200</v>
      </c>
      <c r="I2253" s="470"/>
      <c r="J2253" s="470">
        <f>SUM(J2250:J2252)</f>
        <v>13412</v>
      </c>
      <c r="K2253" s="470"/>
      <c r="L2253" s="470">
        <f>SUM(L2250:L2252)</f>
        <v>0</v>
      </c>
      <c r="M2253" s="470"/>
      <c r="N2253" s="470">
        <f>SUM(N2250:N2252)</f>
        <v>36612</v>
      </c>
      <c r="O2253" s="464"/>
      <c r="P2253" s="767"/>
    </row>
    <row r="2254" spans="2:17" ht="15.2" customHeight="1">
      <c r="B2254" s="756"/>
      <c r="C2254" s="772"/>
      <c r="D2254" s="84"/>
      <c r="E2254" s="87"/>
      <c r="F2254" s="86"/>
      <c r="G2254" s="470"/>
      <c r="H2254" s="470"/>
      <c r="I2254" s="470"/>
      <c r="J2254" s="470"/>
      <c r="K2254" s="470"/>
      <c r="L2254" s="470"/>
      <c r="M2254" s="470"/>
      <c r="N2254" s="470"/>
      <c r="O2254" s="464"/>
    </row>
    <row r="2255" spans="2:17" ht="15.2" customHeight="1">
      <c r="B2255" s="756"/>
      <c r="C2255" s="772"/>
      <c r="D2255" s="84"/>
      <c r="E2255" s="87"/>
      <c r="F2255" s="86"/>
      <c r="G2255" s="470"/>
      <c r="H2255" s="470"/>
      <c r="I2255" s="470"/>
      <c r="J2255" s="470"/>
      <c r="K2255" s="470"/>
      <c r="L2255" s="470"/>
      <c r="M2255" s="470"/>
      <c r="N2255" s="470"/>
      <c r="O2255" s="464"/>
    </row>
    <row r="2256" spans="2:17" ht="15.2" customHeight="1">
      <c r="B2256" s="756"/>
      <c r="C2256" s="772"/>
      <c r="D2256" s="84"/>
      <c r="E2256" s="87"/>
      <c r="F2256" s="86"/>
      <c r="G2256" s="470"/>
      <c r="H2256" s="470"/>
      <c r="I2256" s="470"/>
      <c r="J2256" s="470"/>
      <c r="K2256" s="470"/>
      <c r="L2256" s="470"/>
      <c r="M2256" s="470"/>
      <c r="N2256" s="470"/>
      <c r="O2256" s="464"/>
    </row>
    <row r="2257" spans="2:15" ht="15.2" customHeight="1">
      <c r="B2257" s="756"/>
      <c r="C2257" s="772"/>
      <c r="D2257" s="84"/>
      <c r="E2257" s="87"/>
      <c r="F2257" s="86"/>
      <c r="G2257" s="470"/>
      <c r="H2257" s="470"/>
      <c r="I2257" s="470"/>
      <c r="J2257" s="470"/>
      <c r="K2257" s="470"/>
      <c r="L2257" s="470"/>
      <c r="M2257" s="470"/>
      <c r="N2257" s="470"/>
      <c r="O2257" s="464"/>
    </row>
    <row r="2258" spans="2:15" ht="15.2" customHeight="1">
      <c r="B2258" s="756"/>
      <c r="C2258" s="772"/>
      <c r="D2258" s="84"/>
      <c r="E2258" s="87"/>
      <c r="F2258" s="86"/>
      <c r="G2258" s="470"/>
      <c r="H2258" s="470"/>
      <c r="I2258" s="470"/>
      <c r="J2258" s="470"/>
      <c r="K2258" s="470"/>
      <c r="L2258" s="470"/>
      <c r="M2258" s="470"/>
      <c r="N2258" s="470"/>
      <c r="O2258" s="464"/>
    </row>
    <row r="2259" spans="2:15" ht="15.2" customHeight="1">
      <c r="B2259" s="756"/>
      <c r="C2259" s="772"/>
      <c r="D2259" s="84"/>
      <c r="E2259" s="87"/>
      <c r="F2259" s="86"/>
      <c r="G2259" s="470"/>
      <c r="H2259" s="470"/>
      <c r="I2259" s="470"/>
      <c r="J2259" s="470"/>
      <c r="K2259" s="470"/>
      <c r="L2259" s="470"/>
      <c r="M2259" s="470"/>
      <c r="N2259" s="470"/>
      <c r="O2259" s="464"/>
    </row>
    <row r="2260" spans="2:15" ht="15.2" customHeight="1">
      <c r="B2260" s="756"/>
      <c r="C2260" s="772"/>
      <c r="D2260" s="84"/>
      <c r="E2260" s="87"/>
      <c r="F2260" s="86"/>
      <c r="G2260" s="470"/>
      <c r="H2260" s="470"/>
      <c r="I2260" s="470"/>
      <c r="J2260" s="470"/>
      <c r="K2260" s="470"/>
      <c r="L2260" s="470"/>
      <c r="M2260" s="470"/>
      <c r="N2260" s="470"/>
      <c r="O2260" s="464"/>
    </row>
    <row r="2261" spans="2:15" ht="15.2" customHeight="1">
      <c r="B2261" s="756"/>
      <c r="C2261" s="772"/>
      <c r="D2261" s="84"/>
      <c r="E2261" s="87"/>
      <c r="F2261" s="86"/>
      <c r="G2261" s="470"/>
      <c r="H2261" s="470"/>
      <c r="I2261" s="470"/>
      <c r="J2261" s="470"/>
      <c r="K2261" s="470"/>
      <c r="L2261" s="470"/>
      <c r="M2261" s="470"/>
      <c r="N2261" s="470"/>
      <c r="O2261" s="464"/>
    </row>
    <row r="2262" spans="2:15" ht="15.2" customHeight="1">
      <c r="B2262" s="756"/>
      <c r="C2262" s="772"/>
      <c r="D2262" s="84"/>
      <c r="E2262" s="87"/>
      <c r="F2262" s="86"/>
      <c r="G2262" s="470"/>
      <c r="H2262" s="470"/>
      <c r="I2262" s="470"/>
      <c r="J2262" s="470"/>
      <c r="K2262" s="470"/>
      <c r="L2262" s="470"/>
      <c r="M2262" s="470"/>
      <c r="N2262" s="470"/>
      <c r="O2262" s="464"/>
    </row>
    <row r="2263" spans="2:15" ht="15.2" customHeight="1">
      <c r="B2263" s="756"/>
      <c r="C2263" s="772"/>
      <c r="D2263" s="84"/>
      <c r="E2263" s="87"/>
      <c r="F2263" s="86"/>
      <c r="G2263" s="470"/>
      <c r="H2263" s="470"/>
      <c r="I2263" s="470"/>
      <c r="J2263" s="470"/>
      <c r="K2263" s="470"/>
      <c r="L2263" s="470"/>
      <c r="M2263" s="470"/>
      <c r="N2263" s="470"/>
      <c r="O2263" s="464"/>
    </row>
    <row r="2264" spans="2:15" ht="15.2" customHeight="1">
      <c r="B2264" s="756"/>
      <c r="C2264" s="772"/>
      <c r="D2264" s="84"/>
      <c r="E2264" s="87"/>
      <c r="F2264" s="86"/>
      <c r="G2264" s="470"/>
      <c r="H2264" s="470"/>
      <c r="I2264" s="470"/>
      <c r="J2264" s="470"/>
      <c r="K2264" s="470"/>
      <c r="L2264" s="470"/>
      <c r="M2264" s="470"/>
      <c r="N2264" s="470"/>
      <c r="O2264" s="464"/>
    </row>
    <row r="2265" spans="2:15" ht="15.2" customHeight="1">
      <c r="B2265" s="756"/>
      <c r="C2265" s="772"/>
      <c r="D2265" s="84"/>
      <c r="E2265" s="87"/>
      <c r="F2265" s="86"/>
      <c r="G2265" s="470"/>
      <c r="H2265" s="470"/>
      <c r="I2265" s="470"/>
      <c r="J2265" s="470"/>
      <c r="K2265" s="470"/>
      <c r="L2265" s="470"/>
      <c r="M2265" s="470"/>
      <c r="N2265" s="470"/>
      <c r="O2265" s="464"/>
    </row>
    <row r="2266" spans="2:15" ht="15.2" customHeight="1">
      <c r="B2266" s="756"/>
      <c r="C2266" s="772"/>
      <c r="D2266" s="84"/>
      <c r="E2266" s="87"/>
      <c r="F2266" s="86"/>
      <c r="G2266" s="470"/>
      <c r="H2266" s="470"/>
      <c r="I2266" s="470"/>
      <c r="J2266" s="470"/>
      <c r="K2266" s="470"/>
      <c r="L2266" s="470"/>
      <c r="M2266" s="470"/>
      <c r="N2266" s="470"/>
      <c r="O2266" s="464"/>
    </row>
    <row r="2267" spans="2:15" ht="15.2" customHeight="1">
      <c r="B2267" s="756"/>
      <c r="C2267" s="772"/>
      <c r="D2267" s="84"/>
      <c r="E2267" s="87"/>
      <c r="F2267" s="86"/>
      <c r="G2267" s="470"/>
      <c r="H2267" s="470"/>
      <c r="I2267" s="470"/>
      <c r="J2267" s="470"/>
      <c r="K2267" s="470"/>
      <c r="L2267" s="470"/>
      <c r="M2267" s="470"/>
      <c r="N2267" s="470"/>
      <c r="O2267" s="464"/>
    </row>
    <row r="2268" spans="2:15" ht="15.2" customHeight="1">
      <c r="B2268" s="756"/>
      <c r="C2268" s="772"/>
      <c r="D2268" s="84"/>
      <c r="E2268" s="87"/>
      <c r="F2268" s="86"/>
      <c r="G2268" s="470"/>
      <c r="H2268" s="470"/>
      <c r="I2268" s="470"/>
      <c r="J2268" s="470"/>
      <c r="K2268" s="470"/>
      <c r="L2268" s="470"/>
      <c r="M2268" s="470"/>
      <c r="N2268" s="470"/>
      <c r="O2268" s="464"/>
    </row>
    <row r="2269" spans="2:15" ht="15.2" customHeight="1">
      <c r="B2269" s="756"/>
      <c r="C2269" s="772"/>
      <c r="D2269" s="84"/>
      <c r="E2269" s="87"/>
      <c r="F2269" s="86"/>
      <c r="G2269" s="470"/>
      <c r="H2269" s="470"/>
      <c r="I2269" s="470"/>
      <c r="J2269" s="470"/>
      <c r="K2269" s="470"/>
      <c r="L2269" s="470"/>
      <c r="M2269" s="470"/>
      <c r="N2269" s="470"/>
      <c r="O2269" s="464"/>
    </row>
    <row r="2270" spans="2:15" ht="15.2" customHeight="1">
      <c r="B2270" s="756"/>
      <c r="C2270" s="772"/>
      <c r="D2270" s="84"/>
      <c r="E2270" s="87"/>
      <c r="F2270" s="86"/>
      <c r="G2270" s="470"/>
      <c r="H2270" s="470"/>
      <c r="I2270" s="470"/>
      <c r="J2270" s="470"/>
      <c r="K2270" s="470"/>
      <c r="L2270" s="470"/>
      <c r="M2270" s="470"/>
      <c r="N2270" s="470"/>
      <c r="O2270" s="464"/>
    </row>
    <row r="2271" spans="2:15" ht="15.2" customHeight="1">
      <c r="B2271" s="756"/>
      <c r="C2271" s="772"/>
      <c r="D2271" s="84"/>
      <c r="E2271" s="87"/>
      <c r="F2271" s="86"/>
      <c r="G2271" s="470"/>
      <c r="H2271" s="470"/>
      <c r="I2271" s="470"/>
      <c r="J2271" s="470"/>
      <c r="K2271" s="470"/>
      <c r="L2271" s="470"/>
      <c r="M2271" s="470"/>
      <c r="N2271" s="470"/>
      <c r="O2271" s="464"/>
    </row>
    <row r="2272" spans="2:15" ht="15.2" customHeight="1">
      <c r="B2272" s="756"/>
      <c r="C2272" s="772"/>
      <c r="D2272" s="84"/>
      <c r="E2272" s="87"/>
      <c r="F2272" s="86"/>
      <c r="G2272" s="470"/>
      <c r="H2272" s="470"/>
      <c r="I2272" s="470"/>
      <c r="J2272" s="470"/>
      <c r="K2272" s="470"/>
      <c r="L2272" s="470"/>
      <c r="M2272" s="470"/>
      <c r="N2272" s="470"/>
      <c r="O2272" s="464"/>
    </row>
    <row r="2273" spans="2:15" ht="15.2" customHeight="1">
      <c r="B2273" s="756"/>
      <c r="C2273" s="772"/>
      <c r="D2273" s="84"/>
      <c r="E2273" s="87"/>
      <c r="F2273" s="86"/>
      <c r="G2273" s="470"/>
      <c r="H2273" s="470"/>
      <c r="I2273" s="470"/>
      <c r="J2273" s="470"/>
      <c r="K2273" s="470"/>
      <c r="L2273" s="470"/>
      <c r="M2273" s="470"/>
      <c r="N2273" s="470"/>
      <c r="O2273" s="464"/>
    </row>
    <row r="2274" spans="2:15" ht="15.2" customHeight="1">
      <c r="B2274" s="756"/>
      <c r="C2274" s="772"/>
      <c r="D2274" s="84"/>
      <c r="E2274" s="87"/>
      <c r="F2274" s="86"/>
      <c r="G2274" s="470"/>
      <c r="H2274" s="470"/>
      <c r="I2274" s="470"/>
      <c r="J2274" s="470"/>
      <c r="K2274" s="470"/>
      <c r="L2274" s="470"/>
      <c r="M2274" s="470"/>
      <c r="N2274" s="470"/>
      <c r="O2274" s="464"/>
    </row>
    <row r="2275" spans="2:15" ht="15.2" customHeight="1">
      <c r="B2275" s="756"/>
      <c r="C2275" s="772"/>
      <c r="D2275" s="84"/>
      <c r="E2275" s="87"/>
      <c r="F2275" s="86"/>
      <c r="G2275" s="470"/>
      <c r="H2275" s="470"/>
      <c r="I2275" s="470"/>
      <c r="J2275" s="470"/>
      <c r="K2275" s="470"/>
      <c r="L2275" s="470"/>
      <c r="M2275" s="470"/>
      <c r="N2275" s="470"/>
      <c r="O2275" s="464"/>
    </row>
    <row r="2276" spans="2:15" ht="15.2" customHeight="1">
      <c r="B2276" s="756"/>
      <c r="C2276" s="772"/>
      <c r="D2276" s="84"/>
      <c r="E2276" s="87"/>
      <c r="F2276" s="86"/>
      <c r="G2276" s="470"/>
      <c r="H2276" s="470"/>
      <c r="I2276" s="470"/>
      <c r="J2276" s="470"/>
      <c r="K2276" s="470"/>
      <c r="L2276" s="470"/>
      <c r="M2276" s="470"/>
      <c r="N2276" s="470"/>
      <c r="O2276" s="464"/>
    </row>
  </sheetData>
  <mergeCells count="2656">
    <mergeCell ref="B364:C364"/>
    <mergeCell ref="B2123:C2123"/>
    <mergeCell ref="C365:F365"/>
    <mergeCell ref="P365:P370"/>
    <mergeCell ref="B366:C366"/>
    <mergeCell ref="B367:C367"/>
    <mergeCell ref="B368:C368"/>
    <mergeCell ref="B369:C369"/>
    <mergeCell ref="B370:C370"/>
    <mergeCell ref="C585:F585"/>
    <mergeCell ref="P585:P587"/>
    <mergeCell ref="C1070:F1070"/>
    <mergeCell ref="P1070:P1083"/>
    <mergeCell ref="B1071:C1071"/>
    <mergeCell ref="B1072:C1072"/>
    <mergeCell ref="B1073:C1073"/>
    <mergeCell ref="B1074:C1074"/>
    <mergeCell ref="B1075:C1075"/>
    <mergeCell ref="B1076:C1076"/>
    <mergeCell ref="B1077:C1077"/>
    <mergeCell ref="B1078:C1078"/>
    <mergeCell ref="B1079:C1079"/>
    <mergeCell ref="B1080:C1080"/>
    <mergeCell ref="B1081:C1081"/>
    <mergeCell ref="B1082:C1082"/>
    <mergeCell ref="B1083:C1083"/>
    <mergeCell ref="C1084:F1084"/>
    <mergeCell ref="P1084:P1097"/>
    <mergeCell ref="B1085:C1085"/>
    <mergeCell ref="B1086:C1086"/>
    <mergeCell ref="B1087:C1087"/>
    <mergeCell ref="B1088:C1088"/>
    <mergeCell ref="B2272:C2272"/>
    <mergeCell ref="B2273:C2273"/>
    <mergeCell ref="B2274:C2274"/>
    <mergeCell ref="B2275:C2275"/>
    <mergeCell ref="B2276:C2276"/>
    <mergeCell ref="P2249:P2253"/>
    <mergeCell ref="B2267:C2267"/>
    <mergeCell ref="B2268:C2268"/>
    <mergeCell ref="B2269:C2269"/>
    <mergeCell ref="B2271:C2271"/>
    <mergeCell ref="P2208:P2212"/>
    <mergeCell ref="B2209:C2209"/>
    <mergeCell ref="B2210:C2210"/>
    <mergeCell ref="B2211:C2211"/>
    <mergeCell ref="B2212:C2212"/>
    <mergeCell ref="C2208:F2208"/>
    <mergeCell ref="B2207:C2207"/>
    <mergeCell ref="C2231:F2231"/>
    <mergeCell ref="P2231:P2239"/>
    <mergeCell ref="B2232:C2232"/>
    <mergeCell ref="B2233:C2233"/>
    <mergeCell ref="B2234:C2234"/>
    <mergeCell ref="B2235:C2235"/>
    <mergeCell ref="B2236:C2236"/>
    <mergeCell ref="B2239:C2239"/>
    <mergeCell ref="C2240:F2240"/>
    <mergeCell ref="P2240:P2248"/>
    <mergeCell ref="B2241:C2241"/>
    <mergeCell ref="B2242:C2242"/>
    <mergeCell ref="B2243:C2243"/>
    <mergeCell ref="B2244:C2244"/>
    <mergeCell ref="B2245:C2245"/>
    <mergeCell ref="P1545:P1550"/>
    <mergeCell ref="B1546:C1546"/>
    <mergeCell ref="P1019:P1030"/>
    <mergeCell ref="B1020:C1020"/>
    <mergeCell ref="B1021:C1021"/>
    <mergeCell ref="B1022:C1022"/>
    <mergeCell ref="B1024:C1024"/>
    <mergeCell ref="B1025:C1025"/>
    <mergeCell ref="B586:C586"/>
    <mergeCell ref="B587:C587"/>
    <mergeCell ref="P621:P624"/>
    <mergeCell ref="B622:C622"/>
    <mergeCell ref="B623:C623"/>
    <mergeCell ref="B624:C624"/>
    <mergeCell ref="C625:F625"/>
    <mergeCell ref="P625:P628"/>
    <mergeCell ref="B626:C626"/>
    <mergeCell ref="B627:C627"/>
    <mergeCell ref="B628:C628"/>
    <mergeCell ref="B1027:C1027"/>
    <mergeCell ref="B1029:C1029"/>
    <mergeCell ref="B1030:C1030"/>
    <mergeCell ref="B1012:C1012"/>
    <mergeCell ref="B1013:C1013"/>
    <mergeCell ref="B1014:C1014"/>
    <mergeCell ref="C588:F588"/>
    <mergeCell ref="C591:F591"/>
    <mergeCell ref="B592:C592"/>
    <mergeCell ref="B954:C954"/>
    <mergeCell ref="B955:C955"/>
    <mergeCell ref="B950:C950"/>
    <mergeCell ref="B951:C951"/>
    <mergeCell ref="C2186:F2186"/>
    <mergeCell ref="C2181:F2181"/>
    <mergeCell ref="C2200:F2200"/>
    <mergeCell ref="P2200:P2202"/>
    <mergeCell ref="B2201:C2201"/>
    <mergeCell ref="B2202:C2202"/>
    <mergeCell ref="P1569:P1574"/>
    <mergeCell ref="B1570:C1570"/>
    <mergeCell ref="B1571:C1571"/>
    <mergeCell ref="B1089:C1089"/>
    <mergeCell ref="B1090:C1090"/>
    <mergeCell ref="B1091:C1091"/>
    <mergeCell ref="B1092:C1092"/>
    <mergeCell ref="B1093:C1093"/>
    <mergeCell ref="B1094:C1094"/>
    <mergeCell ref="B1095:C1095"/>
    <mergeCell ref="B1096:C1096"/>
    <mergeCell ref="B1097:C1097"/>
    <mergeCell ref="B1354:C1354"/>
    <mergeCell ref="C1355:F1355"/>
    <mergeCell ref="P1355:P1357"/>
    <mergeCell ref="B1356:C1356"/>
    <mergeCell ref="B1357:C1357"/>
    <mergeCell ref="B2140:C2140"/>
    <mergeCell ref="B2141:C2141"/>
    <mergeCell ref="B2142:C2142"/>
    <mergeCell ref="B2143:C2143"/>
    <mergeCell ref="B2144:C2144"/>
    <mergeCell ref="C2151:F2151"/>
    <mergeCell ref="P2151:P2156"/>
    <mergeCell ref="B2152:C2152"/>
    <mergeCell ref="B2153:C2153"/>
    <mergeCell ref="B952:C952"/>
    <mergeCell ref="B980:C980"/>
    <mergeCell ref="C935:F935"/>
    <mergeCell ref="B909:C909"/>
    <mergeCell ref="B880:C880"/>
    <mergeCell ref="C881:F881"/>
    <mergeCell ref="C871:F871"/>
    <mergeCell ref="C582:F582"/>
    <mergeCell ref="P582:P584"/>
    <mergeCell ref="B583:C583"/>
    <mergeCell ref="B584:C584"/>
    <mergeCell ref="P588:P590"/>
    <mergeCell ref="B589:C589"/>
    <mergeCell ref="B590:C590"/>
    <mergeCell ref="C621:F621"/>
    <mergeCell ref="B593:C593"/>
    <mergeCell ref="C757:F757"/>
    <mergeCell ref="P757:P761"/>
    <mergeCell ref="B758:C758"/>
    <mergeCell ref="B759:C759"/>
    <mergeCell ref="B760:C760"/>
    <mergeCell ref="B761:C761"/>
    <mergeCell ref="B771:C771"/>
    <mergeCell ref="P935:P946"/>
    <mergeCell ref="P971:P982"/>
    <mergeCell ref="B976:C976"/>
    <mergeCell ref="B977:C977"/>
    <mergeCell ref="B978:C978"/>
    <mergeCell ref="B979:C979"/>
    <mergeCell ref="B982:C982"/>
    <mergeCell ref="B969:C969"/>
    <mergeCell ref="B981:C981"/>
    <mergeCell ref="B1016:C1016"/>
    <mergeCell ref="B596:C596"/>
    <mergeCell ref="B958:C958"/>
    <mergeCell ref="B948:C948"/>
    <mergeCell ref="B949:C949"/>
    <mergeCell ref="B1015:C1015"/>
    <mergeCell ref="B996:C996"/>
    <mergeCell ref="C983:F983"/>
    <mergeCell ref="B993:C993"/>
    <mergeCell ref="B992:C992"/>
    <mergeCell ref="B994:C994"/>
    <mergeCell ref="B1017:C1017"/>
    <mergeCell ref="B1018:C1018"/>
    <mergeCell ref="C1019:F1019"/>
    <mergeCell ref="C1008:F1008"/>
    <mergeCell ref="B1001:C1001"/>
    <mergeCell ref="B999:C999"/>
    <mergeCell ref="B1000:C1000"/>
    <mergeCell ref="B1002:C1002"/>
    <mergeCell ref="B1003:C1003"/>
    <mergeCell ref="B936:C936"/>
    <mergeCell ref="B937:C937"/>
    <mergeCell ref="B938:C938"/>
    <mergeCell ref="B939:C939"/>
    <mergeCell ref="B967:C967"/>
    <mergeCell ref="B968:C968"/>
    <mergeCell ref="B970:C970"/>
    <mergeCell ref="B960:C960"/>
    <mergeCell ref="B972:C972"/>
    <mergeCell ref="B973:C973"/>
    <mergeCell ref="B974:C974"/>
    <mergeCell ref="B975:C975"/>
    <mergeCell ref="B1026:C1026"/>
    <mergeCell ref="B1023:C1023"/>
    <mergeCell ref="B1028:C1028"/>
    <mergeCell ref="C594:F594"/>
    <mergeCell ref="P594:P596"/>
    <mergeCell ref="B595:C595"/>
    <mergeCell ref="P997:P1007"/>
    <mergeCell ref="B1006:C1006"/>
    <mergeCell ref="B1007:C1007"/>
    <mergeCell ref="C997:F997"/>
    <mergeCell ref="B998:C998"/>
    <mergeCell ref="B1004:C1004"/>
    <mergeCell ref="B1005:C1005"/>
    <mergeCell ref="P983:P996"/>
    <mergeCell ref="B984:C984"/>
    <mergeCell ref="P1008:P1018"/>
    <mergeCell ref="B1009:C1009"/>
    <mergeCell ref="B1010:C1010"/>
    <mergeCell ref="B1011:C1011"/>
    <mergeCell ref="B985:C985"/>
    <mergeCell ref="B986:C986"/>
    <mergeCell ref="B987:C987"/>
    <mergeCell ref="B988:C988"/>
    <mergeCell ref="B989:C989"/>
    <mergeCell ref="B991:C991"/>
    <mergeCell ref="B990:C990"/>
    <mergeCell ref="B995:C995"/>
    <mergeCell ref="P959:P970"/>
    <mergeCell ref="B963:C963"/>
    <mergeCell ref="B964:C964"/>
    <mergeCell ref="B965:C965"/>
    <mergeCell ref="B966:C966"/>
    <mergeCell ref="C971:F971"/>
    <mergeCell ref="B962:C962"/>
    <mergeCell ref="C959:F959"/>
    <mergeCell ref="B961:C961"/>
    <mergeCell ref="B940:C940"/>
    <mergeCell ref="B941:C941"/>
    <mergeCell ref="B942:C942"/>
    <mergeCell ref="B943:C943"/>
    <mergeCell ref="B957:C957"/>
    <mergeCell ref="B944:C944"/>
    <mergeCell ref="B946:C946"/>
    <mergeCell ref="C947:F947"/>
    <mergeCell ref="B945:C945"/>
    <mergeCell ref="B956:C956"/>
    <mergeCell ref="B953:C953"/>
    <mergeCell ref="P947:P958"/>
    <mergeCell ref="P913:P917"/>
    <mergeCell ref="B914:C914"/>
    <mergeCell ref="B915:C915"/>
    <mergeCell ref="B916:C916"/>
    <mergeCell ref="B917:C917"/>
    <mergeCell ref="C913:F913"/>
    <mergeCell ref="B934:C934"/>
    <mergeCell ref="P918:P922"/>
    <mergeCell ref="B919:C919"/>
    <mergeCell ref="B920:C920"/>
    <mergeCell ref="B921:C921"/>
    <mergeCell ref="B922:C922"/>
    <mergeCell ref="C918:F918"/>
    <mergeCell ref="C923:F923"/>
    <mergeCell ref="B933:C933"/>
    <mergeCell ref="P923:P934"/>
    <mergeCell ref="B924:C924"/>
    <mergeCell ref="B925:C925"/>
    <mergeCell ref="B927:C927"/>
    <mergeCell ref="B928:C928"/>
    <mergeCell ref="B929:C929"/>
    <mergeCell ref="B930:C930"/>
    <mergeCell ref="B931:C931"/>
    <mergeCell ref="B932:C932"/>
    <mergeCell ref="B926:C926"/>
    <mergeCell ref="P881:P890"/>
    <mergeCell ref="B882:C882"/>
    <mergeCell ref="B883:C883"/>
    <mergeCell ref="B884:C884"/>
    <mergeCell ref="B885:C885"/>
    <mergeCell ref="B886:C886"/>
    <mergeCell ref="B887:C887"/>
    <mergeCell ref="B888:C888"/>
    <mergeCell ref="B907:C907"/>
    <mergeCell ref="B889:C889"/>
    <mergeCell ref="B890:C890"/>
    <mergeCell ref="C902:F902"/>
    <mergeCell ref="B903:C903"/>
    <mergeCell ref="B904:C904"/>
    <mergeCell ref="B905:C905"/>
    <mergeCell ref="B906:C906"/>
    <mergeCell ref="C891:F891"/>
    <mergeCell ref="B892:C892"/>
    <mergeCell ref="P891:P901"/>
    <mergeCell ref="B897:C897"/>
    <mergeCell ref="B898:C898"/>
    <mergeCell ref="B899:C899"/>
    <mergeCell ref="B900:C900"/>
    <mergeCell ref="B901:C901"/>
    <mergeCell ref="P902:P912"/>
    <mergeCell ref="B893:C893"/>
    <mergeCell ref="B910:C910"/>
    <mergeCell ref="B874:C874"/>
    <mergeCell ref="B875:C875"/>
    <mergeCell ref="B876:C876"/>
    <mergeCell ref="B877:C877"/>
    <mergeCell ref="B878:C878"/>
    <mergeCell ref="B879:C879"/>
    <mergeCell ref="P835:P842"/>
    <mergeCell ref="P809:P816"/>
    <mergeCell ref="B810:C810"/>
    <mergeCell ref="B811:C811"/>
    <mergeCell ref="B812:C812"/>
    <mergeCell ref="B813:C813"/>
    <mergeCell ref="B814:C814"/>
    <mergeCell ref="B815:C815"/>
    <mergeCell ref="B816:C816"/>
    <mergeCell ref="P817:P825"/>
    <mergeCell ref="B818:C818"/>
    <mergeCell ref="B819:C819"/>
    <mergeCell ref="B820:C820"/>
    <mergeCell ref="B821:C821"/>
    <mergeCell ref="B822:C822"/>
    <mergeCell ref="B823:C823"/>
    <mergeCell ref="B824:C824"/>
    <mergeCell ref="B825:C825"/>
    <mergeCell ref="B836:C836"/>
    <mergeCell ref="B837:C837"/>
    <mergeCell ref="B841:C841"/>
    <mergeCell ref="B849:C849"/>
    <mergeCell ref="B2154:C2154"/>
    <mergeCell ref="B2155:C2155"/>
    <mergeCell ref="P871:P880"/>
    <mergeCell ref="B872:C872"/>
    <mergeCell ref="B873:C873"/>
    <mergeCell ref="B2156:C2156"/>
    <mergeCell ref="C2127:F2127"/>
    <mergeCell ref="P2127:P2129"/>
    <mergeCell ref="B2128:C2128"/>
    <mergeCell ref="B2129:C2129"/>
    <mergeCell ref="C2130:F2130"/>
    <mergeCell ref="P2130:P2132"/>
    <mergeCell ref="B2131:C2131"/>
    <mergeCell ref="B2132:C2132"/>
    <mergeCell ref="C2133:F2133"/>
    <mergeCell ref="P2133:P2138"/>
    <mergeCell ref="B2134:C2134"/>
    <mergeCell ref="B2135:C2135"/>
    <mergeCell ref="B2136:C2136"/>
    <mergeCell ref="B2137:C2137"/>
    <mergeCell ref="B911:C911"/>
    <mergeCell ref="B912:C912"/>
    <mergeCell ref="B908:C908"/>
    <mergeCell ref="B2138:C2138"/>
    <mergeCell ref="P2117:P2120"/>
    <mergeCell ref="B2118:C2118"/>
    <mergeCell ref="B2119:C2119"/>
    <mergeCell ref="B2120:C2120"/>
    <mergeCell ref="C2107:F2107"/>
    <mergeCell ref="P2107:P2112"/>
    <mergeCell ref="B2108:C2108"/>
    <mergeCell ref="B2109:C2109"/>
    <mergeCell ref="B827:C827"/>
    <mergeCell ref="B828:C828"/>
    <mergeCell ref="B829:C829"/>
    <mergeCell ref="B830:C830"/>
    <mergeCell ref="B850:C850"/>
    <mergeCell ref="P853:P862"/>
    <mergeCell ref="B854:C854"/>
    <mergeCell ref="B855:C855"/>
    <mergeCell ref="B856:C856"/>
    <mergeCell ref="B857:C857"/>
    <mergeCell ref="B858:C858"/>
    <mergeCell ref="B859:C859"/>
    <mergeCell ref="B860:C860"/>
    <mergeCell ref="B861:C861"/>
    <mergeCell ref="B862:C862"/>
    <mergeCell ref="C853:F853"/>
    <mergeCell ref="B846:C846"/>
    <mergeCell ref="B848:C848"/>
    <mergeCell ref="B838:C838"/>
    <mergeCell ref="B839:C839"/>
    <mergeCell ref="B840:C840"/>
    <mergeCell ref="B851:C851"/>
    <mergeCell ref="B852:C852"/>
    <mergeCell ref="B847:C847"/>
    <mergeCell ref="B2217:C2217"/>
    <mergeCell ref="B2204:C2204"/>
    <mergeCell ref="B2205:C2205"/>
    <mergeCell ref="B2206:C2206"/>
    <mergeCell ref="P2193:P2199"/>
    <mergeCell ref="B2195:C2195"/>
    <mergeCell ref="B2196:C2196"/>
    <mergeCell ref="B2197:C2197"/>
    <mergeCell ref="B2198:C2198"/>
    <mergeCell ref="B2194:C2194"/>
    <mergeCell ref="C2203:F2203"/>
    <mergeCell ref="B842:C842"/>
    <mergeCell ref="P843:P852"/>
    <mergeCell ref="B844:C844"/>
    <mergeCell ref="B845:C845"/>
    <mergeCell ref="C863:F863"/>
    <mergeCell ref="P863:P870"/>
    <mergeCell ref="B864:C864"/>
    <mergeCell ref="B865:C865"/>
    <mergeCell ref="B866:C866"/>
    <mergeCell ref="B867:C867"/>
    <mergeCell ref="B868:C868"/>
    <mergeCell ref="B869:C869"/>
    <mergeCell ref="B870:C870"/>
    <mergeCell ref="B2187:C2187"/>
    <mergeCell ref="B2189:C2189"/>
    <mergeCell ref="B2192:C2192"/>
    <mergeCell ref="B2188:C2188"/>
    <mergeCell ref="B2190:C2190"/>
    <mergeCell ref="B2191:C2191"/>
    <mergeCell ref="C2139:F2139"/>
    <mergeCell ref="P2139:P2144"/>
    <mergeCell ref="C2169:F2169"/>
    <mergeCell ref="P2169:P2174"/>
    <mergeCell ref="B2170:C2170"/>
    <mergeCell ref="B2172:C2172"/>
    <mergeCell ref="B2173:C2173"/>
    <mergeCell ref="B2174:C2174"/>
    <mergeCell ref="B2171:C2171"/>
    <mergeCell ref="C2157:F2157"/>
    <mergeCell ref="B2160:C2160"/>
    <mergeCell ref="B2161:C2161"/>
    <mergeCell ref="B2162:C2162"/>
    <mergeCell ref="C2163:F2163"/>
    <mergeCell ref="P2163:P2168"/>
    <mergeCell ref="B2164:C2164"/>
    <mergeCell ref="B2165:C2165"/>
    <mergeCell ref="B2166:C2166"/>
    <mergeCell ref="B2167:C2167"/>
    <mergeCell ref="B2168:C2168"/>
    <mergeCell ref="B2158:C2158"/>
    <mergeCell ref="B2110:C2110"/>
    <mergeCell ref="B2111:C2111"/>
    <mergeCell ref="B2112:C2112"/>
    <mergeCell ref="C2113:F2113"/>
    <mergeCell ref="P2113:P2116"/>
    <mergeCell ref="B2114:C2114"/>
    <mergeCell ref="B2116:C2116"/>
    <mergeCell ref="B2115:C2115"/>
    <mergeCell ref="C2121:F2121"/>
    <mergeCell ref="P2121:P2126"/>
    <mergeCell ref="B2122:C2122"/>
    <mergeCell ref="B2126:C2126"/>
    <mergeCell ref="C2117:F2117"/>
    <mergeCell ref="B2124:C2124"/>
    <mergeCell ref="B2125:C2125"/>
    <mergeCell ref="C2091:F2091"/>
    <mergeCell ref="P2091:P2098"/>
    <mergeCell ref="B2092:C2092"/>
    <mergeCell ref="B2093:C2093"/>
    <mergeCell ref="B2094:C2094"/>
    <mergeCell ref="B2095:C2095"/>
    <mergeCell ref="B2096:C2096"/>
    <mergeCell ref="B2097:C2097"/>
    <mergeCell ref="B2098:C2098"/>
    <mergeCell ref="C2099:F2099"/>
    <mergeCell ref="P2099:P2106"/>
    <mergeCell ref="B2100:C2100"/>
    <mergeCell ref="B2101:C2101"/>
    <mergeCell ref="B2102:C2102"/>
    <mergeCell ref="B2103:C2103"/>
    <mergeCell ref="B2104:C2104"/>
    <mergeCell ref="B2105:C2105"/>
    <mergeCell ref="B2106:C2106"/>
    <mergeCell ref="P2083:P2090"/>
    <mergeCell ref="B2084:C2084"/>
    <mergeCell ref="B2085:C2085"/>
    <mergeCell ref="B2086:C2086"/>
    <mergeCell ref="B2087:C2087"/>
    <mergeCell ref="B2088:C2088"/>
    <mergeCell ref="B2089:C2089"/>
    <mergeCell ref="B2090:C2090"/>
    <mergeCell ref="C2083:F2083"/>
    <mergeCell ref="C2075:F2075"/>
    <mergeCell ref="P2075:P2082"/>
    <mergeCell ref="B2076:C2076"/>
    <mergeCell ref="B2078:C2078"/>
    <mergeCell ref="B2080:C2080"/>
    <mergeCell ref="B2082:C2082"/>
    <mergeCell ref="B2077:C2077"/>
    <mergeCell ref="B2079:C2079"/>
    <mergeCell ref="B2081:C2081"/>
    <mergeCell ref="B1429:C1429"/>
    <mergeCell ref="C1433:F1433"/>
    <mergeCell ref="C1439:F1439"/>
    <mergeCell ref="P1529:P1539"/>
    <mergeCell ref="B1530:C1530"/>
    <mergeCell ref="B1531:C1531"/>
    <mergeCell ref="B1534:C1534"/>
    <mergeCell ref="B1535:C1535"/>
    <mergeCell ref="B1536:C1536"/>
    <mergeCell ref="B1537:C1537"/>
    <mergeCell ref="B1533:C1533"/>
    <mergeCell ref="P1477:P1479"/>
    <mergeCell ref="B1478:C1478"/>
    <mergeCell ref="B1479:C1479"/>
    <mergeCell ref="P1474:P1476"/>
    <mergeCell ref="B1475:C1475"/>
    <mergeCell ref="B1476:C1476"/>
    <mergeCell ref="B1527:C1527"/>
    <mergeCell ref="B1528:C1528"/>
    <mergeCell ref="C1523:F1523"/>
    <mergeCell ref="P1523:P1525"/>
    <mergeCell ref="B1524:C1524"/>
    <mergeCell ref="B1525:C1525"/>
    <mergeCell ref="C1526:F1526"/>
    <mergeCell ref="C1519:F1519"/>
    <mergeCell ref="P1436:P1438"/>
    <mergeCell ref="B1437:C1437"/>
    <mergeCell ref="B1438:C1438"/>
    <mergeCell ref="P1433:P1435"/>
    <mergeCell ref="B1434:C1434"/>
    <mergeCell ref="B1435:C1435"/>
    <mergeCell ref="C1471:F1471"/>
    <mergeCell ref="P1471:P1473"/>
    <mergeCell ref="B1467:C1467"/>
    <mergeCell ref="B1470:C1470"/>
    <mergeCell ref="B1468:C1468"/>
    <mergeCell ref="B1469:C1469"/>
    <mergeCell ref="B1890:C1890"/>
    <mergeCell ref="C1868:F1868"/>
    <mergeCell ref="C1878:F1878"/>
    <mergeCell ref="B1825:C1825"/>
    <mergeCell ref="B1539:C1539"/>
    <mergeCell ref="B1532:C1532"/>
    <mergeCell ref="C1529:F1529"/>
    <mergeCell ref="C1695:F1695"/>
    <mergeCell ref="P1695:P1703"/>
    <mergeCell ref="B1696:C1696"/>
    <mergeCell ref="B1698:C1698"/>
    <mergeCell ref="B1701:C1701"/>
    <mergeCell ref="B1703:C1703"/>
    <mergeCell ref="B1700:C1700"/>
    <mergeCell ref="B1699:C1699"/>
    <mergeCell ref="B1749:C1749"/>
    <mergeCell ref="B1754:C1754"/>
    <mergeCell ref="B1763:C1763"/>
    <mergeCell ref="B1768:C1768"/>
    <mergeCell ref="C1752:F1752"/>
    <mergeCell ref="P1519:P1522"/>
    <mergeCell ref="B1520:C1520"/>
    <mergeCell ref="B1522:C1522"/>
    <mergeCell ref="B1521:C1521"/>
    <mergeCell ref="C1516:F1516"/>
    <mergeCell ref="P1516:P1518"/>
    <mergeCell ref="B1518:C1518"/>
    <mergeCell ref="C1397:F1397"/>
    <mergeCell ref="P1397:P1399"/>
    <mergeCell ref="B1398:C1398"/>
    <mergeCell ref="B1399:C1399"/>
    <mergeCell ref="C1400:F1400"/>
    <mergeCell ref="P1400:P1402"/>
    <mergeCell ref="B1401:C1401"/>
    <mergeCell ref="B1402:C1402"/>
    <mergeCell ref="C1403:F1403"/>
    <mergeCell ref="P1403:P1405"/>
    <mergeCell ref="B1404:C1404"/>
    <mergeCell ref="B1405:C1405"/>
    <mergeCell ref="C1406:F1406"/>
    <mergeCell ref="P1406:P1408"/>
    <mergeCell ref="B1407:C1407"/>
    <mergeCell ref="B1408:C1408"/>
    <mergeCell ref="B1538:C1538"/>
    <mergeCell ref="C1409:F1409"/>
    <mergeCell ref="P1409:P1411"/>
    <mergeCell ref="B1410:C1410"/>
    <mergeCell ref="B1411:C1411"/>
    <mergeCell ref="P1415:P1417"/>
    <mergeCell ref="B1416:C1416"/>
    <mergeCell ref="B1417:C1417"/>
    <mergeCell ref="C1418:F1418"/>
    <mergeCell ref="C1427:F1427"/>
    <mergeCell ref="P1418:P1420"/>
    <mergeCell ref="C1442:F1442"/>
    <mergeCell ref="P1442:P1444"/>
    <mergeCell ref="B1443:C1443"/>
    <mergeCell ref="B1444:C1444"/>
    <mergeCell ref="P1439:P1441"/>
    <mergeCell ref="C1388:F1388"/>
    <mergeCell ref="P1388:P1390"/>
    <mergeCell ref="B1389:C1389"/>
    <mergeCell ref="B1390:C1390"/>
    <mergeCell ref="C1376:F1376"/>
    <mergeCell ref="P1376:P1378"/>
    <mergeCell ref="B1377:C1377"/>
    <mergeCell ref="B1378:C1378"/>
    <mergeCell ref="C1391:F1391"/>
    <mergeCell ref="P1391:P1393"/>
    <mergeCell ref="B1392:C1392"/>
    <mergeCell ref="B1393:C1393"/>
    <mergeCell ref="C1394:F1394"/>
    <mergeCell ref="P1394:P1396"/>
    <mergeCell ref="B1395:C1395"/>
    <mergeCell ref="B1396:C1396"/>
    <mergeCell ref="P1385:P1387"/>
    <mergeCell ref="B1381:C1381"/>
    <mergeCell ref="C1382:F1382"/>
    <mergeCell ref="P1382:P1384"/>
    <mergeCell ref="B1383:C1383"/>
    <mergeCell ref="P1379:P1381"/>
    <mergeCell ref="B1380:C1380"/>
    <mergeCell ref="B1387:C1387"/>
    <mergeCell ref="B1102:C1102"/>
    <mergeCell ref="B1103:C1103"/>
    <mergeCell ref="B1159:C1159"/>
    <mergeCell ref="C1104:F1104"/>
    <mergeCell ref="P1104:P1110"/>
    <mergeCell ref="B1105:C1105"/>
    <mergeCell ref="B1106:C1106"/>
    <mergeCell ref="P1135:P1141"/>
    <mergeCell ref="B1136:C1136"/>
    <mergeCell ref="B1137:C1137"/>
    <mergeCell ref="P1098:P1100"/>
    <mergeCell ref="B1099:C1099"/>
    <mergeCell ref="B1372:C1372"/>
    <mergeCell ref="C1373:F1373"/>
    <mergeCell ref="P1373:P1375"/>
    <mergeCell ref="B1374:C1374"/>
    <mergeCell ref="B1375:C1375"/>
    <mergeCell ref="C1170:F1170"/>
    <mergeCell ref="P1170:P1176"/>
    <mergeCell ref="B1171:C1171"/>
    <mergeCell ref="B1172:C1172"/>
    <mergeCell ref="B1173:C1173"/>
    <mergeCell ref="B1174:C1174"/>
    <mergeCell ref="B1175:C1175"/>
    <mergeCell ref="B1176:C1176"/>
    <mergeCell ref="B1155:C1155"/>
    <mergeCell ref="C1163:F1163"/>
    <mergeCell ref="P1163:P1169"/>
    <mergeCell ref="B1164:C1164"/>
    <mergeCell ref="C1142:F1142"/>
    <mergeCell ref="C1156:F1156"/>
    <mergeCell ref="B1110:C1110"/>
    <mergeCell ref="C794:F794"/>
    <mergeCell ref="P794:P801"/>
    <mergeCell ref="B795:C795"/>
    <mergeCell ref="B796:C796"/>
    <mergeCell ref="B797:C797"/>
    <mergeCell ref="B801:C801"/>
    <mergeCell ref="B798:C798"/>
    <mergeCell ref="B799:C799"/>
    <mergeCell ref="B800:C800"/>
    <mergeCell ref="C1031:F1031"/>
    <mergeCell ref="P1031:P1034"/>
    <mergeCell ref="B1032:C1032"/>
    <mergeCell ref="B1033:C1033"/>
    <mergeCell ref="B1034:C1034"/>
    <mergeCell ref="C1035:F1035"/>
    <mergeCell ref="P1035:P1041"/>
    <mergeCell ref="B1036:C1036"/>
    <mergeCell ref="B1037:C1037"/>
    <mergeCell ref="B1038:C1038"/>
    <mergeCell ref="B1039:C1039"/>
    <mergeCell ref="B1040:C1040"/>
    <mergeCell ref="B1041:C1041"/>
    <mergeCell ref="C843:F843"/>
    <mergeCell ref="C835:F835"/>
    <mergeCell ref="C809:F809"/>
    <mergeCell ref="C817:F817"/>
    <mergeCell ref="C826:F826"/>
    <mergeCell ref="B831:C831"/>
    <mergeCell ref="B832:C832"/>
    <mergeCell ref="B833:C833"/>
    <mergeCell ref="B834:C834"/>
    <mergeCell ref="P826:P834"/>
    <mergeCell ref="C762:F762"/>
    <mergeCell ref="P762:P774"/>
    <mergeCell ref="B763:C763"/>
    <mergeCell ref="B766:C766"/>
    <mergeCell ref="B772:C772"/>
    <mergeCell ref="B774:C774"/>
    <mergeCell ref="B767:C767"/>
    <mergeCell ref="B768:C768"/>
    <mergeCell ref="B764:C764"/>
    <mergeCell ref="B773:C773"/>
    <mergeCell ref="B770:C770"/>
    <mergeCell ref="C786:F786"/>
    <mergeCell ref="P786:P789"/>
    <mergeCell ref="B787:C787"/>
    <mergeCell ref="B788:C788"/>
    <mergeCell ref="B789:C789"/>
    <mergeCell ref="C790:F790"/>
    <mergeCell ref="P790:P793"/>
    <mergeCell ref="B791:C791"/>
    <mergeCell ref="B792:C792"/>
    <mergeCell ref="B793:C793"/>
    <mergeCell ref="B769:C769"/>
    <mergeCell ref="C775:F775"/>
    <mergeCell ref="B783:C783"/>
    <mergeCell ref="P775:P785"/>
    <mergeCell ref="B776:C776"/>
    <mergeCell ref="B777:C777"/>
    <mergeCell ref="B778:C778"/>
    <mergeCell ref="B779:C779"/>
    <mergeCell ref="B780:C780"/>
    <mergeCell ref="B765:C765"/>
    <mergeCell ref="B740:C740"/>
    <mergeCell ref="C737:F737"/>
    <mergeCell ref="P737:P742"/>
    <mergeCell ref="B739:C739"/>
    <mergeCell ref="C732:F732"/>
    <mergeCell ref="B741:C741"/>
    <mergeCell ref="B742:C742"/>
    <mergeCell ref="B738:C738"/>
    <mergeCell ref="B745:C745"/>
    <mergeCell ref="B746:C746"/>
    <mergeCell ref="B744:C744"/>
    <mergeCell ref="C749:F749"/>
    <mergeCell ref="P749:P751"/>
    <mergeCell ref="B750:C750"/>
    <mergeCell ref="B751:C751"/>
    <mergeCell ref="B747:C747"/>
    <mergeCell ref="P743:P748"/>
    <mergeCell ref="B748:C748"/>
    <mergeCell ref="C743:F743"/>
    <mergeCell ref="C718:F718"/>
    <mergeCell ref="P718:P726"/>
    <mergeCell ref="B719:C719"/>
    <mergeCell ref="B720:C720"/>
    <mergeCell ref="B721:C721"/>
    <mergeCell ref="B722:C722"/>
    <mergeCell ref="B723:C723"/>
    <mergeCell ref="B725:C725"/>
    <mergeCell ref="B726:C726"/>
    <mergeCell ref="C727:F727"/>
    <mergeCell ref="P727:P731"/>
    <mergeCell ref="B728:C728"/>
    <mergeCell ref="B729:C729"/>
    <mergeCell ref="B730:C730"/>
    <mergeCell ref="B731:C731"/>
    <mergeCell ref="P732:P736"/>
    <mergeCell ref="B733:C733"/>
    <mergeCell ref="B734:C734"/>
    <mergeCell ref="B735:C735"/>
    <mergeCell ref="B736:C736"/>
    <mergeCell ref="B724:C724"/>
    <mergeCell ref="C700:F700"/>
    <mergeCell ref="P700:P708"/>
    <mergeCell ref="B701:C701"/>
    <mergeCell ref="B702:C702"/>
    <mergeCell ref="B703:C703"/>
    <mergeCell ref="B704:C704"/>
    <mergeCell ref="B705:C705"/>
    <mergeCell ref="B707:C707"/>
    <mergeCell ref="B708:C708"/>
    <mergeCell ref="C709:F709"/>
    <mergeCell ref="P709:P717"/>
    <mergeCell ref="B710:C710"/>
    <mergeCell ref="B711:C711"/>
    <mergeCell ref="B712:C712"/>
    <mergeCell ref="B713:C713"/>
    <mergeCell ref="B714:C714"/>
    <mergeCell ref="B716:C716"/>
    <mergeCell ref="B717:C717"/>
    <mergeCell ref="B706:C706"/>
    <mergeCell ref="B715:C715"/>
    <mergeCell ref="C677:F677"/>
    <mergeCell ref="P677:P685"/>
    <mergeCell ref="B678:C678"/>
    <mergeCell ref="B680:C680"/>
    <mergeCell ref="B681:C681"/>
    <mergeCell ref="B682:C682"/>
    <mergeCell ref="B683:C683"/>
    <mergeCell ref="B684:C684"/>
    <mergeCell ref="B685:C685"/>
    <mergeCell ref="B679:C679"/>
    <mergeCell ref="C686:F686"/>
    <mergeCell ref="P686:P690"/>
    <mergeCell ref="B687:C687"/>
    <mergeCell ref="B688:C688"/>
    <mergeCell ref="B689:C689"/>
    <mergeCell ref="B690:C690"/>
    <mergeCell ref="C691:F691"/>
    <mergeCell ref="P691:P699"/>
    <mergeCell ref="B692:C692"/>
    <mergeCell ref="B693:C693"/>
    <mergeCell ref="B694:C694"/>
    <mergeCell ref="B695:C695"/>
    <mergeCell ref="B696:C696"/>
    <mergeCell ref="B698:C698"/>
    <mergeCell ref="B699:C699"/>
    <mergeCell ref="B697:C697"/>
    <mergeCell ref="C661:F661"/>
    <mergeCell ref="P661:P668"/>
    <mergeCell ref="B662:C662"/>
    <mergeCell ref="B663:C663"/>
    <mergeCell ref="B664:C664"/>
    <mergeCell ref="B665:C665"/>
    <mergeCell ref="B666:C666"/>
    <mergeCell ref="B667:C667"/>
    <mergeCell ref="B668:C668"/>
    <mergeCell ref="C669:F669"/>
    <mergeCell ref="P669:P676"/>
    <mergeCell ref="B670:C670"/>
    <mergeCell ref="B671:C671"/>
    <mergeCell ref="B672:C672"/>
    <mergeCell ref="B673:C673"/>
    <mergeCell ref="B674:C674"/>
    <mergeCell ref="B675:C675"/>
    <mergeCell ref="B676:C676"/>
    <mergeCell ref="C645:F645"/>
    <mergeCell ref="P645:P652"/>
    <mergeCell ref="B646:C646"/>
    <mergeCell ref="B647:C647"/>
    <mergeCell ref="B648:C648"/>
    <mergeCell ref="B649:C649"/>
    <mergeCell ref="B650:C650"/>
    <mergeCell ref="B651:C651"/>
    <mergeCell ref="B652:C652"/>
    <mergeCell ref="C653:F653"/>
    <mergeCell ref="P653:P660"/>
    <mergeCell ref="B654:C654"/>
    <mergeCell ref="B655:C655"/>
    <mergeCell ref="B656:C656"/>
    <mergeCell ref="B657:C657"/>
    <mergeCell ref="B658:C658"/>
    <mergeCell ref="B659:C659"/>
    <mergeCell ref="B660:C660"/>
    <mergeCell ref="C617:F617"/>
    <mergeCell ref="P617:P620"/>
    <mergeCell ref="B618:C618"/>
    <mergeCell ref="B619:C619"/>
    <mergeCell ref="B620:C620"/>
    <mergeCell ref="C629:F629"/>
    <mergeCell ref="P629:P636"/>
    <mergeCell ref="B635:C635"/>
    <mergeCell ref="B636:C636"/>
    <mergeCell ref="B634:C634"/>
    <mergeCell ref="B633:C633"/>
    <mergeCell ref="B630:C630"/>
    <mergeCell ref="B631:C631"/>
    <mergeCell ref="B632:C632"/>
    <mergeCell ref="C637:F637"/>
    <mergeCell ref="P637:P644"/>
    <mergeCell ref="B638:C638"/>
    <mergeCell ref="B639:C639"/>
    <mergeCell ref="B640:C640"/>
    <mergeCell ref="B641:C641"/>
    <mergeCell ref="B642:C642"/>
    <mergeCell ref="B643:C643"/>
    <mergeCell ref="B644:C644"/>
    <mergeCell ref="C601:F601"/>
    <mergeCell ref="P601:P604"/>
    <mergeCell ref="B602:C602"/>
    <mergeCell ref="B603:C603"/>
    <mergeCell ref="B604:C604"/>
    <mergeCell ref="C605:F605"/>
    <mergeCell ref="P605:P608"/>
    <mergeCell ref="B606:C606"/>
    <mergeCell ref="B607:C607"/>
    <mergeCell ref="B608:C608"/>
    <mergeCell ref="C609:F609"/>
    <mergeCell ref="P609:P612"/>
    <mergeCell ref="B610:C610"/>
    <mergeCell ref="B611:C611"/>
    <mergeCell ref="B612:C612"/>
    <mergeCell ref="C613:F613"/>
    <mergeCell ref="P613:P616"/>
    <mergeCell ref="B614:C614"/>
    <mergeCell ref="B615:C615"/>
    <mergeCell ref="B616:C616"/>
    <mergeCell ref="P567:P569"/>
    <mergeCell ref="B568:C568"/>
    <mergeCell ref="B569:C569"/>
    <mergeCell ref="C546:F546"/>
    <mergeCell ref="C570:F570"/>
    <mergeCell ref="P570:P572"/>
    <mergeCell ref="B571:C571"/>
    <mergeCell ref="B572:C572"/>
    <mergeCell ref="P546:P551"/>
    <mergeCell ref="B547:C547"/>
    <mergeCell ref="B548:C548"/>
    <mergeCell ref="B549:C549"/>
    <mergeCell ref="B550:C550"/>
    <mergeCell ref="B551:C551"/>
    <mergeCell ref="C597:F597"/>
    <mergeCell ref="P597:P600"/>
    <mergeCell ref="B598:C598"/>
    <mergeCell ref="B599:C599"/>
    <mergeCell ref="B600:C600"/>
    <mergeCell ref="P591:P593"/>
    <mergeCell ref="B563:C563"/>
    <mergeCell ref="C552:F552"/>
    <mergeCell ref="P552:P557"/>
    <mergeCell ref="B553:C553"/>
    <mergeCell ref="B554:C554"/>
    <mergeCell ref="B555:C555"/>
    <mergeCell ref="B556:C556"/>
    <mergeCell ref="B557:C557"/>
    <mergeCell ref="C573:F573"/>
    <mergeCell ref="P573:P575"/>
    <mergeCell ref="B574:C574"/>
    <mergeCell ref="B575:C575"/>
    <mergeCell ref="C518:F518"/>
    <mergeCell ref="P518:P520"/>
    <mergeCell ref="B519:C519"/>
    <mergeCell ref="B520:C520"/>
    <mergeCell ref="C521:F521"/>
    <mergeCell ref="P521:P523"/>
    <mergeCell ref="B522:C522"/>
    <mergeCell ref="B523:C523"/>
    <mergeCell ref="C524:F524"/>
    <mergeCell ref="P524:P526"/>
    <mergeCell ref="B525:C525"/>
    <mergeCell ref="B526:C526"/>
    <mergeCell ref="C527:F527"/>
    <mergeCell ref="P527:P529"/>
    <mergeCell ref="B528:C528"/>
    <mergeCell ref="B529:C529"/>
    <mergeCell ref="C530:F530"/>
    <mergeCell ref="P530:P532"/>
    <mergeCell ref="B531:C531"/>
    <mergeCell ref="B532:C532"/>
    <mergeCell ref="C494:F494"/>
    <mergeCell ref="P494:P496"/>
    <mergeCell ref="B495:C495"/>
    <mergeCell ref="B496:C496"/>
    <mergeCell ref="C497:F497"/>
    <mergeCell ref="P497:P499"/>
    <mergeCell ref="B498:C498"/>
    <mergeCell ref="B499:C499"/>
    <mergeCell ref="C500:F500"/>
    <mergeCell ref="P500:P502"/>
    <mergeCell ref="B501:C501"/>
    <mergeCell ref="B502:C502"/>
    <mergeCell ref="C512:F512"/>
    <mergeCell ref="P512:P514"/>
    <mergeCell ref="B513:C513"/>
    <mergeCell ref="B514:C514"/>
    <mergeCell ref="C515:F515"/>
    <mergeCell ref="P515:P517"/>
    <mergeCell ref="B516:C516"/>
    <mergeCell ref="B517:C517"/>
    <mergeCell ref="P506:P508"/>
    <mergeCell ref="C503:F503"/>
    <mergeCell ref="P503:P505"/>
    <mergeCell ref="B504:C504"/>
    <mergeCell ref="B505:C505"/>
    <mergeCell ref="C506:F506"/>
    <mergeCell ref="B507:C507"/>
    <mergeCell ref="B508:C508"/>
    <mergeCell ref="C509:F509"/>
    <mergeCell ref="P509:P511"/>
    <mergeCell ref="B510:C510"/>
    <mergeCell ref="B511:C511"/>
    <mergeCell ref="B483:C483"/>
    <mergeCell ref="C488:F488"/>
    <mergeCell ref="P488:P490"/>
    <mergeCell ref="B489:C489"/>
    <mergeCell ref="B490:C490"/>
    <mergeCell ref="P484:P487"/>
    <mergeCell ref="B485:C485"/>
    <mergeCell ref="P450:P453"/>
    <mergeCell ref="P454:P457"/>
    <mergeCell ref="B455:C455"/>
    <mergeCell ref="B486:C486"/>
    <mergeCell ref="B473:C473"/>
    <mergeCell ref="B471:C471"/>
    <mergeCell ref="C477:F477"/>
    <mergeCell ref="C474:F474"/>
    <mergeCell ref="C491:F491"/>
    <mergeCell ref="P491:P493"/>
    <mergeCell ref="B492:C492"/>
    <mergeCell ref="B493:C493"/>
    <mergeCell ref="P477:P480"/>
    <mergeCell ref="B480:C480"/>
    <mergeCell ref="P474:P476"/>
    <mergeCell ref="C470:F470"/>
    <mergeCell ref="B476:C476"/>
    <mergeCell ref="P470:P473"/>
    <mergeCell ref="C386:F386"/>
    <mergeCell ref="P386:P388"/>
    <mergeCell ref="B387:C387"/>
    <mergeCell ref="B388:C388"/>
    <mergeCell ref="B398:C398"/>
    <mergeCell ref="B404:C404"/>
    <mergeCell ref="C407:F407"/>
    <mergeCell ref="P407:P412"/>
    <mergeCell ref="B408:C408"/>
    <mergeCell ref="B412:C412"/>
    <mergeCell ref="B409:C409"/>
    <mergeCell ref="B410:C410"/>
    <mergeCell ref="B411:C411"/>
    <mergeCell ref="C464:F464"/>
    <mergeCell ref="P464:P466"/>
    <mergeCell ref="B465:C465"/>
    <mergeCell ref="B466:C466"/>
    <mergeCell ref="C423:F423"/>
    <mergeCell ref="P423:P429"/>
    <mergeCell ref="B424:C424"/>
    <mergeCell ref="B425:C425"/>
    <mergeCell ref="B426:C426"/>
    <mergeCell ref="B427:C427"/>
    <mergeCell ref="B428:C428"/>
    <mergeCell ref="B429:C429"/>
    <mergeCell ref="C419:F419"/>
    <mergeCell ref="P419:P422"/>
    <mergeCell ref="B420:C420"/>
    <mergeCell ref="B421:C421"/>
    <mergeCell ref="C400:F400"/>
    <mergeCell ref="P400:P406"/>
    <mergeCell ref="B401:C401"/>
    <mergeCell ref="C374:F374"/>
    <mergeCell ref="P374:P376"/>
    <mergeCell ref="B375:C375"/>
    <mergeCell ref="B376:C376"/>
    <mergeCell ref="C377:F377"/>
    <mergeCell ref="P377:P379"/>
    <mergeCell ref="B378:C378"/>
    <mergeCell ref="B379:C379"/>
    <mergeCell ref="C380:F380"/>
    <mergeCell ref="P380:P382"/>
    <mergeCell ref="B381:C381"/>
    <mergeCell ref="B382:C382"/>
    <mergeCell ref="C383:F383"/>
    <mergeCell ref="P383:P385"/>
    <mergeCell ref="B384:C384"/>
    <mergeCell ref="B385:C385"/>
    <mergeCell ref="C341:F341"/>
    <mergeCell ref="P341:P346"/>
    <mergeCell ref="B342:C342"/>
    <mergeCell ref="B343:C343"/>
    <mergeCell ref="B344:C344"/>
    <mergeCell ref="B345:C345"/>
    <mergeCell ref="B346:C346"/>
    <mergeCell ref="C347:F347"/>
    <mergeCell ref="P347:P352"/>
    <mergeCell ref="B348:C348"/>
    <mergeCell ref="B349:C349"/>
    <mergeCell ref="B350:C350"/>
    <mergeCell ref="B351:C351"/>
    <mergeCell ref="B352:C352"/>
    <mergeCell ref="C353:F353"/>
    <mergeCell ref="P353:P358"/>
    <mergeCell ref="B435:C435"/>
    <mergeCell ref="B436:C436"/>
    <mergeCell ref="B437:C437"/>
    <mergeCell ref="B438:C438"/>
    <mergeCell ref="B439:C439"/>
    <mergeCell ref="B440:C440"/>
    <mergeCell ref="C430:F430"/>
    <mergeCell ref="P430:P433"/>
    <mergeCell ref="B431:C431"/>
    <mergeCell ref="B432:C432"/>
    <mergeCell ref="B433:C433"/>
    <mergeCell ref="B304:C304"/>
    <mergeCell ref="B305:C305"/>
    <mergeCell ref="B306:C306"/>
    <mergeCell ref="B307:C307"/>
    <mergeCell ref="C308:F308"/>
    <mergeCell ref="P308:P314"/>
    <mergeCell ref="B309:C309"/>
    <mergeCell ref="B310:C310"/>
    <mergeCell ref="B311:C311"/>
    <mergeCell ref="B312:C312"/>
    <mergeCell ref="B313:C313"/>
    <mergeCell ref="B333:C333"/>
    <mergeCell ref="B334:C334"/>
    <mergeCell ref="C335:F335"/>
    <mergeCell ref="B336:C336"/>
    <mergeCell ref="B337:C337"/>
    <mergeCell ref="B338:C338"/>
    <mergeCell ref="B314:C314"/>
    <mergeCell ref="P301:P307"/>
    <mergeCell ref="B302:C302"/>
    <mergeCell ref="B303:C303"/>
    <mergeCell ref="P322:P328"/>
    <mergeCell ref="B323:C323"/>
    <mergeCell ref="B324:C324"/>
    <mergeCell ref="B325:C325"/>
    <mergeCell ref="B326:C326"/>
    <mergeCell ref="B327:C327"/>
    <mergeCell ref="B328:C328"/>
    <mergeCell ref="C322:F322"/>
    <mergeCell ref="P315:P321"/>
    <mergeCell ref="B316:C316"/>
    <mergeCell ref="B317:C317"/>
    <mergeCell ref="B318:C318"/>
    <mergeCell ref="B319:C319"/>
    <mergeCell ref="B320:C320"/>
    <mergeCell ref="B321:C321"/>
    <mergeCell ref="C315:F315"/>
    <mergeCell ref="P371:P373"/>
    <mergeCell ref="B372:C372"/>
    <mergeCell ref="B373:C373"/>
    <mergeCell ref="B339:C339"/>
    <mergeCell ref="B340:C340"/>
    <mergeCell ref="B354:C354"/>
    <mergeCell ref="B355:C355"/>
    <mergeCell ref="B356:C356"/>
    <mergeCell ref="B357:C357"/>
    <mergeCell ref="B358:C358"/>
    <mergeCell ref="C359:F359"/>
    <mergeCell ref="P359:P364"/>
    <mergeCell ref="B360:C360"/>
    <mergeCell ref="B361:C361"/>
    <mergeCell ref="B362:C362"/>
    <mergeCell ref="B363:C363"/>
    <mergeCell ref="B277:C277"/>
    <mergeCell ref="B278:C278"/>
    <mergeCell ref="C273:F273"/>
    <mergeCell ref="P287:P293"/>
    <mergeCell ref="B288:C288"/>
    <mergeCell ref="B289:C289"/>
    <mergeCell ref="B290:C290"/>
    <mergeCell ref="B291:C291"/>
    <mergeCell ref="B292:C292"/>
    <mergeCell ref="B293:C293"/>
    <mergeCell ref="C287:F287"/>
    <mergeCell ref="P280:P286"/>
    <mergeCell ref="B285:C285"/>
    <mergeCell ref="B286:C286"/>
    <mergeCell ref="C280:F280"/>
    <mergeCell ref="B281:C281"/>
    <mergeCell ref="B282:C282"/>
    <mergeCell ref="B283:C283"/>
    <mergeCell ref="B284:C284"/>
    <mergeCell ref="M2:O2"/>
    <mergeCell ref="D3:D4"/>
    <mergeCell ref="E3:E4"/>
    <mergeCell ref="F3:F4"/>
    <mergeCell ref="G3:H3"/>
    <mergeCell ref="K3:L3"/>
    <mergeCell ref="M3:N3"/>
    <mergeCell ref="B1341:C1341"/>
    <mergeCell ref="B1342:C1342"/>
    <mergeCell ref="B7:C7"/>
    <mergeCell ref="C5:F5"/>
    <mergeCell ref="C1346:F1346"/>
    <mergeCell ref="P1346:P1348"/>
    <mergeCell ref="B1347:C1347"/>
    <mergeCell ref="B1348:C1348"/>
    <mergeCell ref="P1337:P1339"/>
    <mergeCell ref="B1338:C1338"/>
    <mergeCell ref="P1340:P1342"/>
    <mergeCell ref="C1343:F1343"/>
    <mergeCell ref="P1343:P1345"/>
    <mergeCell ref="B1344:C1344"/>
    <mergeCell ref="B1345:C1345"/>
    <mergeCell ref="C1340:F1340"/>
    <mergeCell ref="B149:C149"/>
    <mergeCell ref="B150:C150"/>
    <mergeCell ref="B151:C151"/>
    <mergeCell ref="B152:C152"/>
    <mergeCell ref="C148:F148"/>
    <mergeCell ref="B229:C229"/>
    <mergeCell ref="C163:F163"/>
    <mergeCell ref="C168:F168"/>
    <mergeCell ref="B177:C177"/>
    <mergeCell ref="O3:O4"/>
    <mergeCell ref="I3:J3"/>
    <mergeCell ref="B3:C4"/>
    <mergeCell ref="B8:C8"/>
    <mergeCell ref="B9:C9"/>
    <mergeCell ref="B6:C6"/>
    <mergeCell ref="B13:C13"/>
    <mergeCell ref="B14:C14"/>
    <mergeCell ref="B1339:C1339"/>
    <mergeCell ref="B16:C16"/>
    <mergeCell ref="B17:C17"/>
    <mergeCell ref="B18:C18"/>
    <mergeCell ref="B19:C19"/>
    <mergeCell ref="C20:F20"/>
    <mergeCell ref="C371:F371"/>
    <mergeCell ref="C1337:F1337"/>
    <mergeCell ref="B25:C25"/>
    <mergeCell ref="B26:C26"/>
    <mergeCell ref="C178:F178"/>
    <mergeCell ref="B230:C230"/>
    <mergeCell ref="B231:C231"/>
    <mergeCell ref="B232:C232"/>
    <mergeCell ref="C228:F228"/>
    <mergeCell ref="B234:C234"/>
    <mergeCell ref="B235:C235"/>
    <mergeCell ref="B236:C236"/>
    <mergeCell ref="B237:C237"/>
    <mergeCell ref="B238:C238"/>
    <mergeCell ref="B239:C239"/>
    <mergeCell ref="C233:F233"/>
    <mergeCell ref="B241:C241"/>
    <mergeCell ref="B242:C242"/>
    <mergeCell ref="B46:C46"/>
    <mergeCell ref="B47:C47"/>
    <mergeCell ref="B30:C30"/>
    <mergeCell ref="B31:C31"/>
    <mergeCell ref="B39:C39"/>
    <mergeCell ref="B40:C40"/>
    <mergeCell ref="P5:P9"/>
    <mergeCell ref="C10:F10"/>
    <mergeCell ref="P10:P14"/>
    <mergeCell ref="B11:C11"/>
    <mergeCell ref="B12:C12"/>
    <mergeCell ref="B32:C32"/>
    <mergeCell ref="B33:C33"/>
    <mergeCell ref="C15:F15"/>
    <mergeCell ref="P15:P19"/>
    <mergeCell ref="C1412:F1412"/>
    <mergeCell ref="P1412:P1414"/>
    <mergeCell ref="B1413:C1413"/>
    <mergeCell ref="B1414:C1414"/>
    <mergeCell ref="B21:C21"/>
    <mergeCell ref="B22:C22"/>
    <mergeCell ref="B28:C28"/>
    <mergeCell ref="B29:C29"/>
    <mergeCell ref="B23:C23"/>
    <mergeCell ref="B24:C24"/>
    <mergeCell ref="P1349:P1351"/>
    <mergeCell ref="B1350:C1350"/>
    <mergeCell ref="B1351:C1351"/>
    <mergeCell ref="C1349:F1349"/>
    <mergeCell ref="P233:P239"/>
    <mergeCell ref="P240:P248"/>
    <mergeCell ref="B244:C244"/>
    <mergeCell ref="C82:F82"/>
    <mergeCell ref="P82:P90"/>
    <mergeCell ref="B83:C83"/>
    <mergeCell ref="B84:C84"/>
    <mergeCell ref="B85:C85"/>
    <mergeCell ref="B86:C86"/>
    <mergeCell ref="C55:F55"/>
    <mergeCell ref="P55:P63"/>
    <mergeCell ref="B56:C56"/>
    <mergeCell ref="B60:C60"/>
    <mergeCell ref="B62:C62"/>
    <mergeCell ref="B63:C63"/>
    <mergeCell ref="B57:C57"/>
    <mergeCell ref="B58:C58"/>
    <mergeCell ref="B59:C59"/>
    <mergeCell ref="B61:C61"/>
    <mergeCell ref="C27:F27"/>
    <mergeCell ref="C48:F48"/>
    <mergeCell ref="P48:P54"/>
    <mergeCell ref="B49:C49"/>
    <mergeCell ref="B50:C50"/>
    <mergeCell ref="B51:C51"/>
    <mergeCell ref="B52:C52"/>
    <mergeCell ref="B53:C53"/>
    <mergeCell ref="B54:C54"/>
    <mergeCell ref="P27:P33"/>
    <mergeCell ref="C41:F41"/>
    <mergeCell ref="P41:P47"/>
    <mergeCell ref="B42:C42"/>
    <mergeCell ref="B43:C43"/>
    <mergeCell ref="B44:C44"/>
    <mergeCell ref="B45:C45"/>
    <mergeCell ref="C73:F73"/>
    <mergeCell ref="P73:P81"/>
    <mergeCell ref="B74:C74"/>
    <mergeCell ref="B75:C75"/>
    <mergeCell ref="B76:C76"/>
    <mergeCell ref="B77:C77"/>
    <mergeCell ref="B78:C78"/>
    <mergeCell ref="B79:C79"/>
    <mergeCell ref="B80:C80"/>
    <mergeCell ref="B81:C81"/>
    <mergeCell ref="C64:F64"/>
    <mergeCell ref="P64:P72"/>
    <mergeCell ref="B65:C65"/>
    <mergeCell ref="B66:C66"/>
    <mergeCell ref="B67:C67"/>
    <mergeCell ref="B68:C68"/>
    <mergeCell ref="B69:C69"/>
    <mergeCell ref="B70:C70"/>
    <mergeCell ref="B71:C71"/>
    <mergeCell ref="B72:C72"/>
    <mergeCell ref="C123:F123"/>
    <mergeCell ref="P123:P132"/>
    <mergeCell ref="B124:C124"/>
    <mergeCell ref="B125:C125"/>
    <mergeCell ref="B127:C127"/>
    <mergeCell ref="B128:C128"/>
    <mergeCell ref="B129:C129"/>
    <mergeCell ref="B132:C132"/>
    <mergeCell ref="B130:C130"/>
    <mergeCell ref="B131:C131"/>
    <mergeCell ref="B126:C126"/>
    <mergeCell ref="B136:C136"/>
    <mergeCell ref="C133:F133"/>
    <mergeCell ref="B87:C87"/>
    <mergeCell ref="B88:C88"/>
    <mergeCell ref="B89:C89"/>
    <mergeCell ref="B90:C90"/>
    <mergeCell ref="B95:C95"/>
    <mergeCell ref="B96:C96"/>
    <mergeCell ref="B97:C97"/>
    <mergeCell ref="B98:C98"/>
    <mergeCell ref="B120:C120"/>
    <mergeCell ref="C91:F91"/>
    <mergeCell ref="B92:C92"/>
    <mergeCell ref="B93:C93"/>
    <mergeCell ref="B94:C94"/>
    <mergeCell ref="P107:P114"/>
    <mergeCell ref="B108:C108"/>
    <mergeCell ref="B109:C109"/>
    <mergeCell ref="B110:C110"/>
    <mergeCell ref="B111:C111"/>
    <mergeCell ref="B112:C112"/>
    <mergeCell ref="P143:P147"/>
    <mergeCell ref="B144:C144"/>
    <mergeCell ref="B145:C145"/>
    <mergeCell ref="B146:C146"/>
    <mergeCell ref="C153:F153"/>
    <mergeCell ref="P153:P157"/>
    <mergeCell ref="B154:C154"/>
    <mergeCell ref="B155:C155"/>
    <mergeCell ref="B156:C156"/>
    <mergeCell ref="P148:P152"/>
    <mergeCell ref="B147:C147"/>
    <mergeCell ref="C143:F143"/>
    <mergeCell ref="B157:C157"/>
    <mergeCell ref="C158:F158"/>
    <mergeCell ref="P133:P142"/>
    <mergeCell ref="B134:C134"/>
    <mergeCell ref="B135:C135"/>
    <mergeCell ref="B137:C137"/>
    <mergeCell ref="B138:C138"/>
    <mergeCell ref="B139:C139"/>
    <mergeCell ref="B140:C140"/>
    <mergeCell ref="B141:C141"/>
    <mergeCell ref="B142:C142"/>
    <mergeCell ref="P168:P172"/>
    <mergeCell ref="B169:C169"/>
    <mergeCell ref="B170:C170"/>
    <mergeCell ref="B171:C171"/>
    <mergeCell ref="B172:C172"/>
    <mergeCell ref="C173:F173"/>
    <mergeCell ref="P173:P177"/>
    <mergeCell ref="B174:C174"/>
    <mergeCell ref="B175:C175"/>
    <mergeCell ref="B176:C176"/>
    <mergeCell ref="P163:P167"/>
    <mergeCell ref="B164:C164"/>
    <mergeCell ref="B165:C165"/>
    <mergeCell ref="B166:C166"/>
    <mergeCell ref="B167:C167"/>
    <mergeCell ref="P158:P162"/>
    <mergeCell ref="B159:C159"/>
    <mergeCell ref="B160:C160"/>
    <mergeCell ref="B161:C161"/>
    <mergeCell ref="B162:C162"/>
    <mergeCell ref="B187:C187"/>
    <mergeCell ref="C188:F188"/>
    <mergeCell ref="P188:P192"/>
    <mergeCell ref="B189:C189"/>
    <mergeCell ref="B190:C190"/>
    <mergeCell ref="B191:C191"/>
    <mergeCell ref="B192:C192"/>
    <mergeCell ref="B196:C196"/>
    <mergeCell ref="P178:P182"/>
    <mergeCell ref="B179:C179"/>
    <mergeCell ref="B180:C180"/>
    <mergeCell ref="B181:C181"/>
    <mergeCell ref="B182:C182"/>
    <mergeCell ref="C183:F183"/>
    <mergeCell ref="P183:P187"/>
    <mergeCell ref="B184:C184"/>
    <mergeCell ref="B185:C185"/>
    <mergeCell ref="B186:C186"/>
    <mergeCell ref="C193:F193"/>
    <mergeCell ref="P193:P202"/>
    <mergeCell ref="B194:C194"/>
    <mergeCell ref="B195:C195"/>
    <mergeCell ref="B197:C197"/>
    <mergeCell ref="B198:C198"/>
    <mergeCell ref="B199:C199"/>
    <mergeCell ref="B200:C200"/>
    <mergeCell ref="B201:C201"/>
    <mergeCell ref="B202:C202"/>
    <mergeCell ref="P249:P257"/>
    <mergeCell ref="B264:C264"/>
    <mergeCell ref="B217:C217"/>
    <mergeCell ref="C218:F218"/>
    <mergeCell ref="B212:C212"/>
    <mergeCell ref="C213:F213"/>
    <mergeCell ref="P213:P217"/>
    <mergeCell ref="B214:C214"/>
    <mergeCell ref="B215:C215"/>
    <mergeCell ref="B247:C247"/>
    <mergeCell ref="B256:C256"/>
    <mergeCell ref="C203:F203"/>
    <mergeCell ref="P203:P212"/>
    <mergeCell ref="B204:C204"/>
    <mergeCell ref="B205:C205"/>
    <mergeCell ref="B207:C207"/>
    <mergeCell ref="B208:C208"/>
    <mergeCell ref="B209:C209"/>
    <mergeCell ref="B210:C210"/>
    <mergeCell ref="B211:C211"/>
    <mergeCell ref="B220:C220"/>
    <mergeCell ref="B221:C221"/>
    <mergeCell ref="B206:C206"/>
    <mergeCell ref="B216:C216"/>
    <mergeCell ref="C389:F389"/>
    <mergeCell ref="P389:P391"/>
    <mergeCell ref="B390:C390"/>
    <mergeCell ref="B391:C391"/>
    <mergeCell ref="B265:C265"/>
    <mergeCell ref="B266:C266"/>
    <mergeCell ref="B267:C267"/>
    <mergeCell ref="C263:F263"/>
    <mergeCell ref="B222:C222"/>
    <mergeCell ref="C223:F223"/>
    <mergeCell ref="P223:P227"/>
    <mergeCell ref="B224:C224"/>
    <mergeCell ref="P268:P272"/>
    <mergeCell ref="B269:C269"/>
    <mergeCell ref="B270:C270"/>
    <mergeCell ref="B271:C271"/>
    <mergeCell ref="B272:C272"/>
    <mergeCell ref="C268:F268"/>
    <mergeCell ref="P273:P279"/>
    <mergeCell ref="B274:C274"/>
    <mergeCell ref="P329:P334"/>
    <mergeCell ref="B330:C330"/>
    <mergeCell ref="B331:C331"/>
    <mergeCell ref="B332:C332"/>
    <mergeCell ref="C301:F301"/>
    <mergeCell ref="P218:P222"/>
    <mergeCell ref="B219:C219"/>
    <mergeCell ref="B245:C245"/>
    <mergeCell ref="B246:C246"/>
    <mergeCell ref="B248:C248"/>
    <mergeCell ref="B243:C243"/>
    <mergeCell ref="C240:F240"/>
    <mergeCell ref="C396:F396"/>
    <mergeCell ref="P392:P395"/>
    <mergeCell ref="P396:P399"/>
    <mergeCell ref="B397:C397"/>
    <mergeCell ref="B399:C399"/>
    <mergeCell ref="B394:C394"/>
    <mergeCell ref="B395:C395"/>
    <mergeCell ref="C484:F484"/>
    <mergeCell ref="P445:P449"/>
    <mergeCell ref="B225:C225"/>
    <mergeCell ref="B226:C226"/>
    <mergeCell ref="B227:C227"/>
    <mergeCell ref="P228:P232"/>
    <mergeCell ref="B250:C250"/>
    <mergeCell ref="B251:C251"/>
    <mergeCell ref="B252:C252"/>
    <mergeCell ref="B253:C253"/>
    <mergeCell ref="B254:C254"/>
    <mergeCell ref="B255:C255"/>
    <mergeCell ref="B257:C257"/>
    <mergeCell ref="C249:F249"/>
    <mergeCell ref="P258:P262"/>
    <mergeCell ref="B259:C259"/>
    <mergeCell ref="B260:C260"/>
    <mergeCell ref="B261:C261"/>
    <mergeCell ref="B262:C262"/>
    <mergeCell ref="C258:F258"/>
    <mergeCell ref="P263:P267"/>
    <mergeCell ref="B393:C393"/>
    <mergeCell ref="B275:C275"/>
    <mergeCell ref="B276:C276"/>
    <mergeCell ref="B279:C279"/>
    <mergeCell ref="B1:O1"/>
    <mergeCell ref="C461:F461"/>
    <mergeCell ref="P461:P463"/>
    <mergeCell ref="B462:C462"/>
    <mergeCell ref="B463:C463"/>
    <mergeCell ref="C458:F458"/>
    <mergeCell ref="P458:P460"/>
    <mergeCell ref="B459:C459"/>
    <mergeCell ref="B460:C460"/>
    <mergeCell ref="B453:C453"/>
    <mergeCell ref="B456:C456"/>
    <mergeCell ref="B457:C457"/>
    <mergeCell ref="B449:C449"/>
    <mergeCell ref="C450:F450"/>
    <mergeCell ref="B451:C451"/>
    <mergeCell ref="B452:C452"/>
    <mergeCell ref="C454:F454"/>
    <mergeCell ref="C445:F445"/>
    <mergeCell ref="C34:F34"/>
    <mergeCell ref="P34:P40"/>
    <mergeCell ref="B35:C35"/>
    <mergeCell ref="B36:C36"/>
    <mergeCell ref="B37:C37"/>
    <mergeCell ref="B38:C38"/>
    <mergeCell ref="B422:C422"/>
    <mergeCell ref="C413:F413"/>
    <mergeCell ref="P413:P418"/>
    <mergeCell ref="P91:P98"/>
    <mergeCell ref="B121:C121"/>
    <mergeCell ref="C99:F99"/>
    <mergeCell ref="B122:C122"/>
    <mergeCell ref="P335:P340"/>
    <mergeCell ref="B1179:C1179"/>
    <mergeCell ref="B1180:C1180"/>
    <mergeCell ref="B1181:C1181"/>
    <mergeCell ref="B1182:C1182"/>
    <mergeCell ref="B1183:C1183"/>
    <mergeCell ref="C1135:F1135"/>
    <mergeCell ref="P1142:P1148"/>
    <mergeCell ref="B1143:C1143"/>
    <mergeCell ref="B1144:C1144"/>
    <mergeCell ref="B1145:C1145"/>
    <mergeCell ref="B1146:C1146"/>
    <mergeCell ref="B1147:C1147"/>
    <mergeCell ref="B1138:C1138"/>
    <mergeCell ref="B1141:C1141"/>
    <mergeCell ref="B1139:C1139"/>
    <mergeCell ref="B1140:C1140"/>
    <mergeCell ref="P1156:P1162"/>
    <mergeCell ref="B1157:C1157"/>
    <mergeCell ref="B1158:C1158"/>
    <mergeCell ref="B1160:C1160"/>
    <mergeCell ref="B1161:C1161"/>
    <mergeCell ref="B1162:C1162"/>
    <mergeCell ref="B1148:C1148"/>
    <mergeCell ref="C1149:F1149"/>
    <mergeCell ref="P1149:P1155"/>
    <mergeCell ref="B1150:C1150"/>
    <mergeCell ref="B1151:C1151"/>
    <mergeCell ref="B1152:C1152"/>
    <mergeCell ref="B1153:C1153"/>
    <mergeCell ref="B1154:C1154"/>
    <mergeCell ref="C1198:F1198"/>
    <mergeCell ref="P1198:P1204"/>
    <mergeCell ref="B1199:C1199"/>
    <mergeCell ref="B1200:C1200"/>
    <mergeCell ref="B1201:C1201"/>
    <mergeCell ref="B1202:C1202"/>
    <mergeCell ref="B1203:C1203"/>
    <mergeCell ref="B1204:C1204"/>
    <mergeCell ref="B1165:C1165"/>
    <mergeCell ref="B1166:C1166"/>
    <mergeCell ref="B1167:C1167"/>
    <mergeCell ref="B1168:C1168"/>
    <mergeCell ref="B1169:C1169"/>
    <mergeCell ref="C1191:F1191"/>
    <mergeCell ref="P1191:P1197"/>
    <mergeCell ref="B1192:C1192"/>
    <mergeCell ref="B1193:C1193"/>
    <mergeCell ref="B1194:C1194"/>
    <mergeCell ref="B1195:C1195"/>
    <mergeCell ref="B1196:C1196"/>
    <mergeCell ref="B1197:C1197"/>
    <mergeCell ref="C1184:F1184"/>
    <mergeCell ref="P1184:P1190"/>
    <mergeCell ref="B1185:C1185"/>
    <mergeCell ref="B1186:C1186"/>
    <mergeCell ref="B1187:C1187"/>
    <mergeCell ref="B1188:C1188"/>
    <mergeCell ref="B1189:C1189"/>
    <mergeCell ref="B1190:C1190"/>
    <mergeCell ref="C1177:F1177"/>
    <mergeCell ref="P1177:P1183"/>
    <mergeCell ref="B1178:C1178"/>
    <mergeCell ref="C1219:F1219"/>
    <mergeCell ref="P1219:P1225"/>
    <mergeCell ref="B1220:C1220"/>
    <mergeCell ref="B1221:C1221"/>
    <mergeCell ref="B1222:C1222"/>
    <mergeCell ref="B1223:C1223"/>
    <mergeCell ref="B1224:C1224"/>
    <mergeCell ref="B1225:C1225"/>
    <mergeCell ref="C1212:F1212"/>
    <mergeCell ref="P1212:P1218"/>
    <mergeCell ref="B1213:C1213"/>
    <mergeCell ref="B1214:C1214"/>
    <mergeCell ref="B1215:C1215"/>
    <mergeCell ref="B1216:C1216"/>
    <mergeCell ref="B1217:C1217"/>
    <mergeCell ref="B1218:C1218"/>
    <mergeCell ref="C1205:F1205"/>
    <mergeCell ref="P1205:P1211"/>
    <mergeCell ref="B1206:C1206"/>
    <mergeCell ref="B1207:C1207"/>
    <mergeCell ref="B1208:C1208"/>
    <mergeCell ref="B1209:C1209"/>
    <mergeCell ref="B1210:C1210"/>
    <mergeCell ref="B1211:C1211"/>
    <mergeCell ref="C1240:F1240"/>
    <mergeCell ref="P1240:P1246"/>
    <mergeCell ref="B1241:C1241"/>
    <mergeCell ref="B1242:C1242"/>
    <mergeCell ref="B1243:C1243"/>
    <mergeCell ref="B1244:C1244"/>
    <mergeCell ref="B1245:C1245"/>
    <mergeCell ref="B1246:C1246"/>
    <mergeCell ref="C1233:F1233"/>
    <mergeCell ref="P1233:P1239"/>
    <mergeCell ref="B1234:C1234"/>
    <mergeCell ref="B1235:C1235"/>
    <mergeCell ref="B1236:C1236"/>
    <mergeCell ref="B1237:C1237"/>
    <mergeCell ref="B1238:C1238"/>
    <mergeCell ref="B1239:C1239"/>
    <mergeCell ref="C1226:F1226"/>
    <mergeCell ref="P1226:P1232"/>
    <mergeCell ref="B1227:C1227"/>
    <mergeCell ref="B1228:C1228"/>
    <mergeCell ref="B1229:C1229"/>
    <mergeCell ref="B1230:C1230"/>
    <mergeCell ref="B1231:C1231"/>
    <mergeCell ref="B1232:C1232"/>
    <mergeCell ref="C1257:F1257"/>
    <mergeCell ref="P1257:P1263"/>
    <mergeCell ref="B1258:C1258"/>
    <mergeCell ref="B1259:C1259"/>
    <mergeCell ref="B1260:C1260"/>
    <mergeCell ref="B1263:C1263"/>
    <mergeCell ref="B1261:C1261"/>
    <mergeCell ref="B1262:C1262"/>
    <mergeCell ref="C1250:F1250"/>
    <mergeCell ref="P1250:P1256"/>
    <mergeCell ref="B1251:C1251"/>
    <mergeCell ref="B1256:C1256"/>
    <mergeCell ref="B1252:C1252"/>
    <mergeCell ref="B1253:C1253"/>
    <mergeCell ref="B1255:C1255"/>
    <mergeCell ref="B1254:C1254"/>
    <mergeCell ref="C1247:F1247"/>
    <mergeCell ref="P1247:P1249"/>
    <mergeCell ref="B1248:C1248"/>
    <mergeCell ref="B1249:C1249"/>
    <mergeCell ref="B1296:C1296"/>
    <mergeCell ref="C1283:F1283"/>
    <mergeCell ref="P1283:P1285"/>
    <mergeCell ref="B1284:C1284"/>
    <mergeCell ref="B1285:C1285"/>
    <mergeCell ref="B1287:C1287"/>
    <mergeCell ref="C1289:F1289"/>
    <mergeCell ref="P1289:P1291"/>
    <mergeCell ref="C1274:F1274"/>
    <mergeCell ref="P1274:P1276"/>
    <mergeCell ref="B1275:C1275"/>
    <mergeCell ref="B1276:C1276"/>
    <mergeCell ref="C1271:F1271"/>
    <mergeCell ref="P1271:P1273"/>
    <mergeCell ref="B1272:C1272"/>
    <mergeCell ref="B1273:C1273"/>
    <mergeCell ref="C1264:F1264"/>
    <mergeCell ref="P1264:P1270"/>
    <mergeCell ref="B1265:C1265"/>
    <mergeCell ref="B1266:C1266"/>
    <mergeCell ref="B1267:C1267"/>
    <mergeCell ref="B1270:C1270"/>
    <mergeCell ref="B1268:C1268"/>
    <mergeCell ref="B1269:C1269"/>
    <mergeCell ref="C1316:F1316"/>
    <mergeCell ref="P1316:P1318"/>
    <mergeCell ref="B1317:C1317"/>
    <mergeCell ref="B1318:C1318"/>
    <mergeCell ref="C1328:F1328"/>
    <mergeCell ref="P1328:P1330"/>
    <mergeCell ref="B1329:C1329"/>
    <mergeCell ref="B1330:C1330"/>
    <mergeCell ref="C1286:F1286"/>
    <mergeCell ref="P1286:P1288"/>
    <mergeCell ref="C1280:F1280"/>
    <mergeCell ref="P1280:P1282"/>
    <mergeCell ref="B1281:C1281"/>
    <mergeCell ref="B1282:C1282"/>
    <mergeCell ref="C1277:F1277"/>
    <mergeCell ref="P1277:P1279"/>
    <mergeCell ref="B1278:C1278"/>
    <mergeCell ref="B1279:C1279"/>
    <mergeCell ref="C1301:F1301"/>
    <mergeCell ref="P1301:P1303"/>
    <mergeCell ref="B1302:C1302"/>
    <mergeCell ref="B1303:C1303"/>
    <mergeCell ref="C1304:F1304"/>
    <mergeCell ref="P1304:P1306"/>
    <mergeCell ref="B1305:C1305"/>
    <mergeCell ref="B1306:C1306"/>
    <mergeCell ref="C1292:F1292"/>
    <mergeCell ref="P1292:P1294"/>
    <mergeCell ref="B1293:C1293"/>
    <mergeCell ref="B1294:C1294"/>
    <mergeCell ref="C1295:F1295"/>
    <mergeCell ref="P1295:P1297"/>
    <mergeCell ref="C1331:F1331"/>
    <mergeCell ref="P1331:P1333"/>
    <mergeCell ref="B1332:C1332"/>
    <mergeCell ref="B1333:C1333"/>
    <mergeCell ref="C1322:F1322"/>
    <mergeCell ref="P1322:P1324"/>
    <mergeCell ref="B1323:C1323"/>
    <mergeCell ref="B1324:C1324"/>
    <mergeCell ref="C1325:F1325"/>
    <mergeCell ref="P1325:P1327"/>
    <mergeCell ref="B1326:C1326"/>
    <mergeCell ref="B1327:C1327"/>
    <mergeCell ref="C1319:F1319"/>
    <mergeCell ref="P1319:P1321"/>
    <mergeCell ref="B1320:C1320"/>
    <mergeCell ref="B1321:C1321"/>
    <mergeCell ref="B1359:C1359"/>
    <mergeCell ref="B1360:C1360"/>
    <mergeCell ref="B1384:C1384"/>
    <mergeCell ref="C1445:F1445"/>
    <mergeCell ref="P1445:P1447"/>
    <mergeCell ref="B1446:C1446"/>
    <mergeCell ref="B1447:C1447"/>
    <mergeCell ref="C1334:F1334"/>
    <mergeCell ref="P1334:P1336"/>
    <mergeCell ref="B1335:C1335"/>
    <mergeCell ref="B1336:C1336"/>
    <mergeCell ref="C1415:F1415"/>
    <mergeCell ref="C1358:F1358"/>
    <mergeCell ref="P1358:P1360"/>
    <mergeCell ref="C1367:F1367"/>
    <mergeCell ref="P1367:P1369"/>
    <mergeCell ref="B1368:C1368"/>
    <mergeCell ref="B1369:C1369"/>
    <mergeCell ref="P1364:P1366"/>
    <mergeCell ref="B1365:C1365"/>
    <mergeCell ref="B1366:C1366"/>
    <mergeCell ref="C1364:F1364"/>
    <mergeCell ref="C1370:F1370"/>
    <mergeCell ref="P1370:P1372"/>
    <mergeCell ref="B1371:C1371"/>
    <mergeCell ref="C1361:F1361"/>
    <mergeCell ref="P1361:P1363"/>
    <mergeCell ref="B1362:C1362"/>
    <mergeCell ref="B1363:C1363"/>
    <mergeCell ref="C1352:F1352"/>
    <mergeCell ref="P1352:P1354"/>
    <mergeCell ref="B1353:C1353"/>
    <mergeCell ref="C1379:F1379"/>
    <mergeCell ref="B1419:C1419"/>
    <mergeCell ref="B1420:C1420"/>
    <mergeCell ref="C1421:F1421"/>
    <mergeCell ref="P1421:P1423"/>
    <mergeCell ref="B1422:C1422"/>
    <mergeCell ref="B1423:C1423"/>
    <mergeCell ref="C1457:F1457"/>
    <mergeCell ref="P1457:P1459"/>
    <mergeCell ref="B1458:C1458"/>
    <mergeCell ref="B1459:C1459"/>
    <mergeCell ref="C1454:F1454"/>
    <mergeCell ref="P1454:P1456"/>
    <mergeCell ref="B1455:C1455"/>
    <mergeCell ref="B1456:C1456"/>
    <mergeCell ref="C1451:F1451"/>
    <mergeCell ref="P1451:P1453"/>
    <mergeCell ref="B1452:C1452"/>
    <mergeCell ref="B1453:C1453"/>
    <mergeCell ref="C1448:F1448"/>
    <mergeCell ref="P1448:P1450"/>
    <mergeCell ref="B1449:C1449"/>
    <mergeCell ref="B1450:C1450"/>
    <mergeCell ref="C1424:F1424"/>
    <mergeCell ref="P1424:P1426"/>
    <mergeCell ref="B1425:C1425"/>
    <mergeCell ref="B1426:C1426"/>
    <mergeCell ref="P1427:P1429"/>
    <mergeCell ref="B1428:C1428"/>
    <mergeCell ref="P1430:P1432"/>
    <mergeCell ref="B1440:C1440"/>
    <mergeCell ref="B1441:C1441"/>
    <mergeCell ref="C1436:F1436"/>
    <mergeCell ref="C1510:F1510"/>
    <mergeCell ref="P1510:P1512"/>
    <mergeCell ref="B1511:C1511"/>
    <mergeCell ref="B1512:C1512"/>
    <mergeCell ref="B1509:C1509"/>
    <mergeCell ref="P1504:P1506"/>
    <mergeCell ref="B1505:C1505"/>
    <mergeCell ref="B1506:C1506"/>
    <mergeCell ref="B1508:C1508"/>
    <mergeCell ref="C1504:F1504"/>
    <mergeCell ref="B1583:C1583"/>
    <mergeCell ref="C1540:F1540"/>
    <mergeCell ref="P1540:P1544"/>
    <mergeCell ref="B1541:C1541"/>
    <mergeCell ref="B1542:C1542"/>
    <mergeCell ref="B1543:C1543"/>
    <mergeCell ref="B1544:C1544"/>
    <mergeCell ref="C1551:F1551"/>
    <mergeCell ref="P1551:P1556"/>
    <mergeCell ref="B1552:C1552"/>
    <mergeCell ref="B1553:C1553"/>
    <mergeCell ref="B1554:C1554"/>
    <mergeCell ref="B1555:C1555"/>
    <mergeCell ref="B1556:C1556"/>
    <mergeCell ref="C1563:F1563"/>
    <mergeCell ref="B1547:C1547"/>
    <mergeCell ref="B1548:C1548"/>
    <mergeCell ref="B1549:C1549"/>
    <mergeCell ref="B1550:C1550"/>
    <mergeCell ref="B1567:C1567"/>
    <mergeCell ref="C1545:F1545"/>
    <mergeCell ref="C1581:F1581"/>
    <mergeCell ref="C1593:F1593"/>
    <mergeCell ref="P1593:P1598"/>
    <mergeCell ref="B1594:C1594"/>
    <mergeCell ref="B1595:C1595"/>
    <mergeCell ref="B1596:C1596"/>
    <mergeCell ref="B1597:C1597"/>
    <mergeCell ref="B1598:C1598"/>
    <mergeCell ref="B1613:C1613"/>
    <mergeCell ref="B1614:C1614"/>
    <mergeCell ref="B1615:C1615"/>
    <mergeCell ref="C1587:F1587"/>
    <mergeCell ref="P1587:P1592"/>
    <mergeCell ref="B1588:C1588"/>
    <mergeCell ref="B1589:C1589"/>
    <mergeCell ref="B1590:C1590"/>
    <mergeCell ref="B1591:C1591"/>
    <mergeCell ref="B1592:C1592"/>
    <mergeCell ref="P1581:P1586"/>
    <mergeCell ref="B1582:C1582"/>
    <mergeCell ref="B1584:C1584"/>
    <mergeCell ref="B1585:C1585"/>
    <mergeCell ref="B1603:C1603"/>
    <mergeCell ref="B1604:C1604"/>
    <mergeCell ref="B1637:C1637"/>
    <mergeCell ref="B1639:C1639"/>
    <mergeCell ref="B1640:C1640"/>
    <mergeCell ref="B1641:C1641"/>
    <mergeCell ref="B1638:C1638"/>
    <mergeCell ref="B1625:C1625"/>
    <mergeCell ref="B1626:C1626"/>
    <mergeCell ref="B1627:C1627"/>
    <mergeCell ref="B1628:C1628"/>
    <mergeCell ref="C1617:F1617"/>
    <mergeCell ref="B1672:C1672"/>
    <mergeCell ref="P1653:P1658"/>
    <mergeCell ref="P1642:P1646"/>
    <mergeCell ref="B1644:C1644"/>
    <mergeCell ref="P1665:P1670"/>
    <mergeCell ref="B1666:C1666"/>
    <mergeCell ref="B1667:C1667"/>
    <mergeCell ref="B1668:C1668"/>
    <mergeCell ref="B1669:C1669"/>
    <mergeCell ref="B1630:C1630"/>
    <mergeCell ref="B1631:C1631"/>
    <mergeCell ref="B1632:C1632"/>
    <mergeCell ref="B1634:C1634"/>
    <mergeCell ref="B1633:C1633"/>
    <mergeCell ref="C1635:F1635"/>
    <mergeCell ref="P1635:P1641"/>
    <mergeCell ref="B1568:C1568"/>
    <mergeCell ref="C1569:F1569"/>
    <mergeCell ref="B1572:C1572"/>
    <mergeCell ref="B1573:C1573"/>
    <mergeCell ref="B1574:C1574"/>
    <mergeCell ref="P1714:P1722"/>
    <mergeCell ref="B1715:C1715"/>
    <mergeCell ref="B1717:C1717"/>
    <mergeCell ref="B1718:C1718"/>
    <mergeCell ref="B1719:C1719"/>
    <mergeCell ref="B1720:C1720"/>
    <mergeCell ref="B1721:C1721"/>
    <mergeCell ref="B1722:C1722"/>
    <mergeCell ref="B1710:C1710"/>
    <mergeCell ref="B1712:C1712"/>
    <mergeCell ref="P1704:P1713"/>
    <mergeCell ref="B1713:C1713"/>
    <mergeCell ref="C1704:F1704"/>
    <mergeCell ref="B1705:C1705"/>
    <mergeCell ref="B1707:C1707"/>
    <mergeCell ref="B1708:C1708"/>
    <mergeCell ref="B1709:C1709"/>
    <mergeCell ref="B1706:C1706"/>
    <mergeCell ref="B1711:C1711"/>
    <mergeCell ref="B1716:C1716"/>
    <mergeCell ref="C1714:F1714"/>
    <mergeCell ref="B1645:C1645"/>
    <mergeCell ref="B1664:C1664"/>
    <mergeCell ref="B1646:C1646"/>
    <mergeCell ref="P1647:P1652"/>
    <mergeCell ref="P1659:P1664"/>
    <mergeCell ref="C1665:F1665"/>
    <mergeCell ref="P1733:P1741"/>
    <mergeCell ref="B1734:C1734"/>
    <mergeCell ref="B1736:C1736"/>
    <mergeCell ref="B1737:C1737"/>
    <mergeCell ref="B1738:C1738"/>
    <mergeCell ref="B1739:C1739"/>
    <mergeCell ref="B1740:C1740"/>
    <mergeCell ref="B1741:C1741"/>
    <mergeCell ref="B1735:C1735"/>
    <mergeCell ref="C1733:F1733"/>
    <mergeCell ref="P1723:P1732"/>
    <mergeCell ref="B1724:C1724"/>
    <mergeCell ref="B1726:C1726"/>
    <mergeCell ref="B1727:C1727"/>
    <mergeCell ref="B1728:C1728"/>
    <mergeCell ref="B1729:C1729"/>
    <mergeCell ref="B1731:C1731"/>
    <mergeCell ref="B1732:C1732"/>
    <mergeCell ref="B1725:C1725"/>
    <mergeCell ref="B1730:C1730"/>
    <mergeCell ref="C1723:F1723"/>
    <mergeCell ref="P1752:P1760"/>
    <mergeCell ref="B1753:C1753"/>
    <mergeCell ref="B1755:C1755"/>
    <mergeCell ref="B1756:C1756"/>
    <mergeCell ref="B1757:C1757"/>
    <mergeCell ref="B1758:C1758"/>
    <mergeCell ref="B1759:C1759"/>
    <mergeCell ref="B1760:C1760"/>
    <mergeCell ref="P1742:P1751"/>
    <mergeCell ref="B1743:C1743"/>
    <mergeCell ref="B1745:C1745"/>
    <mergeCell ref="B1746:C1746"/>
    <mergeCell ref="B1747:C1747"/>
    <mergeCell ref="B1748:C1748"/>
    <mergeCell ref="B1750:C1750"/>
    <mergeCell ref="B1751:C1751"/>
    <mergeCell ref="B1744:C1744"/>
    <mergeCell ref="C1742:F1742"/>
    <mergeCell ref="C1771:F1771"/>
    <mergeCell ref="P1771:P1779"/>
    <mergeCell ref="B1772:C1772"/>
    <mergeCell ref="B1774:C1774"/>
    <mergeCell ref="B1775:C1775"/>
    <mergeCell ref="B1776:C1776"/>
    <mergeCell ref="B1777:C1777"/>
    <mergeCell ref="B1778:C1778"/>
    <mergeCell ref="B1779:C1779"/>
    <mergeCell ref="B1773:C1773"/>
    <mergeCell ref="B1787:C1787"/>
    <mergeCell ref="P1761:P1770"/>
    <mergeCell ref="B1762:C1762"/>
    <mergeCell ref="B1764:C1764"/>
    <mergeCell ref="B1765:C1765"/>
    <mergeCell ref="B1766:C1766"/>
    <mergeCell ref="B1767:C1767"/>
    <mergeCell ref="B1769:C1769"/>
    <mergeCell ref="B1770:C1770"/>
    <mergeCell ref="C1761:F1761"/>
    <mergeCell ref="P1790:P1798"/>
    <mergeCell ref="B1791:C1791"/>
    <mergeCell ref="B1793:C1793"/>
    <mergeCell ref="B1794:C1794"/>
    <mergeCell ref="B1795:C1795"/>
    <mergeCell ref="B1796:C1796"/>
    <mergeCell ref="B1797:C1797"/>
    <mergeCell ref="B1798:C1798"/>
    <mergeCell ref="C1790:F1790"/>
    <mergeCell ref="B1792:C1792"/>
    <mergeCell ref="B1801:C1801"/>
    <mergeCell ref="B1806:C1806"/>
    <mergeCell ref="P1780:P1789"/>
    <mergeCell ref="B1781:C1781"/>
    <mergeCell ref="B1783:C1783"/>
    <mergeCell ref="B1784:C1784"/>
    <mergeCell ref="B1785:C1785"/>
    <mergeCell ref="B1786:C1786"/>
    <mergeCell ref="B1788:C1788"/>
    <mergeCell ref="B1789:C1789"/>
    <mergeCell ref="B1782:C1782"/>
    <mergeCell ref="P1809:P1817"/>
    <mergeCell ref="B1810:C1810"/>
    <mergeCell ref="B1812:C1812"/>
    <mergeCell ref="B1813:C1813"/>
    <mergeCell ref="B1814:C1814"/>
    <mergeCell ref="B1815:C1815"/>
    <mergeCell ref="B1816:C1816"/>
    <mergeCell ref="B1817:C1817"/>
    <mergeCell ref="B1811:C1811"/>
    <mergeCell ref="C1809:F1809"/>
    <mergeCell ref="C1818:F1818"/>
    <mergeCell ref="P1799:P1808"/>
    <mergeCell ref="B1800:C1800"/>
    <mergeCell ref="B1802:C1802"/>
    <mergeCell ref="B1803:C1803"/>
    <mergeCell ref="B1804:C1804"/>
    <mergeCell ref="B1805:C1805"/>
    <mergeCell ref="B1807:C1807"/>
    <mergeCell ref="B1808:C1808"/>
    <mergeCell ref="C1799:F1799"/>
    <mergeCell ref="P1828:P1837"/>
    <mergeCell ref="B1829:C1829"/>
    <mergeCell ref="B1831:C1831"/>
    <mergeCell ref="B1832:C1832"/>
    <mergeCell ref="B1833:C1833"/>
    <mergeCell ref="B1834:C1834"/>
    <mergeCell ref="B1835:C1835"/>
    <mergeCell ref="B1837:C1837"/>
    <mergeCell ref="B1836:C1836"/>
    <mergeCell ref="B1830:C1830"/>
    <mergeCell ref="B1840:C1840"/>
    <mergeCell ref="C1828:F1828"/>
    <mergeCell ref="C1838:F1838"/>
    <mergeCell ref="P1818:P1827"/>
    <mergeCell ref="B1819:C1819"/>
    <mergeCell ref="B1821:C1821"/>
    <mergeCell ref="B1822:C1822"/>
    <mergeCell ref="B1823:C1823"/>
    <mergeCell ref="B1824:C1824"/>
    <mergeCell ref="B1826:C1826"/>
    <mergeCell ref="B1827:C1827"/>
    <mergeCell ref="B1820:C1820"/>
    <mergeCell ref="P1848:P1857"/>
    <mergeCell ref="B1849:C1849"/>
    <mergeCell ref="B1851:C1851"/>
    <mergeCell ref="B1852:C1852"/>
    <mergeCell ref="B1853:C1853"/>
    <mergeCell ref="B1854:C1854"/>
    <mergeCell ref="B1855:C1855"/>
    <mergeCell ref="B1856:C1856"/>
    <mergeCell ref="B1857:C1857"/>
    <mergeCell ref="B1850:C1850"/>
    <mergeCell ref="C1848:F1848"/>
    <mergeCell ref="B1860:C1860"/>
    <mergeCell ref="P1838:P1847"/>
    <mergeCell ref="B1839:C1839"/>
    <mergeCell ref="B1841:C1841"/>
    <mergeCell ref="B1842:C1842"/>
    <mergeCell ref="B1843:C1843"/>
    <mergeCell ref="B1844:C1844"/>
    <mergeCell ref="B1845:C1845"/>
    <mergeCell ref="B1846:C1846"/>
    <mergeCell ref="B1847:C1847"/>
    <mergeCell ref="P1868:P1877"/>
    <mergeCell ref="B1869:C1869"/>
    <mergeCell ref="B1871:C1871"/>
    <mergeCell ref="B1872:C1872"/>
    <mergeCell ref="B1873:C1873"/>
    <mergeCell ref="B1874:C1874"/>
    <mergeCell ref="B1875:C1875"/>
    <mergeCell ref="B1876:C1876"/>
    <mergeCell ref="B1877:C1877"/>
    <mergeCell ref="B1870:C1870"/>
    <mergeCell ref="B1880:C1880"/>
    <mergeCell ref="P1858:P1867"/>
    <mergeCell ref="B1859:C1859"/>
    <mergeCell ref="B1861:C1861"/>
    <mergeCell ref="B1862:C1862"/>
    <mergeCell ref="B1863:C1863"/>
    <mergeCell ref="B1864:C1864"/>
    <mergeCell ref="B1865:C1865"/>
    <mergeCell ref="B1866:C1866"/>
    <mergeCell ref="B1867:C1867"/>
    <mergeCell ref="C1858:F1858"/>
    <mergeCell ref="P1878:P1887"/>
    <mergeCell ref="B1879:C1879"/>
    <mergeCell ref="B1881:C1881"/>
    <mergeCell ref="B1882:C1882"/>
    <mergeCell ref="B1883:C1883"/>
    <mergeCell ref="B1884:C1884"/>
    <mergeCell ref="B1885:C1885"/>
    <mergeCell ref="B1886:C1886"/>
    <mergeCell ref="B1887:C1887"/>
    <mergeCell ref="P1888:P1897"/>
    <mergeCell ref="B1889:C1889"/>
    <mergeCell ref="B1891:C1891"/>
    <mergeCell ref="B1892:C1892"/>
    <mergeCell ref="B1893:C1893"/>
    <mergeCell ref="B1894:C1894"/>
    <mergeCell ref="B1909:C1909"/>
    <mergeCell ref="B1910:C1910"/>
    <mergeCell ref="B1911:C1911"/>
    <mergeCell ref="B1912:C1912"/>
    <mergeCell ref="B1913:C1913"/>
    <mergeCell ref="B1914:C1914"/>
    <mergeCell ref="B1895:C1895"/>
    <mergeCell ref="B1896:C1896"/>
    <mergeCell ref="B1897:C1897"/>
    <mergeCell ref="C1888:F1888"/>
    <mergeCell ref="B1904:C1904"/>
    <mergeCell ref="B1905:C1905"/>
    <mergeCell ref="P1958:P1967"/>
    <mergeCell ref="B1959:C1959"/>
    <mergeCell ref="B1960:C1960"/>
    <mergeCell ref="B1961:C1961"/>
    <mergeCell ref="B1962:C1962"/>
    <mergeCell ref="B1963:C1963"/>
    <mergeCell ref="B1964:C1964"/>
    <mergeCell ref="B1965:C1965"/>
    <mergeCell ref="B1966:C1966"/>
    <mergeCell ref="B1967:C1967"/>
    <mergeCell ref="B1906:C1906"/>
    <mergeCell ref="B1923:C1923"/>
    <mergeCell ref="B1924:C1924"/>
    <mergeCell ref="B1925:C1925"/>
    <mergeCell ref="P1948:P1957"/>
    <mergeCell ref="B1937:C1937"/>
    <mergeCell ref="C1938:F1938"/>
    <mergeCell ref="P1938:P1947"/>
    <mergeCell ref="B1944:C1944"/>
    <mergeCell ref="B1945:C1945"/>
    <mergeCell ref="B1907:C1907"/>
    <mergeCell ref="B1920:C1920"/>
    <mergeCell ref="B1921:C1921"/>
    <mergeCell ref="B1922:C1922"/>
    <mergeCell ref="B1987:C1987"/>
    <mergeCell ref="C1975:F1975"/>
    <mergeCell ref="P1975:P1981"/>
    <mergeCell ref="B1976:C1976"/>
    <mergeCell ref="B1977:C1977"/>
    <mergeCell ref="B1978:C1978"/>
    <mergeCell ref="B1979:C1979"/>
    <mergeCell ref="B1980:C1980"/>
    <mergeCell ref="B1981:C1981"/>
    <mergeCell ref="C1968:F1968"/>
    <mergeCell ref="P1968:P1974"/>
    <mergeCell ref="B1969:C1969"/>
    <mergeCell ref="B1970:C1970"/>
    <mergeCell ref="B1971:C1971"/>
    <mergeCell ref="B1972:C1972"/>
    <mergeCell ref="B1973:C1973"/>
    <mergeCell ref="B1974:C1974"/>
    <mergeCell ref="C2061:F2061"/>
    <mergeCell ref="P2061:P2074"/>
    <mergeCell ref="B2062:C2062"/>
    <mergeCell ref="B2063:C2063"/>
    <mergeCell ref="B2064:C2064"/>
    <mergeCell ref="B2065:C2065"/>
    <mergeCell ref="B2066:C2066"/>
    <mergeCell ref="B2067:C2067"/>
    <mergeCell ref="B2057:C2057"/>
    <mergeCell ref="B2058:C2058"/>
    <mergeCell ref="B2039:C2039"/>
    <mergeCell ref="C2047:F2047"/>
    <mergeCell ref="B2043:C2043"/>
    <mergeCell ref="B2044:C2044"/>
    <mergeCell ref="B2045:C2045"/>
    <mergeCell ref="B2046:C2046"/>
    <mergeCell ref="P2047:P2060"/>
    <mergeCell ref="B2048:C2048"/>
    <mergeCell ref="B2049:C2049"/>
    <mergeCell ref="B2050:C2050"/>
    <mergeCell ref="B2051:C2051"/>
    <mergeCell ref="B2052:C2052"/>
    <mergeCell ref="B2053:C2053"/>
    <mergeCell ref="P2033:P2046"/>
    <mergeCell ref="B2034:C2034"/>
    <mergeCell ref="B2035:C2035"/>
    <mergeCell ref="B2055:C2055"/>
    <mergeCell ref="B2056:C2056"/>
    <mergeCell ref="C2033:F2033"/>
    <mergeCell ref="B2054:C2054"/>
    <mergeCell ref="C1111:F1111"/>
    <mergeCell ref="P1498:P1500"/>
    <mergeCell ref="B1499:C1499"/>
    <mergeCell ref="B1500:C1500"/>
    <mergeCell ref="C1495:F1495"/>
    <mergeCell ref="P1495:P1497"/>
    <mergeCell ref="B1496:C1496"/>
    <mergeCell ref="B1497:C1497"/>
    <mergeCell ref="C1492:F1492"/>
    <mergeCell ref="P1492:P1494"/>
    <mergeCell ref="B1493:C1493"/>
    <mergeCell ref="B1494:C1494"/>
    <mergeCell ref="C1489:F1489"/>
    <mergeCell ref="P1489:P1491"/>
    <mergeCell ref="B1490:C1490"/>
    <mergeCell ref="B1491:C1491"/>
    <mergeCell ref="P1501:P1503"/>
    <mergeCell ref="B1502:C1502"/>
    <mergeCell ref="B1503:C1503"/>
    <mergeCell ref="C1498:F1498"/>
    <mergeCell ref="B1311:C1311"/>
    <mergeCell ref="B1312:C1312"/>
    <mergeCell ref="B1431:C1431"/>
    <mergeCell ref="B1432:C1432"/>
    <mergeCell ref="P1483:P1485"/>
    <mergeCell ref="B1484:C1484"/>
    <mergeCell ref="B1485:C1485"/>
    <mergeCell ref="C1480:F1480"/>
    <mergeCell ref="P1480:P1482"/>
    <mergeCell ref="B1481:C1481"/>
    <mergeCell ref="B1482:C1482"/>
    <mergeCell ref="C1477:F1477"/>
    <mergeCell ref="B537:C537"/>
    <mergeCell ref="C1463:F1463"/>
    <mergeCell ref="P1463:P1465"/>
    <mergeCell ref="B1464:C1464"/>
    <mergeCell ref="B1465:C1465"/>
    <mergeCell ref="C1460:F1460"/>
    <mergeCell ref="P1460:P1462"/>
    <mergeCell ref="B1461:C1461"/>
    <mergeCell ref="B1462:C1462"/>
    <mergeCell ref="C1486:F1486"/>
    <mergeCell ref="P1486:P1488"/>
    <mergeCell ref="B1487:C1487"/>
    <mergeCell ref="B1488:C1488"/>
    <mergeCell ref="B1134:C1134"/>
    <mergeCell ref="C1119:F1119"/>
    <mergeCell ref="P20:P26"/>
    <mergeCell ref="P1101:P1103"/>
    <mergeCell ref="C576:F576"/>
    <mergeCell ref="P576:P578"/>
    <mergeCell ref="B577:C577"/>
    <mergeCell ref="B578:C578"/>
    <mergeCell ref="C579:F579"/>
    <mergeCell ref="P579:P581"/>
    <mergeCell ref="B580:C580"/>
    <mergeCell ref="B581:C581"/>
    <mergeCell ref="C558:F558"/>
    <mergeCell ref="P558:P563"/>
    <mergeCell ref="B559:C559"/>
    <mergeCell ref="B560:C560"/>
    <mergeCell ref="B561:C561"/>
    <mergeCell ref="B562:C562"/>
    <mergeCell ref="B1126:C1126"/>
    <mergeCell ref="P1111:P1118"/>
    <mergeCell ref="B1112:C1112"/>
    <mergeCell ref="B1113:C1113"/>
    <mergeCell ref="B1114:C1114"/>
    <mergeCell ref="C1127:F1127"/>
    <mergeCell ref="P1127:P1134"/>
    <mergeCell ref="B1128:C1128"/>
    <mergeCell ref="B545:C545"/>
    <mergeCell ref="C564:F564"/>
    <mergeCell ref="P564:P566"/>
    <mergeCell ref="B565:C565"/>
    <mergeCell ref="B566:C566"/>
    <mergeCell ref="P294:P300"/>
    <mergeCell ref="B295:C295"/>
    <mergeCell ref="B296:C296"/>
    <mergeCell ref="B297:C297"/>
    <mergeCell ref="B298:C298"/>
    <mergeCell ref="B299:C299"/>
    <mergeCell ref="B300:C300"/>
    <mergeCell ref="C294:F294"/>
    <mergeCell ref="B1067:C1067"/>
    <mergeCell ref="B1049:C1049"/>
    <mergeCell ref="B1053:C1053"/>
    <mergeCell ref="B1061:C1061"/>
    <mergeCell ref="B1062:C1062"/>
    <mergeCell ref="P540:P545"/>
    <mergeCell ref="B544:C544"/>
    <mergeCell ref="P533:P539"/>
    <mergeCell ref="B534:C534"/>
    <mergeCell ref="B535:C535"/>
    <mergeCell ref="B536:C536"/>
    <mergeCell ref="C329:F329"/>
    <mergeCell ref="B113:C113"/>
    <mergeCell ref="B114:C114"/>
    <mergeCell ref="P99:P106"/>
    <mergeCell ref="B100:C100"/>
    <mergeCell ref="C115:F115"/>
    <mergeCell ref="P115:P122"/>
    <mergeCell ref="B116:C116"/>
    <mergeCell ref="B117:C117"/>
    <mergeCell ref="B118:C118"/>
    <mergeCell ref="B119:C119"/>
    <mergeCell ref="B101:C101"/>
    <mergeCell ref="B102:C102"/>
    <mergeCell ref="B103:C103"/>
    <mergeCell ref="B104:C104"/>
    <mergeCell ref="B105:C105"/>
    <mergeCell ref="B106:C106"/>
    <mergeCell ref="C107:F107"/>
    <mergeCell ref="B1115:C1115"/>
    <mergeCell ref="B1116:C1116"/>
    <mergeCell ref="B478:C478"/>
    <mergeCell ref="B894:C894"/>
    <mergeCell ref="B895:C895"/>
    <mergeCell ref="B896:C896"/>
    <mergeCell ref="B807:C807"/>
    <mergeCell ref="C802:F802"/>
    <mergeCell ref="B1118:C1118"/>
    <mergeCell ref="B1117:C1117"/>
    <mergeCell ref="B803:C803"/>
    <mergeCell ref="B472:C472"/>
    <mergeCell ref="B487:C487"/>
    <mergeCell ref="C392:F392"/>
    <mergeCell ref="C567:F567"/>
    <mergeCell ref="C533:F533"/>
    <mergeCell ref="B1068:C1068"/>
    <mergeCell ref="C540:F540"/>
    <mergeCell ref="B541:C541"/>
    <mergeCell ref="B542:C542"/>
    <mergeCell ref="B543:C543"/>
    <mergeCell ref="B784:C784"/>
    <mergeCell ref="B1107:C1107"/>
    <mergeCell ref="B475:C475"/>
    <mergeCell ref="B1100:C1100"/>
    <mergeCell ref="C1101:F1101"/>
    <mergeCell ref="C1098:F1098"/>
    <mergeCell ref="B1046:C1046"/>
    <mergeCell ref="B1064:C1064"/>
    <mergeCell ref="B1065:C1065"/>
    <mergeCell ref="B538:C538"/>
    <mergeCell ref="B539:C539"/>
    <mergeCell ref="C1307:F1307"/>
    <mergeCell ref="P1307:P1309"/>
    <mergeCell ref="B1308:C1308"/>
    <mergeCell ref="B1309:C1309"/>
    <mergeCell ref="C1611:F1611"/>
    <mergeCell ref="P1611:P1616"/>
    <mergeCell ref="B1612:C1612"/>
    <mergeCell ref="P1617:P1622"/>
    <mergeCell ref="P1575:P1580"/>
    <mergeCell ref="C1647:F1647"/>
    <mergeCell ref="C1629:F1629"/>
    <mergeCell ref="P1629:P1634"/>
    <mergeCell ref="C1683:F1683"/>
    <mergeCell ref="P1683:P1688"/>
    <mergeCell ref="B1684:C1684"/>
    <mergeCell ref="C1313:F1313"/>
    <mergeCell ref="C1623:F1623"/>
    <mergeCell ref="P1623:P1628"/>
    <mergeCell ref="B1624:C1624"/>
    <mergeCell ref="C1557:F1557"/>
    <mergeCell ref="B1648:C1648"/>
    <mergeCell ref="B1649:C1649"/>
    <mergeCell ref="B1673:C1673"/>
    <mergeCell ref="B1674:C1674"/>
    <mergeCell ref="B1675:C1675"/>
    <mergeCell ref="B1676:C1676"/>
    <mergeCell ref="C1677:F1677"/>
    <mergeCell ref="P1677:P1682"/>
    <mergeCell ref="B1678:C1678"/>
    <mergeCell ref="B1679:C1679"/>
    <mergeCell ref="B1650:C1650"/>
    <mergeCell ref="B1651:C1651"/>
    <mergeCell ref="B1066:C1066"/>
    <mergeCell ref="B1050:C1050"/>
    <mergeCell ref="C1056:F1056"/>
    <mergeCell ref="B479:C479"/>
    <mergeCell ref="B414:C414"/>
    <mergeCell ref="B415:C415"/>
    <mergeCell ref="B416:C416"/>
    <mergeCell ref="B417:C417"/>
    <mergeCell ref="B418:C418"/>
    <mergeCell ref="B446:C446"/>
    <mergeCell ref="B447:C447"/>
    <mergeCell ref="B448:C448"/>
    <mergeCell ref="C441:F441"/>
    <mergeCell ref="P441:P444"/>
    <mergeCell ref="B442:C442"/>
    <mergeCell ref="B443:C443"/>
    <mergeCell ref="B444:C444"/>
    <mergeCell ref="C434:F434"/>
    <mergeCell ref="P434:P440"/>
    <mergeCell ref="P1056:P1069"/>
    <mergeCell ref="B1057:C1057"/>
    <mergeCell ref="B1058:C1058"/>
    <mergeCell ref="B1059:C1059"/>
    <mergeCell ref="P1042:P1055"/>
    <mergeCell ref="B1051:C1051"/>
    <mergeCell ref="B1047:C1047"/>
    <mergeCell ref="B1044:C1044"/>
    <mergeCell ref="B1043:C1043"/>
    <mergeCell ref="B1045:C1045"/>
    <mergeCell ref="C1042:F1042"/>
    <mergeCell ref="B1048:C1048"/>
    <mergeCell ref="B785:C785"/>
    <mergeCell ref="B804:C804"/>
    <mergeCell ref="B808:C808"/>
    <mergeCell ref="B805:C805"/>
    <mergeCell ref="B806:C806"/>
    <mergeCell ref="P802:P808"/>
    <mergeCell ref="B405:C405"/>
    <mergeCell ref="B406:C406"/>
    <mergeCell ref="B402:C402"/>
    <mergeCell ref="B403:C403"/>
    <mergeCell ref="C467:F467"/>
    <mergeCell ref="P467:P469"/>
    <mergeCell ref="B468:C468"/>
    <mergeCell ref="B469:C469"/>
    <mergeCell ref="C481:F481"/>
    <mergeCell ref="P481:P483"/>
    <mergeCell ref="B482:C482"/>
    <mergeCell ref="B2159:C2159"/>
    <mergeCell ref="B1133:C1133"/>
    <mergeCell ref="B1943:C1943"/>
    <mergeCell ref="B1622:C1622"/>
    <mergeCell ref="B1060:C1060"/>
    <mergeCell ref="B1052:C1052"/>
    <mergeCell ref="B1055:C1055"/>
    <mergeCell ref="B1054:C1054"/>
    <mergeCell ref="B1129:C1129"/>
    <mergeCell ref="B1130:C1130"/>
    <mergeCell ref="P1119:P1126"/>
    <mergeCell ref="B1120:C1120"/>
    <mergeCell ref="B781:C781"/>
    <mergeCell ref="B782:C782"/>
    <mergeCell ref="B1069:C1069"/>
    <mergeCell ref="P1908:P1917"/>
    <mergeCell ref="B2248:C2248"/>
    <mergeCell ref="C2222:F2222"/>
    <mergeCell ref="P2222:P2230"/>
    <mergeCell ref="C2175:F2175"/>
    <mergeCell ref="P2175:P2180"/>
    <mergeCell ref="B2176:C2176"/>
    <mergeCell ref="B2177:C2177"/>
    <mergeCell ref="B2178:C2178"/>
    <mergeCell ref="B2179:C2179"/>
    <mergeCell ref="B2180:C2180"/>
    <mergeCell ref="C2193:F2193"/>
    <mergeCell ref="P2181:P2185"/>
    <mergeCell ref="B2182:C2182"/>
    <mergeCell ref="B2183:C2183"/>
    <mergeCell ref="B2223:C2223"/>
    <mergeCell ref="B2224:C2224"/>
    <mergeCell ref="B2225:C2225"/>
    <mergeCell ref="B2226:C2226"/>
    <mergeCell ref="B2227:C2227"/>
    <mergeCell ref="B2230:C2230"/>
    <mergeCell ref="B2184:C2184"/>
    <mergeCell ref="B2185:C2185"/>
    <mergeCell ref="P2203:P2207"/>
    <mergeCell ref="B2218:C2218"/>
    <mergeCell ref="P2186:P2192"/>
    <mergeCell ref="B2199:C2199"/>
    <mergeCell ref="C2213:F2213"/>
    <mergeCell ref="P2213:P2221"/>
    <mergeCell ref="B2214:C2214"/>
    <mergeCell ref="B2215:C2215"/>
    <mergeCell ref="B2221:C2221"/>
    <mergeCell ref="B2216:C2216"/>
    <mergeCell ref="B2254:C2254"/>
    <mergeCell ref="C1958:F1958"/>
    <mergeCell ref="B2036:C2036"/>
    <mergeCell ref="B2037:C2037"/>
    <mergeCell ref="B2038:C2038"/>
    <mergeCell ref="B2040:C2040"/>
    <mergeCell ref="B2041:C2041"/>
    <mergeCell ref="B2042:C2042"/>
    <mergeCell ref="B2029:C2029"/>
    <mergeCell ref="B2030:C2030"/>
    <mergeCell ref="B2031:C2031"/>
    <mergeCell ref="B2032:C2032"/>
    <mergeCell ref="C2020:F2020"/>
    <mergeCell ref="P2020:P2032"/>
    <mergeCell ref="B2021:C2021"/>
    <mergeCell ref="B2022:C2022"/>
    <mergeCell ref="C1898:F1898"/>
    <mergeCell ref="P1898:P1907"/>
    <mergeCell ref="B1899:C1899"/>
    <mergeCell ref="B1900:C1900"/>
    <mergeCell ref="B1901:C1901"/>
    <mergeCell ref="B1902:C1902"/>
    <mergeCell ref="B1903:C1903"/>
    <mergeCell ref="C1918:F1918"/>
    <mergeCell ref="P1918:P1927"/>
    <mergeCell ref="B1919:C1919"/>
    <mergeCell ref="B1915:C1915"/>
    <mergeCell ref="B1916:C1916"/>
    <mergeCell ref="B1946:C1946"/>
    <mergeCell ref="B1926:C1926"/>
    <mergeCell ref="B1927:C1927"/>
    <mergeCell ref="C1908:F1908"/>
    <mergeCell ref="B2270:C2270"/>
    <mergeCell ref="B2261:C2261"/>
    <mergeCell ref="B2262:C2262"/>
    <mergeCell ref="B2263:C2263"/>
    <mergeCell ref="B2264:C2264"/>
    <mergeCell ref="B2265:C2265"/>
    <mergeCell ref="C1928:F1928"/>
    <mergeCell ref="P1928:P1937"/>
    <mergeCell ref="B1929:C1929"/>
    <mergeCell ref="B1930:C1930"/>
    <mergeCell ref="B1931:C1931"/>
    <mergeCell ref="B1932:C1932"/>
    <mergeCell ref="B1933:C1933"/>
    <mergeCell ref="B1934:C1934"/>
    <mergeCell ref="B1935:C1935"/>
    <mergeCell ref="B1936:C1936"/>
    <mergeCell ref="C1671:F1671"/>
    <mergeCell ref="B2266:C2266"/>
    <mergeCell ref="B2255:C2255"/>
    <mergeCell ref="B2256:C2256"/>
    <mergeCell ref="B2257:C2257"/>
    <mergeCell ref="B2258:C2258"/>
    <mergeCell ref="B2250:C2250"/>
    <mergeCell ref="B2251:C2251"/>
    <mergeCell ref="B2252:C2252"/>
    <mergeCell ref="P2145:P2150"/>
    <mergeCell ref="B2146:C2146"/>
    <mergeCell ref="B2147:C2147"/>
    <mergeCell ref="B2148:C2148"/>
    <mergeCell ref="B2149:C2149"/>
    <mergeCell ref="B2150:C2150"/>
    <mergeCell ref="P2157:P2162"/>
    <mergeCell ref="B2259:C2259"/>
    <mergeCell ref="B2260:C2260"/>
    <mergeCell ref="B2253:C2253"/>
    <mergeCell ref="C2249:F2249"/>
    <mergeCell ref="C2145:F2145"/>
    <mergeCell ref="B1939:C1939"/>
    <mergeCell ref="B1940:C1940"/>
    <mergeCell ref="B1951:C1951"/>
    <mergeCell ref="B1063:C1063"/>
    <mergeCell ref="B1131:C1131"/>
    <mergeCell ref="B1109:C1109"/>
    <mergeCell ref="B1108:C1108"/>
    <mergeCell ref="B1956:C1956"/>
    <mergeCell ref="B1957:C1957"/>
    <mergeCell ref="B1952:C1952"/>
    <mergeCell ref="B2072:C2072"/>
    <mergeCell ref="B2073:C2073"/>
    <mergeCell ref="B2074:C2074"/>
    <mergeCell ref="B2068:C2068"/>
    <mergeCell ref="B2069:C2069"/>
    <mergeCell ref="B2070:C2070"/>
    <mergeCell ref="B2071:C2071"/>
    <mergeCell ref="B2059:C2059"/>
    <mergeCell ref="B2060:C2060"/>
    <mergeCell ref="B1941:C1941"/>
    <mergeCell ref="B1942:C1942"/>
    <mergeCell ref="B1681:C1681"/>
    <mergeCell ref="B1955:C1955"/>
    <mergeCell ref="B1576:C1576"/>
    <mergeCell ref="B1577:C1577"/>
    <mergeCell ref="B1578:C1578"/>
    <mergeCell ref="B1579:C1579"/>
    <mergeCell ref="B1121:C1121"/>
    <mergeCell ref="B1122:C1122"/>
    <mergeCell ref="B1123:C1123"/>
    <mergeCell ref="B1124:C1124"/>
    <mergeCell ref="P1557:P1562"/>
    <mergeCell ref="B1558:C1558"/>
    <mergeCell ref="B1559:C1559"/>
    <mergeCell ref="B1560:C1560"/>
    <mergeCell ref="B1561:C1561"/>
    <mergeCell ref="B1562:C1562"/>
    <mergeCell ref="C1575:F1575"/>
    <mergeCell ref="B1297:C1297"/>
    <mergeCell ref="C1298:F1298"/>
    <mergeCell ref="P1298:P1300"/>
    <mergeCell ref="B1299:C1299"/>
    <mergeCell ref="B1300:C1300"/>
    <mergeCell ref="P1513:P1515"/>
    <mergeCell ref="C1430:F1430"/>
    <mergeCell ref="C1385:F1385"/>
    <mergeCell ref="B1386:C1386"/>
    <mergeCell ref="B1517:C1517"/>
    <mergeCell ref="B1290:C1290"/>
    <mergeCell ref="B1291:C1291"/>
    <mergeCell ref="B1288:C1288"/>
    <mergeCell ref="B1132:C1132"/>
    <mergeCell ref="B1125:C1125"/>
    <mergeCell ref="C1513:F1513"/>
    <mergeCell ref="P1563:P1568"/>
    <mergeCell ref="B1564:C1564"/>
    <mergeCell ref="B1565:C1565"/>
    <mergeCell ref="B1566:C1566"/>
    <mergeCell ref="P1526:P1528"/>
    <mergeCell ref="C1310:F1310"/>
    <mergeCell ref="P1310:P1312"/>
    <mergeCell ref="B1514:C1514"/>
    <mergeCell ref="B1515:C1515"/>
    <mergeCell ref="C1507:F1507"/>
    <mergeCell ref="P1507:P1509"/>
    <mergeCell ref="B1620:C1620"/>
    <mergeCell ref="B1621:C1621"/>
    <mergeCell ref="B1616:C1616"/>
    <mergeCell ref="C1605:F1605"/>
    <mergeCell ref="P1605:P1610"/>
    <mergeCell ref="B1606:C1606"/>
    <mergeCell ref="B1607:C1607"/>
    <mergeCell ref="B1608:C1608"/>
    <mergeCell ref="B1609:C1609"/>
    <mergeCell ref="B1610:C1610"/>
    <mergeCell ref="C1599:F1599"/>
    <mergeCell ref="P1599:P1604"/>
    <mergeCell ref="B1600:C1600"/>
    <mergeCell ref="B1601:C1601"/>
    <mergeCell ref="B1602:C1602"/>
    <mergeCell ref="B1580:C1580"/>
    <mergeCell ref="B1618:C1618"/>
    <mergeCell ref="B1619:C1619"/>
    <mergeCell ref="C1474:F1474"/>
    <mergeCell ref="C1501:F1501"/>
    <mergeCell ref="B1472:C1472"/>
    <mergeCell ref="B1473:C1473"/>
    <mergeCell ref="C1466:F1466"/>
    <mergeCell ref="P1466:P1470"/>
    <mergeCell ref="C1483:F1483"/>
    <mergeCell ref="B1586:C1586"/>
    <mergeCell ref="P1313:P1315"/>
    <mergeCell ref="B1314:C1314"/>
    <mergeCell ref="B1315:C1315"/>
    <mergeCell ref="C1780:F1780"/>
    <mergeCell ref="B1702:C1702"/>
    <mergeCell ref="B1697:C1697"/>
    <mergeCell ref="C1653:F1653"/>
    <mergeCell ref="B1660:C1660"/>
    <mergeCell ref="B1661:C1661"/>
    <mergeCell ref="B1662:C1662"/>
    <mergeCell ref="C1642:F1642"/>
    <mergeCell ref="B1643:C1643"/>
    <mergeCell ref="B2015:C2015"/>
    <mergeCell ref="B2025:C2025"/>
    <mergeCell ref="B2026:C2026"/>
    <mergeCell ref="B2002:C2002"/>
    <mergeCell ref="C752:F752"/>
    <mergeCell ref="P752:P756"/>
    <mergeCell ref="B753:C753"/>
    <mergeCell ref="B754:C754"/>
    <mergeCell ref="B755:C755"/>
    <mergeCell ref="B756:C756"/>
    <mergeCell ref="C1689:F1689"/>
    <mergeCell ref="P1689:P1694"/>
    <mergeCell ref="B1690:C1690"/>
    <mergeCell ref="B1691:C1691"/>
    <mergeCell ref="B1692:C1692"/>
    <mergeCell ref="B1693:C1693"/>
    <mergeCell ref="B1694:C1694"/>
    <mergeCell ref="B1947:C1947"/>
    <mergeCell ref="C1948:F1948"/>
    <mergeCell ref="B1949:C1949"/>
    <mergeCell ref="B2027:C2027"/>
    <mergeCell ref="B2028:C2028"/>
    <mergeCell ref="B2016:C2016"/>
    <mergeCell ref="B2017:C2017"/>
    <mergeCell ref="B2018:C2018"/>
    <mergeCell ref="B2019:C2019"/>
    <mergeCell ref="B2012:C2012"/>
    <mergeCell ref="B2013:C2013"/>
    <mergeCell ref="B2014:C2014"/>
    <mergeCell ref="B1670:C1670"/>
    <mergeCell ref="C1659:F1659"/>
    <mergeCell ref="B1663:C1663"/>
    <mergeCell ref="B1953:C1953"/>
    <mergeCell ref="B1954:C1954"/>
    <mergeCell ref="B2003:C2003"/>
    <mergeCell ref="C1994:F1994"/>
    <mergeCell ref="B2004:C2004"/>
    <mergeCell ref="C2007:F2007"/>
    <mergeCell ref="B1950:C1950"/>
    <mergeCell ref="B1685:C1685"/>
    <mergeCell ref="B1686:C1686"/>
    <mergeCell ref="B1687:C1687"/>
    <mergeCell ref="B2011:C2011"/>
    <mergeCell ref="B1917:C1917"/>
    <mergeCell ref="B1995:C1995"/>
    <mergeCell ref="B1996:C1996"/>
    <mergeCell ref="B1997:C1997"/>
    <mergeCell ref="B1999:C1999"/>
    <mergeCell ref="B2006:C2006"/>
    <mergeCell ref="B2005:C2005"/>
    <mergeCell ref="B1998:C1998"/>
    <mergeCell ref="B2000:C2000"/>
    <mergeCell ref="B1688:C1688"/>
    <mergeCell ref="B1680:C1680"/>
    <mergeCell ref="B1682:C1682"/>
    <mergeCell ref="P1671:P1676"/>
    <mergeCell ref="B2008:C2008"/>
    <mergeCell ref="B2009:C2009"/>
    <mergeCell ref="B2010:C2010"/>
    <mergeCell ref="B1636:C1636"/>
    <mergeCell ref="B1652:C1652"/>
    <mergeCell ref="B1654:C1654"/>
    <mergeCell ref="B1655:C1655"/>
    <mergeCell ref="B1656:C1656"/>
    <mergeCell ref="B1657:C1657"/>
    <mergeCell ref="B1658:C1658"/>
    <mergeCell ref="P2007:P2019"/>
    <mergeCell ref="B2023:C2023"/>
    <mergeCell ref="B2024:C2024"/>
    <mergeCell ref="P1994:P2006"/>
    <mergeCell ref="B2001:C2001"/>
    <mergeCell ref="C1988:F1988"/>
    <mergeCell ref="P1988:P1993"/>
    <mergeCell ref="B1989:C1989"/>
    <mergeCell ref="B1993:C1993"/>
    <mergeCell ref="B1990:C1990"/>
    <mergeCell ref="B1991:C1991"/>
    <mergeCell ref="B1992:C1992"/>
    <mergeCell ref="C1982:F1982"/>
    <mergeCell ref="P1982:P1987"/>
    <mergeCell ref="B1983:C1983"/>
    <mergeCell ref="B1984:C1984"/>
    <mergeCell ref="B1985:C1985"/>
    <mergeCell ref="B1986:C1986"/>
  </mergeCells>
  <phoneticPr fontId="2" type="noConversion"/>
  <printOptions horizontalCentered="1"/>
  <pageMargins left="0.69" right="0.31" top="0.57999999999999996" bottom="0.48" header="0.19685039370078741" footer="0.18"/>
  <pageSetup paperSize="9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S51"/>
  <sheetViews>
    <sheetView view="pageBreakPreview" zoomScale="110" zoomScaleSheetLayoutView="110" workbookViewId="0">
      <selection activeCell="C2" sqref="C2"/>
    </sheetView>
  </sheetViews>
  <sheetFormatPr defaultRowHeight="13.5"/>
  <cols>
    <col min="1" max="1" width="3" style="247" customWidth="1"/>
    <col min="2" max="2" width="2.109375" style="247" customWidth="1"/>
    <col min="3" max="3" width="4.77734375" style="247" customWidth="1"/>
    <col min="4" max="4" width="2" style="247" customWidth="1"/>
    <col min="5" max="5" width="5.33203125" style="247" customWidth="1"/>
    <col min="6" max="6" width="2" style="247" customWidth="1"/>
    <col min="7" max="7" width="7.6640625" style="247" customWidth="1"/>
    <col min="8" max="8" width="2.5546875" style="247" customWidth="1"/>
    <col min="9" max="9" width="3.88671875" style="247" customWidth="1"/>
    <col min="10" max="10" width="2.77734375" style="247" customWidth="1"/>
    <col min="11" max="11" width="5.88671875" style="247" customWidth="1"/>
    <col min="12" max="12" width="2.44140625" style="247" customWidth="1"/>
    <col min="13" max="13" width="6.33203125" style="247" customWidth="1"/>
    <col min="14" max="14" width="2.44140625" style="247" customWidth="1"/>
    <col min="15" max="15" width="6.44140625" style="247" customWidth="1"/>
    <col min="16" max="16" width="2.77734375" style="247" customWidth="1"/>
    <col min="17" max="17" width="2.6640625" style="247" customWidth="1"/>
    <col min="18" max="18" width="7.88671875" style="247" customWidth="1"/>
    <col min="19" max="19" width="3" style="247" customWidth="1"/>
    <col min="20" max="16384" width="8.88671875" style="247"/>
  </cols>
  <sheetData>
    <row r="1" spans="1:19" ht="32.25" customHeight="1">
      <c r="A1" s="245"/>
      <c r="B1" s="789" t="s">
        <v>2273</v>
      </c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246"/>
    </row>
    <row r="2" spans="1:19">
      <c r="A2" s="248"/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50"/>
    </row>
    <row r="3" spans="1:19">
      <c r="A3" s="248"/>
      <c r="B3" s="249" t="s">
        <v>818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50"/>
    </row>
    <row r="4" spans="1:19">
      <c r="A4" s="248"/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50"/>
    </row>
    <row r="5" spans="1:19">
      <c r="A5" s="248"/>
      <c r="B5" s="249"/>
      <c r="C5" s="251" t="s">
        <v>819</v>
      </c>
      <c r="D5" s="249" t="s">
        <v>1582</v>
      </c>
      <c r="E5" s="790">
        <v>1157.7</v>
      </c>
      <c r="F5" s="790"/>
      <c r="G5" s="790"/>
      <c r="H5" s="249" t="s">
        <v>975</v>
      </c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50"/>
    </row>
    <row r="6" spans="1:19">
      <c r="A6" s="248"/>
      <c r="B6" s="249"/>
      <c r="C6" s="251"/>
      <c r="D6" s="249"/>
      <c r="E6" s="251"/>
      <c r="F6" s="251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50"/>
    </row>
    <row r="7" spans="1:19">
      <c r="A7" s="248"/>
      <c r="B7" s="249" t="s">
        <v>820</v>
      </c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50"/>
    </row>
    <row r="8" spans="1:19">
      <c r="A8" s="248"/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50"/>
    </row>
    <row r="9" spans="1:19">
      <c r="A9" s="248"/>
      <c r="B9" s="251" t="s">
        <v>2267</v>
      </c>
      <c r="C9" s="249" t="s">
        <v>3185</v>
      </c>
      <c r="D9" s="249"/>
      <c r="E9" s="249"/>
      <c r="F9" s="249" t="s">
        <v>1526</v>
      </c>
      <c r="G9" s="252">
        <f>SUMIF('노임(2015)'!$B$4:$B$87,C9,'노임(2015)'!$C$4:$C$87)+SUMIF('노임(2015)'!$E$4:$E$87,C9,'노임(2015)'!$F$4:$F$87)</f>
        <v>130411</v>
      </c>
      <c r="H9" s="251" t="s">
        <v>972</v>
      </c>
      <c r="I9" s="253" t="str">
        <f>"1/"&amp;G41</f>
        <v>1/8</v>
      </c>
      <c r="J9" s="251" t="s">
        <v>972</v>
      </c>
      <c r="K9" s="254" t="str">
        <f>(12+(G44/100))&amp;"/12"</f>
        <v>16/12</v>
      </c>
      <c r="L9" s="251" t="s">
        <v>972</v>
      </c>
      <c r="M9" s="251" t="str">
        <f>G47&amp;"/"&amp;G48</f>
        <v>25/20</v>
      </c>
      <c r="N9" s="251" t="s">
        <v>972</v>
      </c>
      <c r="O9" s="251">
        <v>1</v>
      </c>
      <c r="P9" s="251" t="s">
        <v>1163</v>
      </c>
      <c r="Q9" s="251" t="s">
        <v>1582</v>
      </c>
      <c r="R9" s="255">
        <f>TRUNC(G9*(1/$G$41)*(($G$44/100+12)/12)*($G$47/$G$48)*O9)</f>
        <v>27168</v>
      </c>
      <c r="S9" s="250" t="s">
        <v>975</v>
      </c>
    </row>
    <row r="10" spans="1:19">
      <c r="A10" s="248"/>
      <c r="B10" s="251"/>
      <c r="C10" s="788" t="s">
        <v>821</v>
      </c>
      <c r="D10" s="788"/>
      <c r="E10" s="251" t="s">
        <v>822</v>
      </c>
      <c r="F10" s="249" t="s">
        <v>1526</v>
      </c>
      <c r="G10" s="252">
        <f>G9</f>
        <v>130411</v>
      </c>
      <c r="H10" s="251" t="s">
        <v>972</v>
      </c>
      <c r="I10" s="253" t="str">
        <f>I9</f>
        <v>1/8</v>
      </c>
      <c r="J10" s="251" t="s">
        <v>972</v>
      </c>
      <c r="K10" s="254" t="str">
        <f>K9</f>
        <v>16/12</v>
      </c>
      <c r="L10" s="251" t="s">
        <v>972</v>
      </c>
      <c r="M10" s="251" t="str">
        <f>M9</f>
        <v>25/20</v>
      </c>
      <c r="N10" s="251" t="s">
        <v>972</v>
      </c>
      <c r="O10" s="251">
        <f>O9*$G$27</f>
        <v>1.75</v>
      </c>
      <c r="P10" s="251" t="s">
        <v>1163</v>
      </c>
      <c r="Q10" s="251" t="s">
        <v>1582</v>
      </c>
      <c r="R10" s="255">
        <f>TRUNC(G10*(1/$G$41)*(($G$44/100+12)/12)*($G$47/$G$48)*O10)</f>
        <v>47545</v>
      </c>
      <c r="S10" s="250" t="s">
        <v>975</v>
      </c>
    </row>
    <row r="11" spans="1:19">
      <c r="A11" s="248"/>
      <c r="B11" s="251"/>
      <c r="C11" s="249"/>
      <c r="D11" s="249"/>
      <c r="E11" s="249"/>
      <c r="F11" s="249"/>
      <c r="G11" s="252"/>
      <c r="H11" s="251"/>
      <c r="I11" s="253"/>
      <c r="J11" s="251"/>
      <c r="K11" s="254"/>
      <c r="L11" s="251"/>
      <c r="M11" s="251"/>
      <c r="N11" s="251"/>
      <c r="O11" s="251"/>
      <c r="P11" s="251"/>
      <c r="Q11" s="251"/>
      <c r="R11" s="255"/>
      <c r="S11" s="250"/>
    </row>
    <row r="12" spans="1:19">
      <c r="A12" s="248"/>
      <c r="B12" s="251" t="s">
        <v>2267</v>
      </c>
      <c r="C12" s="249" t="s">
        <v>3186</v>
      </c>
      <c r="D12" s="249"/>
      <c r="E12" s="249"/>
      <c r="F12" s="249" t="s">
        <v>1526</v>
      </c>
      <c r="G12" s="252">
        <f>SUMIF('노임(2015)'!$B$4:$B$87,C12,'노임(2015)'!$C$4:$C$87)+SUMIF('노임(2015)'!$E$4:$E$87,C12,'노임(2015)'!$F$4:$F$87)</f>
        <v>117523</v>
      </c>
      <c r="H12" s="251" t="s">
        <v>972</v>
      </c>
      <c r="I12" s="253" t="str">
        <f>I10</f>
        <v>1/8</v>
      </c>
      <c r="J12" s="251" t="s">
        <v>972</v>
      </c>
      <c r="K12" s="254" t="str">
        <f>K10</f>
        <v>16/12</v>
      </c>
      <c r="L12" s="251" t="s">
        <v>972</v>
      </c>
      <c r="M12" s="251" t="str">
        <f>M10</f>
        <v>25/20</v>
      </c>
      <c r="N12" s="251" t="s">
        <v>972</v>
      </c>
      <c r="O12" s="251">
        <v>1</v>
      </c>
      <c r="P12" s="251" t="s">
        <v>1163</v>
      </c>
      <c r="Q12" s="251" t="s">
        <v>1582</v>
      </c>
      <c r="R12" s="255">
        <f>TRUNC(G12*(1/$G$41)*(($G$44/100+12)/12)*($G$47/$G$48)*O12)</f>
        <v>24483</v>
      </c>
      <c r="S12" s="250" t="s">
        <v>975</v>
      </c>
    </row>
    <row r="13" spans="1:19">
      <c r="A13" s="248"/>
      <c r="B13" s="251"/>
      <c r="C13" s="788" t="str">
        <f>C10</f>
        <v>〃</v>
      </c>
      <c r="D13" s="788"/>
      <c r="E13" s="249" t="str">
        <f>E10</f>
        <v>(야간)</v>
      </c>
      <c r="F13" s="249" t="s">
        <v>1526</v>
      </c>
      <c r="G13" s="252">
        <f>G12</f>
        <v>117523</v>
      </c>
      <c r="H13" s="251" t="s">
        <v>972</v>
      </c>
      <c r="I13" s="253" t="str">
        <f>I12</f>
        <v>1/8</v>
      </c>
      <c r="J13" s="251" t="s">
        <v>972</v>
      </c>
      <c r="K13" s="254" t="str">
        <f>K12</f>
        <v>16/12</v>
      </c>
      <c r="L13" s="251" t="s">
        <v>972</v>
      </c>
      <c r="M13" s="251" t="str">
        <f>M12</f>
        <v>25/20</v>
      </c>
      <c r="N13" s="251" t="s">
        <v>972</v>
      </c>
      <c r="O13" s="251">
        <f>O12*$G$27</f>
        <v>1.75</v>
      </c>
      <c r="P13" s="251" t="s">
        <v>1163</v>
      </c>
      <c r="Q13" s="251" t="s">
        <v>1582</v>
      </c>
      <c r="R13" s="255">
        <f>TRUNC(G13*(1/$G$41)*(($G$44/100+12)/12)*($G$47/$G$48)*O13)</f>
        <v>42846</v>
      </c>
      <c r="S13" s="250" t="s">
        <v>975</v>
      </c>
    </row>
    <row r="14" spans="1:19">
      <c r="A14" s="248"/>
      <c r="B14" s="251"/>
      <c r="C14" s="249"/>
      <c r="D14" s="249"/>
      <c r="E14" s="249"/>
      <c r="F14" s="249"/>
      <c r="G14" s="252"/>
      <c r="H14" s="251"/>
      <c r="I14" s="253"/>
      <c r="J14" s="251"/>
      <c r="K14" s="254"/>
      <c r="L14" s="251"/>
      <c r="M14" s="251"/>
      <c r="N14" s="251"/>
      <c r="O14" s="251"/>
      <c r="P14" s="251"/>
      <c r="Q14" s="251"/>
      <c r="R14" s="255"/>
      <c r="S14" s="250"/>
    </row>
    <row r="15" spans="1:19">
      <c r="A15" s="248"/>
      <c r="B15" s="251" t="s">
        <v>2267</v>
      </c>
      <c r="C15" s="249" t="s">
        <v>3188</v>
      </c>
      <c r="D15" s="249"/>
      <c r="E15" s="249"/>
      <c r="F15" s="249" t="s">
        <v>1526</v>
      </c>
      <c r="G15" s="252">
        <f>SUMIF('노임(2015)'!$B$4:$B$87,C15,'노임(2015)'!$C$4:$C$87)+SUMIF('노임(2015)'!$E$4:$E$87,C15,'노임(2015)'!$F$4:$F$87)</f>
        <v>90909</v>
      </c>
      <c r="H15" s="251" t="s">
        <v>972</v>
      </c>
      <c r="I15" s="253" t="str">
        <f>I13</f>
        <v>1/8</v>
      </c>
      <c r="J15" s="251" t="s">
        <v>972</v>
      </c>
      <c r="K15" s="254" t="str">
        <f>K13</f>
        <v>16/12</v>
      </c>
      <c r="L15" s="251" t="s">
        <v>972</v>
      </c>
      <c r="M15" s="251" t="str">
        <f>M13</f>
        <v>25/20</v>
      </c>
      <c r="N15" s="251" t="s">
        <v>972</v>
      </c>
      <c r="O15" s="251">
        <v>1</v>
      </c>
      <c r="P15" s="251" t="s">
        <v>1163</v>
      </c>
      <c r="Q15" s="251" t="s">
        <v>1582</v>
      </c>
      <c r="R15" s="255">
        <f>TRUNC(G15*(1/$G$41)*(($G$44/100+12)/12)*($G$47/$G$48)*O15)</f>
        <v>18939</v>
      </c>
      <c r="S15" s="250" t="s">
        <v>975</v>
      </c>
    </row>
    <row r="16" spans="1:19">
      <c r="A16" s="248"/>
      <c r="B16" s="251"/>
      <c r="C16" s="788" t="str">
        <f>C13</f>
        <v>〃</v>
      </c>
      <c r="D16" s="788"/>
      <c r="E16" s="249" t="str">
        <f>E13</f>
        <v>(야간)</v>
      </c>
      <c r="F16" s="249" t="s">
        <v>1526</v>
      </c>
      <c r="G16" s="252">
        <f>G15</f>
        <v>90909</v>
      </c>
      <c r="H16" s="251" t="s">
        <v>972</v>
      </c>
      <c r="I16" s="253" t="str">
        <f>I15</f>
        <v>1/8</v>
      </c>
      <c r="J16" s="251" t="s">
        <v>972</v>
      </c>
      <c r="K16" s="254" t="str">
        <f>K15</f>
        <v>16/12</v>
      </c>
      <c r="L16" s="251" t="s">
        <v>972</v>
      </c>
      <c r="M16" s="251" t="str">
        <f>M15</f>
        <v>25/20</v>
      </c>
      <c r="N16" s="251" t="s">
        <v>972</v>
      </c>
      <c r="O16" s="251">
        <f>O15*$G$27</f>
        <v>1.75</v>
      </c>
      <c r="P16" s="251" t="s">
        <v>1163</v>
      </c>
      <c r="Q16" s="251" t="s">
        <v>1582</v>
      </c>
      <c r="R16" s="255">
        <f>TRUNC(G16*(1/$G$41)*(($G$44/100+12)/12)*($G$47/$G$48)*O16)</f>
        <v>33143</v>
      </c>
      <c r="S16" s="250" t="s">
        <v>975</v>
      </c>
    </row>
    <row r="17" spans="1:19">
      <c r="A17" s="248"/>
      <c r="B17" s="251"/>
      <c r="C17" s="249"/>
      <c r="D17" s="249"/>
      <c r="E17" s="249"/>
      <c r="F17" s="249"/>
      <c r="G17" s="252"/>
      <c r="H17" s="251"/>
      <c r="I17" s="253"/>
      <c r="J17" s="251"/>
      <c r="K17" s="254"/>
      <c r="L17" s="251"/>
      <c r="M17" s="251"/>
      <c r="N17" s="251"/>
      <c r="O17" s="251"/>
      <c r="P17" s="251"/>
      <c r="Q17" s="251"/>
      <c r="R17" s="255"/>
      <c r="S17" s="250"/>
    </row>
    <row r="18" spans="1:19" hidden="1">
      <c r="A18" s="248"/>
      <c r="B18" s="251" t="s">
        <v>2267</v>
      </c>
      <c r="C18" s="249" t="s">
        <v>823</v>
      </c>
      <c r="D18" s="249"/>
      <c r="E18" s="249"/>
      <c r="F18" s="249" t="s">
        <v>1526</v>
      </c>
      <c r="G18" s="252" t="e">
        <f>#REF!</f>
        <v>#REF!</v>
      </c>
      <c r="H18" s="251" t="s">
        <v>972</v>
      </c>
      <c r="I18" s="253" t="str">
        <f>I16</f>
        <v>1/8</v>
      </c>
      <c r="J18" s="251" t="s">
        <v>972</v>
      </c>
      <c r="K18" s="254" t="str">
        <f>K16</f>
        <v>16/12</v>
      </c>
      <c r="L18" s="251" t="s">
        <v>972</v>
      </c>
      <c r="M18" s="251" t="str">
        <f>M16</f>
        <v>25/20</v>
      </c>
      <c r="N18" s="251" t="s">
        <v>972</v>
      </c>
      <c r="O18" s="251">
        <v>0.5</v>
      </c>
      <c r="P18" s="251" t="s">
        <v>1163</v>
      </c>
      <c r="Q18" s="251" t="s">
        <v>1582</v>
      </c>
      <c r="R18" s="255" t="e">
        <f>TRUNC(G18*(1/$G$41)*(($G$44/100+12)/12)*($G$47/$G$48)*O18)</f>
        <v>#REF!</v>
      </c>
      <c r="S18" s="250" t="s">
        <v>975</v>
      </c>
    </row>
    <row r="19" spans="1:19" hidden="1">
      <c r="A19" s="248"/>
      <c r="B19" s="251"/>
      <c r="C19" s="788" t="str">
        <f>C16</f>
        <v>〃</v>
      </c>
      <c r="D19" s="788"/>
      <c r="E19" s="249" t="str">
        <f>E16</f>
        <v>(야간)</v>
      </c>
      <c r="F19" s="249" t="s">
        <v>1526</v>
      </c>
      <c r="G19" s="252" t="e">
        <f>G18</f>
        <v>#REF!</v>
      </c>
      <c r="H19" s="251" t="s">
        <v>972</v>
      </c>
      <c r="I19" s="253" t="str">
        <f>I18</f>
        <v>1/8</v>
      </c>
      <c r="J19" s="251" t="s">
        <v>972</v>
      </c>
      <c r="K19" s="254" t="str">
        <f>K18</f>
        <v>16/12</v>
      </c>
      <c r="L19" s="251" t="s">
        <v>972</v>
      </c>
      <c r="M19" s="251" t="str">
        <f>M18</f>
        <v>25/20</v>
      </c>
      <c r="N19" s="251" t="s">
        <v>972</v>
      </c>
      <c r="O19" s="251">
        <f>O18*$G$27</f>
        <v>0.875</v>
      </c>
      <c r="P19" s="251" t="s">
        <v>1163</v>
      </c>
      <c r="Q19" s="251" t="s">
        <v>1582</v>
      </c>
      <c r="R19" s="255" t="e">
        <f>TRUNC(G19*(1/$G$41)*(($G$44/100+12)/12)*($G$47/$G$48)*O19)</f>
        <v>#REF!</v>
      </c>
      <c r="S19" s="250" t="s">
        <v>975</v>
      </c>
    </row>
    <row r="20" spans="1:19" hidden="1">
      <c r="A20" s="248"/>
      <c r="B20" s="251"/>
      <c r="C20" s="249"/>
      <c r="D20" s="249"/>
      <c r="E20" s="249"/>
      <c r="F20" s="249"/>
      <c r="G20" s="252"/>
      <c r="H20" s="251"/>
      <c r="I20" s="253"/>
      <c r="J20" s="251"/>
      <c r="K20" s="254"/>
      <c r="L20" s="251"/>
      <c r="M20" s="251"/>
      <c r="N20" s="251"/>
      <c r="O20" s="251"/>
      <c r="P20" s="251"/>
      <c r="Q20" s="251"/>
      <c r="R20" s="255"/>
      <c r="S20" s="250"/>
    </row>
    <row r="21" spans="1:19">
      <c r="A21" s="248"/>
      <c r="B21" s="251" t="s">
        <v>2267</v>
      </c>
      <c r="C21" s="249" t="s">
        <v>591</v>
      </c>
      <c r="D21" s="249"/>
      <c r="E21" s="249"/>
      <c r="F21" s="249" t="s">
        <v>1526</v>
      </c>
      <c r="G21" s="252">
        <f>SUMIF('노임(2015)'!$B$4:$B$87,C21,'노임(2015)'!$C$4:$C$87)+SUMIF('노임(2015)'!$E$4:$E$87,C21,'노임(2015)'!$F$4:$F$87)</f>
        <v>108152</v>
      </c>
      <c r="H21" s="251" t="s">
        <v>972</v>
      </c>
      <c r="I21" s="253" t="str">
        <f>I19</f>
        <v>1/8</v>
      </c>
      <c r="J21" s="251" t="s">
        <v>972</v>
      </c>
      <c r="K21" s="254" t="str">
        <f>K19</f>
        <v>16/12</v>
      </c>
      <c r="L21" s="251" t="s">
        <v>972</v>
      </c>
      <c r="M21" s="251" t="str">
        <f>M19</f>
        <v>25/20</v>
      </c>
      <c r="N21" s="251" t="s">
        <v>972</v>
      </c>
      <c r="O21" s="251">
        <v>0.2</v>
      </c>
      <c r="P21" s="251" t="s">
        <v>1163</v>
      </c>
      <c r="Q21" s="251" t="s">
        <v>1582</v>
      </c>
      <c r="R21" s="255">
        <f>TRUNC(G21*(1/$G$41)*(($G$44/100+12)/12)*($G$47/$G$48)*O21)</f>
        <v>4506</v>
      </c>
      <c r="S21" s="250" t="s">
        <v>975</v>
      </c>
    </row>
    <row r="22" spans="1:19">
      <c r="A22" s="248"/>
      <c r="B22" s="251"/>
      <c r="C22" s="788" t="str">
        <f>C19</f>
        <v>〃</v>
      </c>
      <c r="D22" s="788"/>
      <c r="E22" s="249" t="str">
        <f>E19</f>
        <v>(야간)</v>
      </c>
      <c r="F22" s="249" t="s">
        <v>1526</v>
      </c>
      <c r="G22" s="252">
        <f>G21</f>
        <v>108152</v>
      </c>
      <c r="H22" s="251" t="s">
        <v>972</v>
      </c>
      <c r="I22" s="253" t="str">
        <f>I21</f>
        <v>1/8</v>
      </c>
      <c r="J22" s="251" t="s">
        <v>972</v>
      </c>
      <c r="K22" s="254" t="str">
        <f>K21</f>
        <v>16/12</v>
      </c>
      <c r="L22" s="251" t="s">
        <v>972</v>
      </c>
      <c r="M22" s="251" t="str">
        <f>M21</f>
        <v>25/20</v>
      </c>
      <c r="N22" s="251" t="s">
        <v>972</v>
      </c>
      <c r="O22" s="251">
        <f>O21*$G$27</f>
        <v>0.35000000000000003</v>
      </c>
      <c r="P22" s="251" t="s">
        <v>1163</v>
      </c>
      <c r="Q22" s="251" t="s">
        <v>1582</v>
      </c>
      <c r="R22" s="255">
        <f>TRUNC(G22*(1/$G$41)*(($G$44/100+12)/12)*($G$47/$G$48)*O22)</f>
        <v>7886</v>
      </c>
      <c r="S22" s="250" t="s">
        <v>975</v>
      </c>
    </row>
    <row r="23" spans="1:19">
      <c r="A23" s="248"/>
      <c r="B23" s="249"/>
      <c r="C23" s="249"/>
      <c r="D23" s="249"/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50"/>
    </row>
    <row r="24" spans="1:19">
      <c r="A24" s="248"/>
      <c r="B24" s="249" t="s">
        <v>1609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50"/>
    </row>
    <row r="25" spans="1:19">
      <c r="A25" s="248"/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50"/>
    </row>
    <row r="26" spans="1:19">
      <c r="A26" s="248"/>
      <c r="B26" s="249" t="s">
        <v>824</v>
      </c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50"/>
    </row>
    <row r="27" spans="1:19">
      <c r="A27" s="248"/>
      <c r="B27" s="249"/>
      <c r="C27" s="249">
        <v>1</v>
      </c>
      <c r="D27" s="249" t="s">
        <v>825</v>
      </c>
      <c r="E27" s="249"/>
      <c r="F27" s="249"/>
      <c r="G27" s="251">
        <v>1.75</v>
      </c>
      <c r="H27" s="251" t="s">
        <v>1582</v>
      </c>
      <c r="I27" s="788">
        <f>C27*G27</f>
        <v>1.75</v>
      </c>
      <c r="J27" s="788"/>
      <c r="K27" s="249" t="s">
        <v>1163</v>
      </c>
      <c r="L27" s="249"/>
      <c r="M27" s="249"/>
      <c r="N27" s="249"/>
      <c r="O27" s="249"/>
      <c r="P27" s="249"/>
      <c r="Q27" s="249"/>
      <c r="R27" s="249"/>
      <c r="S27" s="250"/>
    </row>
    <row r="28" spans="1:19">
      <c r="A28" s="248"/>
      <c r="B28" s="249"/>
      <c r="C28" s="249">
        <v>0.5</v>
      </c>
      <c r="D28" s="249" t="s">
        <v>825</v>
      </c>
      <c r="E28" s="249"/>
      <c r="F28" s="249"/>
      <c r="G28" s="251">
        <f>G27</f>
        <v>1.75</v>
      </c>
      <c r="H28" s="251" t="s">
        <v>1582</v>
      </c>
      <c r="I28" s="788">
        <f>C28*G28</f>
        <v>0.875</v>
      </c>
      <c r="J28" s="788"/>
      <c r="K28" s="249" t="s">
        <v>1163</v>
      </c>
      <c r="L28" s="249"/>
      <c r="M28" s="249"/>
      <c r="N28" s="249"/>
      <c r="O28" s="249"/>
      <c r="P28" s="249"/>
      <c r="Q28" s="249"/>
      <c r="R28" s="249"/>
      <c r="S28" s="250"/>
    </row>
    <row r="29" spans="1:19">
      <c r="A29" s="248"/>
      <c r="B29" s="249"/>
      <c r="C29" s="249">
        <v>0.2</v>
      </c>
      <c r="D29" s="249" t="s">
        <v>825</v>
      </c>
      <c r="E29" s="249"/>
      <c r="F29" s="249"/>
      <c r="G29" s="251">
        <f>G28</f>
        <v>1.75</v>
      </c>
      <c r="H29" s="251" t="s">
        <v>1582</v>
      </c>
      <c r="I29" s="788">
        <f>C29*G29</f>
        <v>0.35000000000000003</v>
      </c>
      <c r="J29" s="788"/>
      <c r="K29" s="249" t="s">
        <v>1163</v>
      </c>
      <c r="L29" s="249"/>
      <c r="M29" s="249"/>
      <c r="N29" s="249"/>
      <c r="O29" s="249"/>
      <c r="P29" s="249"/>
      <c r="Q29" s="249"/>
      <c r="R29" s="249"/>
      <c r="S29" s="250"/>
    </row>
    <row r="30" spans="1:19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49"/>
      <c r="L30" s="249"/>
      <c r="M30" s="249"/>
      <c r="N30" s="249"/>
      <c r="O30" s="249"/>
      <c r="P30" s="249"/>
      <c r="Q30" s="249"/>
      <c r="R30" s="249"/>
      <c r="S30" s="250"/>
    </row>
    <row r="31" spans="1:19">
      <c r="A31" s="248"/>
      <c r="B31" s="249" t="s">
        <v>826</v>
      </c>
      <c r="C31" s="249"/>
      <c r="D31" s="249"/>
      <c r="E31" s="249"/>
      <c r="F31" s="249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50"/>
    </row>
    <row r="32" spans="1:19" ht="7.5" customHeight="1">
      <c r="A32" s="248"/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50"/>
    </row>
    <row r="33" spans="1:19">
      <c r="A33" s="248"/>
      <c r="B33" s="251" t="s">
        <v>2267</v>
      </c>
      <c r="C33" s="249" t="s">
        <v>827</v>
      </c>
      <c r="D33" s="249"/>
      <c r="E33" s="251" t="s">
        <v>1526</v>
      </c>
      <c r="F33" s="249"/>
      <c r="G33" s="256">
        <f>사급자재!$M$7</f>
        <v>1324.27</v>
      </c>
      <c r="H33" s="251" t="s">
        <v>975</v>
      </c>
      <c r="I33" s="249" t="s">
        <v>828</v>
      </c>
      <c r="J33" s="249"/>
      <c r="K33" s="249"/>
      <c r="L33" s="249"/>
      <c r="M33" s="249"/>
      <c r="N33" s="249"/>
      <c r="O33" s="249"/>
      <c r="P33" s="249"/>
      <c r="Q33" s="249"/>
      <c r="R33" s="249"/>
      <c r="S33" s="250"/>
    </row>
    <row r="34" spans="1:19" ht="6" customHeight="1">
      <c r="A34" s="248"/>
      <c r="B34" s="251"/>
      <c r="C34" s="249"/>
      <c r="D34" s="249"/>
      <c r="E34" s="249"/>
      <c r="F34" s="249"/>
      <c r="G34" s="257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50"/>
    </row>
    <row r="35" spans="1:19">
      <c r="A35" s="248"/>
      <c r="B35" s="251" t="s">
        <v>2267</v>
      </c>
      <c r="C35" s="249" t="s">
        <v>829</v>
      </c>
      <c r="D35" s="249"/>
      <c r="E35" s="251" t="s">
        <v>1526</v>
      </c>
      <c r="F35" s="249"/>
      <c r="G35" s="256">
        <f>사급자재!$M$8</f>
        <v>1114.9000000000001</v>
      </c>
      <c r="H35" s="251" t="str">
        <f>H33</f>
        <v>원</v>
      </c>
      <c r="I35" s="249" t="s">
        <v>828</v>
      </c>
      <c r="J35" s="249"/>
      <c r="K35" s="249"/>
      <c r="L35" s="249"/>
      <c r="M35" s="249"/>
      <c r="N35" s="249"/>
      <c r="O35" s="249"/>
      <c r="P35" s="249"/>
      <c r="Q35" s="249"/>
      <c r="R35" s="249"/>
      <c r="S35" s="250"/>
    </row>
    <row r="36" spans="1:19" ht="8.25" customHeight="1">
      <c r="A36" s="248"/>
      <c r="B36" s="251"/>
      <c r="C36" s="249"/>
      <c r="D36" s="249"/>
      <c r="E36" s="249"/>
      <c r="F36" s="249"/>
      <c r="G36" s="257"/>
      <c r="H36" s="249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50"/>
    </row>
    <row r="37" spans="1:19">
      <c r="A37" s="248"/>
      <c r="B37" s="251" t="s">
        <v>2267</v>
      </c>
      <c r="C37" s="249" t="s">
        <v>830</v>
      </c>
      <c r="D37" s="249"/>
      <c r="E37" s="251" t="s">
        <v>1526</v>
      </c>
      <c r="F37" s="249"/>
      <c r="G37" s="256">
        <f>사급자재!$M$9</f>
        <v>798.18</v>
      </c>
      <c r="H37" s="251" t="str">
        <f>H35</f>
        <v>원</v>
      </c>
      <c r="I37" s="249" t="s">
        <v>828</v>
      </c>
      <c r="J37" s="249"/>
      <c r="K37" s="249"/>
      <c r="L37" s="249"/>
      <c r="M37" s="249"/>
      <c r="N37" s="249"/>
      <c r="O37" s="249"/>
      <c r="P37" s="249"/>
      <c r="Q37" s="249"/>
      <c r="R37" s="249"/>
      <c r="S37" s="250"/>
    </row>
    <row r="38" spans="1:19" ht="18.75" customHeight="1">
      <c r="A38" s="248"/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50"/>
    </row>
    <row r="39" spans="1:19">
      <c r="A39" s="248"/>
      <c r="B39" s="249" t="s">
        <v>831</v>
      </c>
      <c r="C39" s="249" t="s">
        <v>832</v>
      </c>
      <c r="D39" s="249"/>
      <c r="E39" s="249"/>
      <c r="F39" s="249"/>
      <c r="G39" s="249"/>
      <c r="H39" s="249"/>
      <c r="I39" s="249"/>
      <c r="J39" s="249"/>
      <c r="K39" s="249"/>
      <c r="L39" s="249"/>
      <c r="M39" s="249"/>
      <c r="N39" s="249"/>
      <c r="O39" s="249"/>
      <c r="P39" s="249"/>
      <c r="Q39" s="249"/>
      <c r="R39" s="249"/>
      <c r="S39" s="250"/>
    </row>
    <row r="40" spans="1:19">
      <c r="A40" s="248"/>
      <c r="B40" s="249"/>
      <c r="C40" s="249"/>
      <c r="D40" s="249"/>
      <c r="E40" s="249"/>
      <c r="F40" s="249"/>
      <c r="G40" s="249"/>
      <c r="H40" s="249"/>
      <c r="I40" s="249"/>
      <c r="J40" s="249"/>
      <c r="K40" s="249"/>
      <c r="L40" s="249"/>
      <c r="M40" s="249"/>
      <c r="N40" s="249"/>
      <c r="O40" s="249"/>
      <c r="P40" s="249"/>
      <c r="Q40" s="249"/>
      <c r="R40" s="249"/>
      <c r="S40" s="250"/>
    </row>
    <row r="41" spans="1:19">
      <c r="A41" s="248"/>
      <c r="B41" s="249" t="s">
        <v>2267</v>
      </c>
      <c r="C41" s="249" t="s">
        <v>833</v>
      </c>
      <c r="D41" s="249"/>
      <c r="E41" s="249"/>
      <c r="F41" s="249" t="s">
        <v>1526</v>
      </c>
      <c r="G41" s="249">
        <v>8</v>
      </c>
      <c r="H41" s="249" t="s">
        <v>834</v>
      </c>
      <c r="I41" s="249"/>
      <c r="J41" s="249"/>
      <c r="K41" s="249"/>
      <c r="L41" s="249"/>
      <c r="M41" s="249"/>
      <c r="N41" s="249"/>
      <c r="O41" s="249"/>
      <c r="P41" s="249"/>
      <c r="Q41" s="249"/>
      <c r="R41" s="249"/>
      <c r="S41" s="250"/>
    </row>
    <row r="42" spans="1:19">
      <c r="A42" s="248"/>
      <c r="B42" s="249"/>
      <c r="C42" s="249" t="s">
        <v>835</v>
      </c>
      <c r="D42" s="249"/>
      <c r="E42" s="249"/>
      <c r="F42" s="249" t="s">
        <v>1582</v>
      </c>
      <c r="G42" s="254" t="str">
        <f>" 1 / "&amp;G41</f>
        <v xml:space="preserve"> 1 / 8</v>
      </c>
      <c r="H42" s="249" t="s">
        <v>1582</v>
      </c>
      <c r="I42" s="788">
        <f>TRUNC(1/G41,3)</f>
        <v>0.125</v>
      </c>
      <c r="J42" s="788"/>
      <c r="K42" s="249"/>
      <c r="L42" s="249"/>
      <c r="M42" s="249"/>
      <c r="N42" s="249"/>
      <c r="O42" s="249"/>
      <c r="P42" s="249"/>
      <c r="Q42" s="249"/>
      <c r="R42" s="249"/>
      <c r="S42" s="250"/>
    </row>
    <row r="43" spans="1:19">
      <c r="A43" s="248"/>
      <c r="B43" s="249"/>
      <c r="C43" s="249"/>
      <c r="D43" s="249"/>
      <c r="E43" s="249"/>
      <c r="F43" s="249"/>
      <c r="G43" s="254"/>
      <c r="H43" s="249"/>
      <c r="I43" s="249"/>
      <c r="J43" s="249"/>
      <c r="K43" s="249"/>
      <c r="L43" s="249"/>
      <c r="M43" s="249"/>
      <c r="N43" s="249"/>
      <c r="O43" s="249"/>
      <c r="P43" s="249"/>
      <c r="Q43" s="249"/>
      <c r="R43" s="249"/>
      <c r="S43" s="250"/>
    </row>
    <row r="44" spans="1:19">
      <c r="A44" s="248"/>
      <c r="B44" s="249" t="s">
        <v>2267</v>
      </c>
      <c r="C44" s="249" t="s">
        <v>836</v>
      </c>
      <c r="D44" s="249"/>
      <c r="E44" s="249"/>
      <c r="F44" s="249" t="s">
        <v>1526</v>
      </c>
      <c r="G44" s="258">
        <v>400</v>
      </c>
      <c r="H44" s="249" t="s">
        <v>837</v>
      </c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50"/>
    </row>
    <row r="45" spans="1:19">
      <c r="A45" s="248"/>
      <c r="B45" s="249"/>
      <c r="C45" s="249" t="str">
        <f>C42</f>
        <v xml:space="preserve">   1시간당 </v>
      </c>
      <c r="D45" s="249"/>
      <c r="E45" s="249"/>
      <c r="F45" s="249" t="s">
        <v>1582</v>
      </c>
      <c r="G45" s="254" t="str">
        <f>(G44/100+12)&amp;" / 12"</f>
        <v>16 / 12</v>
      </c>
      <c r="H45" s="249" t="s">
        <v>1582</v>
      </c>
      <c r="I45" s="788">
        <f>TRUNC((G44/100+12)/12,3)</f>
        <v>1.333</v>
      </c>
      <c r="J45" s="788"/>
      <c r="K45" s="249"/>
      <c r="L45" s="249"/>
      <c r="M45" s="249"/>
      <c r="N45" s="249"/>
      <c r="O45" s="249"/>
      <c r="P45" s="249"/>
      <c r="Q45" s="249"/>
      <c r="R45" s="249"/>
      <c r="S45" s="250"/>
    </row>
    <row r="46" spans="1:19">
      <c r="A46" s="248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50"/>
    </row>
    <row r="47" spans="1:19">
      <c r="A47" s="248"/>
      <c r="B47" s="249" t="s">
        <v>2267</v>
      </c>
      <c r="C47" s="249" t="s">
        <v>838</v>
      </c>
      <c r="D47" s="249"/>
      <c r="E47" s="249"/>
      <c r="F47" s="249" t="s">
        <v>1526</v>
      </c>
      <c r="G47" s="249">
        <v>25</v>
      </c>
      <c r="H47" s="249" t="s">
        <v>839</v>
      </c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50"/>
    </row>
    <row r="48" spans="1:19">
      <c r="A48" s="248"/>
      <c r="B48" s="249"/>
      <c r="C48" s="249"/>
      <c r="D48" s="249"/>
      <c r="E48" s="249"/>
      <c r="F48" s="249" t="s">
        <v>1526</v>
      </c>
      <c r="G48" s="259">
        <v>20</v>
      </c>
      <c r="H48" s="249" t="s">
        <v>840</v>
      </c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50"/>
    </row>
    <row r="49" spans="1:19">
      <c r="A49" s="248"/>
      <c r="B49" s="249"/>
      <c r="C49" s="249" t="str">
        <f>C45</f>
        <v xml:space="preserve">   1시간당 </v>
      </c>
      <c r="D49" s="249"/>
      <c r="E49" s="249"/>
      <c r="F49" s="249" t="s">
        <v>1582</v>
      </c>
      <c r="G49" s="251" t="str">
        <f>G47&amp;" / "&amp;G48</f>
        <v>25 / 20</v>
      </c>
      <c r="H49" s="249" t="s">
        <v>1582</v>
      </c>
      <c r="I49" s="788">
        <f>TRUNC(G47/G48,3)</f>
        <v>1.25</v>
      </c>
      <c r="J49" s="788"/>
      <c r="K49" s="249"/>
      <c r="L49" s="249"/>
      <c r="M49" s="249"/>
      <c r="N49" s="249"/>
      <c r="O49" s="249"/>
      <c r="P49" s="249"/>
      <c r="Q49" s="249"/>
      <c r="R49" s="249"/>
      <c r="S49" s="250"/>
    </row>
    <row r="50" spans="1:19">
      <c r="A50" s="501"/>
      <c r="B50" s="502"/>
      <c r="C50" s="502"/>
      <c r="D50" s="502"/>
      <c r="E50" s="502"/>
      <c r="F50" s="502"/>
      <c r="G50" s="502"/>
      <c r="H50" s="502"/>
      <c r="I50" s="502"/>
      <c r="J50" s="502"/>
      <c r="K50" s="502"/>
      <c r="L50" s="502"/>
      <c r="M50" s="502"/>
      <c r="N50" s="502"/>
      <c r="O50" s="502"/>
      <c r="P50" s="502"/>
      <c r="Q50" s="502"/>
      <c r="R50" s="502"/>
      <c r="S50" s="503"/>
    </row>
    <row r="51" spans="1:19">
      <c r="A51" s="504"/>
      <c r="B51" s="505"/>
      <c r="C51" s="505"/>
      <c r="D51" s="505"/>
      <c r="E51" s="505"/>
      <c r="F51" s="505"/>
      <c r="G51" s="505"/>
      <c r="H51" s="505"/>
      <c r="I51" s="505"/>
      <c r="J51" s="505"/>
      <c r="K51" s="505"/>
      <c r="L51" s="505"/>
      <c r="M51" s="505"/>
      <c r="N51" s="505"/>
      <c r="O51" s="505"/>
      <c r="P51" s="505"/>
      <c r="Q51" s="505"/>
      <c r="R51" s="505"/>
      <c r="S51" s="506"/>
    </row>
  </sheetData>
  <mergeCells count="13">
    <mergeCell ref="I49:J49"/>
    <mergeCell ref="I29:J29"/>
    <mergeCell ref="I28:J28"/>
    <mergeCell ref="B1:R1"/>
    <mergeCell ref="I27:J27"/>
    <mergeCell ref="C10:D10"/>
    <mergeCell ref="C13:D13"/>
    <mergeCell ref="C16:D16"/>
    <mergeCell ref="C19:D19"/>
    <mergeCell ref="C22:D22"/>
    <mergeCell ref="E5:G5"/>
    <mergeCell ref="I45:J45"/>
    <mergeCell ref="I42:J42"/>
  </mergeCells>
  <phoneticPr fontId="2" type="noConversion"/>
  <printOptions horizontalCentered="1" verticalCentered="1"/>
  <pageMargins left="0.59055118110236227" right="0.59055118110236227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1767"/>
  <sheetViews>
    <sheetView showGridLines="0" showZeros="0" showWhiteSpace="0" view="pageBreakPreview" zoomScaleSheetLayoutView="100" workbookViewId="0">
      <selection activeCell="B2" sqref="B2"/>
    </sheetView>
  </sheetViews>
  <sheetFormatPr defaultRowHeight="18.75" customHeight="1"/>
  <cols>
    <col min="1" max="1" width="3" style="116" customWidth="1"/>
    <col min="2" max="2" width="15.44140625" style="116" customWidth="1"/>
    <col min="3" max="3" width="1.33203125" style="114" customWidth="1"/>
    <col min="4" max="4" width="8" style="114" customWidth="1"/>
    <col min="5" max="5" width="1.33203125" style="114" customWidth="1"/>
    <col min="6" max="6" width="7.88671875" style="114" bestFit="1" customWidth="1"/>
    <col min="7" max="7" width="1.21875" style="114" customWidth="1"/>
    <col min="8" max="8" width="11.33203125" style="175" customWidth="1"/>
    <col min="9" max="9" width="2" style="114" customWidth="1"/>
    <col min="10" max="10" width="5.21875" style="114" customWidth="1"/>
    <col min="11" max="11" width="7.109375" style="114" bestFit="1" customWidth="1"/>
    <col min="12" max="12" width="1.77734375" style="114" customWidth="1"/>
    <col min="13" max="13" width="10.21875" style="176" bestFit="1" customWidth="1"/>
    <col min="14" max="14" width="2.6640625" style="177" bestFit="1" customWidth="1"/>
    <col min="15" max="16384" width="8.88671875" style="114"/>
  </cols>
  <sheetData>
    <row r="1" spans="1:15" ht="16.149999999999999" customHeight="1"/>
    <row r="2" spans="1:15" s="107" customFormat="1" ht="16.149999999999999" customHeight="1">
      <c r="A2" s="451">
        <v>1</v>
      </c>
      <c r="B2" s="99" t="s">
        <v>1100</v>
      </c>
      <c r="C2" s="100" t="s">
        <v>1526</v>
      </c>
      <c r="D2" s="101" t="s">
        <v>585</v>
      </c>
      <c r="E2" s="102"/>
      <c r="F2" s="102"/>
      <c r="G2" s="100"/>
      <c r="H2" s="103" t="s">
        <v>1527</v>
      </c>
      <c r="I2" s="100" t="s">
        <v>1526</v>
      </c>
      <c r="J2" s="102" t="s">
        <v>586</v>
      </c>
      <c r="K2" s="104" t="s">
        <v>847</v>
      </c>
      <c r="L2" s="102" t="s">
        <v>1526</v>
      </c>
      <c r="M2" s="105" t="s">
        <v>587</v>
      </c>
      <c r="N2" s="106"/>
    </row>
    <row r="3" spans="1:15" ht="16.149999999999999" customHeight="1">
      <c r="A3" s="108"/>
      <c r="B3" s="109" t="s">
        <v>588</v>
      </c>
      <c r="C3" s="110" t="s">
        <v>1582</v>
      </c>
      <c r="D3" s="110" t="s">
        <v>589</v>
      </c>
      <c r="E3" s="110" t="s">
        <v>86</v>
      </c>
      <c r="F3" s="110" t="s">
        <v>590</v>
      </c>
      <c r="G3" s="110" t="s">
        <v>86</v>
      </c>
      <c r="H3" s="111" t="s">
        <v>2973</v>
      </c>
      <c r="I3" s="110"/>
      <c r="J3" s="110"/>
      <c r="K3" s="110"/>
      <c r="L3" s="110"/>
      <c r="M3" s="112"/>
      <c r="N3" s="113"/>
    </row>
    <row r="4" spans="1:15" ht="16.149999999999999" customHeight="1">
      <c r="A4" s="108"/>
      <c r="B4" s="109"/>
      <c r="C4" s="110"/>
      <c r="D4" s="110"/>
      <c r="E4" s="110"/>
      <c r="F4" s="110"/>
      <c r="G4" s="110"/>
      <c r="H4" s="111"/>
      <c r="I4" s="110"/>
      <c r="J4" s="792"/>
      <c r="K4" s="792"/>
      <c r="L4" s="110"/>
      <c r="M4" s="112"/>
      <c r="N4" s="113"/>
    </row>
    <row r="5" spans="1:15" ht="16.149999999999999" customHeight="1">
      <c r="A5" s="115"/>
      <c r="F5" s="117"/>
      <c r="G5" s="118"/>
      <c r="H5" s="119">
        <f>기계경비산출표!$E$7*1000</f>
        <v>145207000</v>
      </c>
      <c r="I5" s="110" t="s">
        <v>972</v>
      </c>
      <c r="J5" s="120">
        <v>1763</v>
      </c>
      <c r="K5" s="118" t="s">
        <v>2974</v>
      </c>
      <c r="L5" s="121" t="s">
        <v>1582</v>
      </c>
      <c r="M5" s="112">
        <f>TRUNC(H5*J5*(10^-7))</f>
        <v>25599</v>
      </c>
      <c r="N5" s="113" t="s">
        <v>975</v>
      </c>
    </row>
    <row r="6" spans="1:15" ht="16.149999999999999" customHeight="1">
      <c r="A6" s="115"/>
      <c r="B6" s="122"/>
      <c r="C6" s="118"/>
      <c r="D6" s="33"/>
      <c r="E6" s="110"/>
      <c r="F6" s="118"/>
      <c r="G6" s="118"/>
      <c r="H6" s="123"/>
      <c r="I6" s="118"/>
      <c r="J6" s="110"/>
      <c r="K6" s="110"/>
      <c r="L6" s="110"/>
      <c r="M6" s="112"/>
      <c r="N6" s="113"/>
    </row>
    <row r="7" spans="1:15" ht="16.149999999999999" customHeight="1">
      <c r="A7" s="124"/>
      <c r="B7" s="125" t="s">
        <v>1115</v>
      </c>
      <c r="C7" s="126"/>
      <c r="D7" s="126"/>
      <c r="E7" s="126"/>
      <c r="F7" s="126"/>
      <c r="G7" s="126"/>
      <c r="H7" s="127"/>
      <c r="I7" s="126"/>
      <c r="J7" s="126"/>
      <c r="K7" s="126"/>
      <c r="L7" s="126"/>
      <c r="M7" s="128"/>
      <c r="N7" s="129"/>
    </row>
    <row r="8" spans="1:15" ht="16.149999999999999" customHeight="1">
      <c r="A8" s="130"/>
      <c r="B8" s="131" t="s">
        <v>3185</v>
      </c>
      <c r="C8" s="118"/>
      <c r="D8" s="33">
        <f>SUMIF('노임(2015)'!$B$4:$B$87,B8,'노임(2015)'!$C$4:$C$87)+SUMIF('노임(2015)'!$E$4:$E$87,B8,'노임(2015)'!$F$4:$F$87)</f>
        <v>130411</v>
      </c>
      <c r="E8" s="110" t="s">
        <v>972</v>
      </c>
      <c r="F8" s="110" t="s">
        <v>973</v>
      </c>
      <c r="G8" s="132" t="s">
        <v>974</v>
      </c>
      <c r="H8" s="111"/>
      <c r="I8" s="110"/>
      <c r="J8" s="110"/>
      <c r="K8" s="133">
        <v>1</v>
      </c>
      <c r="L8" s="118" t="s">
        <v>1582</v>
      </c>
      <c r="M8" s="112">
        <f>TRUNC(D8*(1/8)*(16/12)*(25/20)*K8)</f>
        <v>27168</v>
      </c>
      <c r="N8" s="113" t="s">
        <v>975</v>
      </c>
    </row>
    <row r="9" spans="1:15" ht="16.149999999999999" customHeight="1">
      <c r="A9" s="130"/>
      <c r="B9" s="109"/>
      <c r="C9" s="118"/>
      <c r="D9" s="33"/>
      <c r="E9" s="110"/>
      <c r="F9" s="110"/>
      <c r="G9" s="132"/>
      <c r="H9" s="111"/>
      <c r="I9" s="110"/>
      <c r="J9" s="110"/>
      <c r="K9" s="134"/>
      <c r="L9" s="118"/>
      <c r="M9" s="112"/>
      <c r="N9" s="113"/>
    </row>
    <row r="10" spans="1:15" ht="18.600000000000001" customHeight="1">
      <c r="A10" s="130"/>
      <c r="B10" s="109"/>
      <c r="C10" s="118"/>
      <c r="D10" s="33"/>
      <c r="E10" s="110"/>
      <c r="F10" s="110"/>
      <c r="G10" s="132"/>
      <c r="H10" s="111"/>
      <c r="I10" s="110"/>
      <c r="J10" s="110"/>
      <c r="K10" s="134"/>
      <c r="L10" s="118"/>
      <c r="M10" s="112"/>
      <c r="N10" s="113"/>
      <c r="O10" s="114" t="s">
        <v>3682</v>
      </c>
    </row>
    <row r="11" spans="1:15" ht="16.149999999999999" customHeight="1">
      <c r="A11" s="130"/>
      <c r="B11" s="109"/>
      <c r="C11" s="118"/>
      <c r="D11" s="110"/>
      <c r="E11" s="110"/>
      <c r="F11" s="110"/>
      <c r="G11" s="110"/>
      <c r="H11" s="111"/>
      <c r="I11" s="791"/>
      <c r="J11" s="791"/>
      <c r="K11" s="118" t="s">
        <v>1164</v>
      </c>
      <c r="L11" s="118" t="s">
        <v>1582</v>
      </c>
      <c r="M11" s="112">
        <f>(M8+M9)</f>
        <v>27168</v>
      </c>
      <c r="N11" s="113" t="s">
        <v>975</v>
      </c>
      <c r="O11" s="114" t="s">
        <v>1115</v>
      </c>
    </row>
    <row r="12" spans="1:15" ht="18.600000000000001" customHeight="1">
      <c r="A12" s="130"/>
      <c r="B12" s="109"/>
      <c r="C12" s="118"/>
      <c r="D12" s="110"/>
      <c r="E12" s="110"/>
      <c r="F12" s="110"/>
      <c r="G12" s="110"/>
      <c r="H12" s="111"/>
      <c r="I12" s="118"/>
      <c r="J12" s="118"/>
      <c r="K12" s="118"/>
      <c r="L12" s="118"/>
      <c r="M12" s="112"/>
      <c r="N12" s="113"/>
      <c r="O12" s="114" t="s">
        <v>3682</v>
      </c>
    </row>
    <row r="13" spans="1:15" ht="18.600000000000001" customHeight="1">
      <c r="A13" s="135"/>
      <c r="B13" s="136"/>
      <c r="C13" s="137"/>
      <c r="D13" s="138"/>
      <c r="E13" s="138"/>
      <c r="F13" s="138"/>
      <c r="G13" s="138"/>
      <c r="H13" s="139"/>
      <c r="I13" s="137"/>
      <c r="J13" s="137"/>
      <c r="K13" s="137"/>
      <c r="L13" s="137"/>
      <c r="M13" s="140"/>
      <c r="N13" s="141"/>
      <c r="O13" s="114" t="s">
        <v>3682</v>
      </c>
    </row>
    <row r="14" spans="1:15" ht="16.149999999999999" customHeight="1">
      <c r="A14" s="124"/>
      <c r="B14" s="125" t="s">
        <v>1116</v>
      </c>
      <c r="C14" s="142"/>
      <c r="D14" s="126"/>
      <c r="E14" s="126"/>
      <c r="F14" s="126"/>
      <c r="G14" s="126"/>
      <c r="H14" s="127"/>
      <c r="I14" s="126"/>
      <c r="J14" s="126"/>
      <c r="K14" s="126"/>
      <c r="L14" s="126"/>
      <c r="M14" s="143"/>
      <c r="N14" s="129"/>
    </row>
    <row r="15" spans="1:15" ht="16.149999999999999" customHeight="1">
      <c r="A15" s="130"/>
      <c r="B15" s="131" t="s">
        <v>2461</v>
      </c>
      <c r="C15" s="118" t="s">
        <v>1526</v>
      </c>
      <c r="D15" s="118">
        <v>25</v>
      </c>
      <c r="E15" s="110" t="s">
        <v>456</v>
      </c>
      <c r="F15" s="118" t="s">
        <v>972</v>
      </c>
      <c r="G15" s="110"/>
      <c r="H15" s="123">
        <f>중기기준!$G$35</f>
        <v>1114.9000000000001</v>
      </c>
      <c r="I15" s="110" t="s">
        <v>975</v>
      </c>
      <c r="J15" s="110"/>
      <c r="K15" s="110"/>
      <c r="L15" s="118" t="s">
        <v>1582</v>
      </c>
      <c r="M15" s="144">
        <f>TRUNC(D15*H15,2)</f>
        <v>27872.5</v>
      </c>
      <c r="N15" s="113" t="s">
        <v>975</v>
      </c>
    </row>
    <row r="16" spans="1:15" ht="16.149999999999999" customHeight="1">
      <c r="A16" s="130"/>
      <c r="B16" s="109" t="s">
        <v>1556</v>
      </c>
      <c r="C16" s="118" t="s">
        <v>1526</v>
      </c>
      <c r="D16" s="145">
        <v>0.16</v>
      </c>
      <c r="E16" s="110"/>
      <c r="F16" s="118" t="s">
        <v>972</v>
      </c>
      <c r="G16" s="110"/>
      <c r="H16" s="123">
        <f>M15</f>
        <v>27872.5</v>
      </c>
      <c r="I16" s="110" t="s">
        <v>975</v>
      </c>
      <c r="J16" s="110"/>
      <c r="K16" s="110"/>
      <c r="L16" s="118" t="s">
        <v>1582</v>
      </c>
      <c r="M16" s="112">
        <f>TRUNC((D16*H16),2)</f>
        <v>4459.6000000000004</v>
      </c>
      <c r="N16" s="113" t="s">
        <v>975</v>
      </c>
    </row>
    <row r="17" spans="1:15" ht="16.149999999999999" customHeight="1">
      <c r="A17" s="130"/>
      <c r="B17" s="109"/>
      <c r="C17" s="110"/>
      <c r="D17" s="110"/>
      <c r="E17" s="110"/>
      <c r="F17" s="110"/>
      <c r="G17" s="110"/>
      <c r="H17" s="111"/>
      <c r="I17" s="110"/>
      <c r="J17" s="110"/>
      <c r="K17" s="118" t="s">
        <v>1164</v>
      </c>
      <c r="L17" s="118" t="s">
        <v>1582</v>
      </c>
      <c r="M17" s="112">
        <f>TRUNC(SUM(M15:M16))</f>
        <v>32332</v>
      </c>
      <c r="N17" s="113" t="s">
        <v>975</v>
      </c>
    </row>
    <row r="18" spans="1:15" ht="18.600000000000001" customHeight="1">
      <c r="A18" s="135"/>
      <c r="B18" s="136"/>
      <c r="C18" s="138"/>
      <c r="D18" s="138"/>
      <c r="E18" s="138"/>
      <c r="F18" s="138"/>
      <c r="G18" s="138"/>
      <c r="H18" s="139"/>
      <c r="I18" s="138"/>
      <c r="J18" s="138"/>
      <c r="K18" s="137"/>
      <c r="L18" s="137"/>
      <c r="M18" s="140"/>
      <c r="N18" s="141"/>
      <c r="O18" s="114" t="s">
        <v>3682</v>
      </c>
    </row>
    <row r="19" spans="1:15" s="152" customFormat="1" ht="16.149999999999999" customHeight="1">
      <c r="A19" s="146"/>
      <c r="B19" s="147"/>
      <c r="C19" s="148"/>
      <c r="D19" s="148"/>
      <c r="E19" s="148"/>
      <c r="F19" s="148"/>
      <c r="G19" s="148"/>
      <c r="H19" s="149"/>
      <c r="I19" s="148"/>
      <c r="J19" s="148"/>
      <c r="K19" s="148" t="s">
        <v>1118</v>
      </c>
      <c r="L19" s="148" t="s">
        <v>1582</v>
      </c>
      <c r="M19" s="150">
        <f>TRUNC(M5+M11+M17,0)</f>
        <v>85099</v>
      </c>
      <c r="N19" s="151"/>
    </row>
    <row r="20" spans="1:15" ht="16.149999999999999" customHeight="1">
      <c r="A20" s="114"/>
    </row>
    <row r="21" spans="1:15" s="107" customFormat="1" ht="16.149999999999999" customHeight="1">
      <c r="A21" s="451">
        <f>A2+1</f>
        <v>2</v>
      </c>
      <c r="B21" s="99" t="s">
        <v>1100</v>
      </c>
      <c r="C21" s="100" t="s">
        <v>1526</v>
      </c>
      <c r="D21" s="101" t="s">
        <v>585</v>
      </c>
      <c r="E21" s="102"/>
      <c r="F21" s="102"/>
      <c r="G21" s="100"/>
      <c r="H21" s="103" t="s">
        <v>1527</v>
      </c>
      <c r="I21" s="100" t="s">
        <v>1526</v>
      </c>
      <c r="J21" s="102" t="s">
        <v>592</v>
      </c>
      <c r="K21" s="104" t="s">
        <v>847</v>
      </c>
      <c r="L21" s="102" t="s">
        <v>1526</v>
      </c>
      <c r="M21" s="105" t="s">
        <v>593</v>
      </c>
      <c r="N21" s="106"/>
    </row>
    <row r="22" spans="1:15" ht="16.149999999999999" customHeight="1">
      <c r="A22" s="108"/>
      <c r="B22" s="109" t="s">
        <v>588</v>
      </c>
      <c r="C22" s="110" t="s">
        <v>1582</v>
      </c>
      <c r="D22" s="110" t="s">
        <v>589</v>
      </c>
      <c r="E22" s="110" t="s">
        <v>86</v>
      </c>
      <c r="F22" s="110" t="s">
        <v>590</v>
      </c>
      <c r="G22" s="110" t="s">
        <v>86</v>
      </c>
      <c r="H22" s="111" t="s">
        <v>2973</v>
      </c>
      <c r="I22" s="110"/>
      <c r="J22" s="110"/>
      <c r="K22" s="110"/>
      <c r="L22" s="110"/>
      <c r="M22" s="112"/>
      <c r="N22" s="113"/>
    </row>
    <row r="23" spans="1:15" ht="16.149999999999999" customHeight="1">
      <c r="A23" s="108"/>
      <c r="B23" s="109"/>
      <c r="C23" s="110"/>
      <c r="D23" s="110"/>
      <c r="E23" s="110"/>
      <c r="F23" s="110"/>
      <c r="G23" s="110"/>
      <c r="H23" s="111"/>
      <c r="I23" s="110"/>
      <c r="J23" s="792"/>
      <c r="K23" s="792"/>
      <c r="L23" s="110"/>
      <c r="M23" s="112"/>
      <c r="N23" s="113"/>
    </row>
    <row r="24" spans="1:15" ht="16.149999999999999" customHeight="1">
      <c r="A24" s="115"/>
      <c r="F24" s="117"/>
      <c r="G24" s="118"/>
      <c r="H24" s="119">
        <f>기계경비산출표!$E$8*1000</f>
        <v>192853000</v>
      </c>
      <c r="I24" s="110" t="s">
        <v>972</v>
      </c>
      <c r="J24" s="120">
        <v>1763</v>
      </c>
      <c r="K24" s="118" t="s">
        <v>2974</v>
      </c>
      <c r="L24" s="121" t="s">
        <v>1582</v>
      </c>
      <c r="M24" s="112">
        <f>TRUNC(H24*J24*(10^-7))</f>
        <v>33999</v>
      </c>
      <c r="N24" s="113" t="s">
        <v>975</v>
      </c>
    </row>
    <row r="25" spans="1:15" ht="16.149999999999999" customHeight="1">
      <c r="A25" s="115"/>
      <c r="B25" s="122"/>
      <c r="C25" s="118"/>
      <c r="D25" s="33"/>
      <c r="E25" s="110"/>
      <c r="F25" s="118"/>
      <c r="G25" s="118"/>
      <c r="H25" s="123"/>
      <c r="I25" s="118"/>
      <c r="J25" s="110"/>
      <c r="K25" s="110"/>
      <c r="L25" s="110"/>
      <c r="M25" s="112"/>
      <c r="N25" s="113"/>
    </row>
    <row r="26" spans="1:15" ht="16.149999999999999" customHeight="1">
      <c r="A26" s="124"/>
      <c r="B26" s="125" t="s">
        <v>1115</v>
      </c>
      <c r="C26" s="126"/>
      <c r="D26" s="126"/>
      <c r="E26" s="126"/>
      <c r="F26" s="126"/>
      <c r="G26" s="126"/>
      <c r="H26" s="127"/>
      <c r="I26" s="126"/>
      <c r="J26" s="126"/>
      <c r="K26" s="126"/>
      <c r="L26" s="126"/>
      <c r="M26" s="128"/>
      <c r="N26" s="129"/>
    </row>
    <row r="27" spans="1:15" ht="16.149999999999999" customHeight="1">
      <c r="A27" s="130"/>
      <c r="B27" s="131" t="s">
        <v>3185</v>
      </c>
      <c r="C27" s="118"/>
      <c r="D27" s="33">
        <f>SUMIF('노임(2015)'!$B$4:$B$87,B27,'노임(2015)'!$C$4:$C$87)+SUMIF('노임(2015)'!$E$4:$E$87,B27,'노임(2015)'!$F$4:$F$87)</f>
        <v>130411</v>
      </c>
      <c r="E27" s="110" t="s">
        <v>972</v>
      </c>
      <c r="F27" s="110" t="s">
        <v>973</v>
      </c>
      <c r="G27" s="132" t="s">
        <v>974</v>
      </c>
      <c r="H27" s="111"/>
      <c r="I27" s="110"/>
      <c r="J27" s="110"/>
      <c r="K27" s="133">
        <v>1</v>
      </c>
      <c r="L27" s="118" t="s">
        <v>1582</v>
      </c>
      <c r="M27" s="112">
        <f>TRUNC(D27*(1/8)*(16/12)*(25/20)*K27)</f>
        <v>27168</v>
      </c>
      <c r="N27" s="113" t="s">
        <v>975</v>
      </c>
    </row>
    <row r="28" spans="1:15" ht="16.149999999999999" customHeight="1">
      <c r="A28" s="130"/>
      <c r="B28" s="109"/>
      <c r="C28" s="118"/>
      <c r="D28" s="33"/>
      <c r="E28" s="110"/>
      <c r="F28" s="110"/>
      <c r="G28" s="132"/>
      <c r="H28" s="111"/>
      <c r="I28" s="110"/>
      <c r="J28" s="110"/>
      <c r="K28" s="134"/>
      <c r="L28" s="118"/>
      <c r="M28" s="112"/>
      <c r="N28" s="113"/>
    </row>
    <row r="29" spans="1:15" ht="18.600000000000001" customHeight="1">
      <c r="A29" s="130"/>
      <c r="B29" s="109"/>
      <c r="C29" s="118"/>
      <c r="D29" s="33"/>
      <c r="E29" s="110"/>
      <c r="F29" s="110"/>
      <c r="G29" s="132"/>
      <c r="H29" s="111"/>
      <c r="I29" s="110"/>
      <c r="J29" s="110"/>
      <c r="K29" s="134"/>
      <c r="L29" s="118"/>
      <c r="M29" s="112"/>
      <c r="N29" s="113"/>
      <c r="O29" s="114" t="s">
        <v>3682</v>
      </c>
    </row>
    <row r="30" spans="1:15" ht="16.149999999999999" customHeight="1">
      <c r="A30" s="130"/>
      <c r="B30" s="109"/>
      <c r="C30" s="118"/>
      <c r="D30" s="110"/>
      <c r="E30" s="110"/>
      <c r="F30" s="110"/>
      <c r="G30" s="110"/>
      <c r="H30" s="111"/>
      <c r="I30" s="791"/>
      <c r="J30" s="791"/>
      <c r="K30" s="118" t="s">
        <v>1164</v>
      </c>
      <c r="L30" s="118" t="s">
        <v>1582</v>
      </c>
      <c r="M30" s="112">
        <f>(M27+M28)</f>
        <v>27168</v>
      </c>
      <c r="N30" s="113" t="s">
        <v>975</v>
      </c>
      <c r="O30" s="114" t="s">
        <v>1115</v>
      </c>
    </row>
    <row r="31" spans="1:15" ht="18.600000000000001" customHeight="1">
      <c r="A31" s="130"/>
      <c r="B31" s="109"/>
      <c r="C31" s="118"/>
      <c r="D31" s="110"/>
      <c r="E31" s="110"/>
      <c r="F31" s="110"/>
      <c r="G31" s="110"/>
      <c r="H31" s="111"/>
      <c r="I31" s="118"/>
      <c r="J31" s="118"/>
      <c r="K31" s="118"/>
      <c r="L31" s="118"/>
      <c r="M31" s="112"/>
      <c r="N31" s="113"/>
      <c r="O31" s="114" t="s">
        <v>3682</v>
      </c>
    </row>
    <row r="32" spans="1:15" ht="18.600000000000001" customHeight="1">
      <c r="A32" s="135"/>
      <c r="B32" s="136"/>
      <c r="C32" s="137"/>
      <c r="D32" s="138"/>
      <c r="E32" s="138"/>
      <c r="F32" s="138"/>
      <c r="G32" s="138"/>
      <c r="H32" s="139"/>
      <c r="I32" s="137"/>
      <c r="J32" s="137"/>
      <c r="K32" s="137"/>
      <c r="L32" s="137"/>
      <c r="M32" s="140"/>
      <c r="N32" s="141"/>
      <c r="O32" s="114" t="s">
        <v>3682</v>
      </c>
    </row>
    <row r="33" spans="1:15" ht="16.149999999999999" customHeight="1">
      <c r="A33" s="124"/>
      <c r="B33" s="125" t="s">
        <v>1116</v>
      </c>
      <c r="C33" s="142"/>
      <c r="D33" s="126"/>
      <c r="E33" s="126"/>
      <c r="F33" s="126"/>
      <c r="G33" s="126"/>
      <c r="H33" s="127"/>
      <c r="I33" s="126"/>
      <c r="J33" s="126"/>
      <c r="K33" s="126"/>
      <c r="L33" s="126"/>
      <c r="M33" s="128"/>
      <c r="N33" s="129"/>
    </row>
    <row r="34" spans="1:15" ht="16.149999999999999" customHeight="1">
      <c r="A34" s="130"/>
      <c r="B34" s="131" t="s">
        <v>2461</v>
      </c>
      <c r="C34" s="118" t="s">
        <v>1526</v>
      </c>
      <c r="D34" s="118">
        <v>41.6</v>
      </c>
      <c r="E34" s="110" t="s">
        <v>456</v>
      </c>
      <c r="F34" s="118" t="s">
        <v>972</v>
      </c>
      <c r="G34" s="110"/>
      <c r="H34" s="123">
        <f>중기기준!$G$35</f>
        <v>1114.9000000000001</v>
      </c>
      <c r="I34" s="110" t="s">
        <v>975</v>
      </c>
      <c r="J34" s="110"/>
      <c r="K34" s="110"/>
      <c r="L34" s="118" t="s">
        <v>1582</v>
      </c>
      <c r="M34" s="112">
        <f>TRUNC(D34*H34,2)</f>
        <v>46379.839999999997</v>
      </c>
      <c r="N34" s="113" t="s">
        <v>975</v>
      </c>
    </row>
    <row r="35" spans="1:15" ht="16.149999999999999" customHeight="1">
      <c r="A35" s="130"/>
      <c r="B35" s="109" t="s">
        <v>1556</v>
      </c>
      <c r="C35" s="118" t="s">
        <v>1526</v>
      </c>
      <c r="D35" s="145">
        <v>0.16</v>
      </c>
      <c r="E35" s="110"/>
      <c r="F35" s="118" t="s">
        <v>972</v>
      </c>
      <c r="G35" s="110"/>
      <c r="H35" s="123">
        <f>M34</f>
        <v>46379.839999999997</v>
      </c>
      <c r="I35" s="110" t="s">
        <v>975</v>
      </c>
      <c r="J35" s="110"/>
      <c r="K35" s="110"/>
      <c r="L35" s="118" t="s">
        <v>1582</v>
      </c>
      <c r="M35" s="112">
        <f>TRUNC((D35*H35),2)</f>
        <v>7420.77</v>
      </c>
      <c r="N35" s="113" t="s">
        <v>975</v>
      </c>
    </row>
    <row r="36" spans="1:15" ht="16.149999999999999" customHeight="1">
      <c r="A36" s="130"/>
      <c r="B36" s="109"/>
      <c r="C36" s="110"/>
      <c r="D36" s="110"/>
      <c r="E36" s="110"/>
      <c r="F36" s="110"/>
      <c r="G36" s="110"/>
      <c r="H36" s="111"/>
      <c r="I36" s="110"/>
      <c r="J36" s="110"/>
      <c r="K36" s="118" t="s">
        <v>1164</v>
      </c>
      <c r="L36" s="118" t="s">
        <v>1582</v>
      </c>
      <c r="M36" s="112">
        <f>TRUNC(SUM(M34:M35))</f>
        <v>53800</v>
      </c>
      <c r="N36" s="113" t="s">
        <v>975</v>
      </c>
    </row>
    <row r="37" spans="1:15" ht="18.600000000000001" customHeight="1">
      <c r="A37" s="135"/>
      <c r="B37" s="136"/>
      <c r="C37" s="138"/>
      <c r="D37" s="138"/>
      <c r="E37" s="138"/>
      <c r="F37" s="138"/>
      <c r="G37" s="138"/>
      <c r="H37" s="139"/>
      <c r="I37" s="138"/>
      <c r="J37" s="138"/>
      <c r="K37" s="137"/>
      <c r="L37" s="137"/>
      <c r="M37" s="140"/>
      <c r="N37" s="141"/>
      <c r="O37" s="114" t="s">
        <v>3682</v>
      </c>
    </row>
    <row r="38" spans="1:15" s="152" customFormat="1" ht="16.149999999999999" customHeight="1">
      <c r="A38" s="146"/>
      <c r="B38" s="147"/>
      <c r="C38" s="148"/>
      <c r="D38" s="148"/>
      <c r="E38" s="148"/>
      <c r="F38" s="148"/>
      <c r="G38" s="148"/>
      <c r="H38" s="149"/>
      <c r="I38" s="148"/>
      <c r="J38" s="148"/>
      <c r="K38" s="148" t="s">
        <v>1118</v>
      </c>
      <c r="L38" s="148" t="s">
        <v>1582</v>
      </c>
      <c r="M38" s="150">
        <f>TRUNC(M24+M30+M36,0)</f>
        <v>114967</v>
      </c>
      <c r="N38" s="151"/>
    </row>
    <row r="39" spans="1:15" ht="16.149999999999999" customHeight="1">
      <c r="A39" s="153"/>
      <c r="B39" s="125"/>
      <c r="C39" s="153"/>
      <c r="D39" s="153"/>
      <c r="E39" s="153"/>
      <c r="F39" s="153"/>
      <c r="G39" s="153"/>
      <c r="H39" s="154"/>
      <c r="I39" s="153"/>
      <c r="J39" s="153"/>
      <c r="K39" s="153"/>
      <c r="L39" s="153"/>
      <c r="M39" s="128"/>
      <c r="N39" s="142"/>
    </row>
    <row r="40" spans="1:15" s="107" customFormat="1" ht="16.149999999999999" customHeight="1">
      <c r="A40" s="451">
        <f>A21+1</f>
        <v>3</v>
      </c>
      <c r="B40" s="99" t="s">
        <v>1100</v>
      </c>
      <c r="C40" s="100" t="s">
        <v>1526</v>
      </c>
      <c r="D40" s="101" t="s">
        <v>594</v>
      </c>
      <c r="E40" s="102"/>
      <c r="F40" s="102"/>
      <c r="G40" s="100"/>
      <c r="H40" s="103" t="s">
        <v>1527</v>
      </c>
      <c r="I40" s="100" t="s">
        <v>1526</v>
      </c>
      <c r="J40" s="102" t="s">
        <v>586</v>
      </c>
      <c r="K40" s="104" t="s">
        <v>847</v>
      </c>
      <c r="L40" s="102" t="s">
        <v>1526</v>
      </c>
      <c r="M40" s="105" t="s">
        <v>595</v>
      </c>
      <c r="N40" s="106"/>
    </row>
    <row r="41" spans="1:15" ht="16.149999999999999" customHeight="1">
      <c r="A41" s="108"/>
      <c r="B41" s="109" t="s">
        <v>588</v>
      </c>
      <c r="C41" s="110" t="s">
        <v>1582</v>
      </c>
      <c r="D41" s="110" t="s">
        <v>589</v>
      </c>
      <c r="E41" s="110" t="s">
        <v>86</v>
      </c>
      <c r="F41" s="110" t="s">
        <v>590</v>
      </c>
      <c r="G41" s="110" t="s">
        <v>86</v>
      </c>
      <c r="H41" s="111" t="s">
        <v>2973</v>
      </c>
      <c r="I41" s="110"/>
      <c r="J41" s="110"/>
      <c r="K41" s="110"/>
      <c r="L41" s="110"/>
      <c r="M41" s="112"/>
      <c r="N41" s="113"/>
    </row>
    <row r="42" spans="1:15" ht="16.149999999999999" customHeight="1">
      <c r="A42" s="108"/>
      <c r="B42" s="109"/>
      <c r="C42" s="110"/>
      <c r="D42" s="110"/>
      <c r="E42" s="110"/>
      <c r="F42" s="110"/>
      <c r="G42" s="110"/>
      <c r="H42" s="111"/>
      <c r="I42" s="110"/>
      <c r="J42" s="792"/>
      <c r="K42" s="792"/>
      <c r="L42" s="110"/>
      <c r="M42" s="112"/>
      <c r="N42" s="113"/>
    </row>
    <row r="43" spans="1:15" ht="16.149999999999999" customHeight="1">
      <c r="A43" s="115"/>
      <c r="F43" s="117"/>
      <c r="G43" s="118"/>
      <c r="H43" s="119">
        <f>기계경비산출표!$E$13*1000</f>
        <v>14245000</v>
      </c>
      <c r="I43" s="110" t="s">
        <v>972</v>
      </c>
      <c r="J43" s="120">
        <v>795</v>
      </c>
      <c r="K43" s="118" t="s">
        <v>2974</v>
      </c>
      <c r="L43" s="121" t="s">
        <v>1582</v>
      </c>
      <c r="M43" s="112">
        <f>TRUNC(H43*J43*(10^-7))</f>
        <v>1132</v>
      </c>
      <c r="N43" s="113" t="s">
        <v>975</v>
      </c>
    </row>
    <row r="44" spans="1:15" ht="16.149999999999999" customHeight="1">
      <c r="A44" s="115"/>
      <c r="B44" s="122"/>
      <c r="C44" s="118"/>
      <c r="D44" s="33"/>
      <c r="E44" s="110"/>
      <c r="F44" s="118"/>
      <c r="G44" s="118"/>
      <c r="H44" s="123"/>
      <c r="I44" s="118"/>
      <c r="J44" s="110"/>
      <c r="K44" s="110"/>
      <c r="L44" s="110"/>
      <c r="M44" s="112"/>
      <c r="N44" s="113"/>
    </row>
    <row r="45" spans="1:15" ht="16.149999999999999" customHeight="1">
      <c r="A45" s="124"/>
      <c r="B45" s="125" t="s">
        <v>1115</v>
      </c>
      <c r="C45" s="126"/>
      <c r="D45" s="126"/>
      <c r="E45" s="126"/>
      <c r="F45" s="126"/>
      <c r="G45" s="126"/>
      <c r="H45" s="127"/>
      <c r="I45" s="126"/>
      <c r="J45" s="126"/>
      <c r="K45" s="126"/>
      <c r="L45" s="126"/>
      <c r="M45" s="128"/>
      <c r="N45" s="129"/>
    </row>
    <row r="46" spans="1:15" ht="16.149999999999999" customHeight="1">
      <c r="A46" s="130"/>
      <c r="B46" s="131"/>
      <c r="C46" s="118"/>
      <c r="D46" s="33"/>
      <c r="E46" s="110"/>
      <c r="F46" s="110"/>
      <c r="G46" s="132"/>
      <c r="H46" s="111"/>
      <c r="I46" s="110"/>
      <c r="J46" s="110"/>
      <c r="K46" s="133"/>
      <c r="L46" s="118"/>
      <c r="M46" s="112"/>
      <c r="N46" s="113"/>
    </row>
    <row r="47" spans="1:15" ht="16.149999999999999" customHeight="1">
      <c r="A47" s="130"/>
      <c r="B47" s="109"/>
      <c r="C47" s="118"/>
      <c r="D47" s="33"/>
      <c r="E47" s="110"/>
      <c r="F47" s="110"/>
      <c r="G47" s="132"/>
      <c r="H47" s="111"/>
      <c r="I47" s="110"/>
      <c r="J47" s="110"/>
      <c r="K47" s="134"/>
      <c r="L47" s="118"/>
      <c r="M47" s="112"/>
      <c r="N47" s="113"/>
    </row>
    <row r="48" spans="1:15" ht="18.600000000000001" customHeight="1">
      <c r="A48" s="130"/>
      <c r="B48" s="109"/>
      <c r="C48" s="118"/>
      <c r="D48" s="33"/>
      <c r="E48" s="110"/>
      <c r="F48" s="110"/>
      <c r="G48" s="132"/>
      <c r="H48" s="111"/>
      <c r="I48" s="110"/>
      <c r="J48" s="110"/>
      <c r="K48" s="134"/>
      <c r="L48" s="118"/>
      <c r="M48" s="112"/>
      <c r="N48" s="113"/>
      <c r="O48" s="114" t="s">
        <v>3682</v>
      </c>
    </row>
    <row r="49" spans="1:15" ht="16.149999999999999" customHeight="1">
      <c r="A49" s="130"/>
      <c r="B49" s="109"/>
      <c r="C49" s="118"/>
      <c r="D49" s="110"/>
      <c r="E49" s="110"/>
      <c r="F49" s="110"/>
      <c r="G49" s="110"/>
      <c r="H49" s="111"/>
      <c r="I49" s="791"/>
      <c r="J49" s="791"/>
      <c r="K49" s="118" t="s">
        <v>1164</v>
      </c>
      <c r="L49" s="118" t="s">
        <v>1582</v>
      </c>
      <c r="M49" s="112">
        <f>(M46+M47)</f>
        <v>0</v>
      </c>
      <c r="N49" s="113" t="s">
        <v>975</v>
      </c>
      <c r="O49" s="114" t="s">
        <v>1115</v>
      </c>
    </row>
    <row r="50" spans="1:15" ht="18.600000000000001" customHeight="1">
      <c r="A50" s="130"/>
      <c r="B50" s="109"/>
      <c r="C50" s="118"/>
      <c r="D50" s="110"/>
      <c r="E50" s="110"/>
      <c r="F50" s="110"/>
      <c r="G50" s="110"/>
      <c r="H50" s="111"/>
      <c r="I50" s="118"/>
      <c r="J50" s="118"/>
      <c r="K50" s="118"/>
      <c r="L50" s="118"/>
      <c r="M50" s="112"/>
      <c r="N50" s="113"/>
      <c r="O50" s="114" t="s">
        <v>3682</v>
      </c>
    </row>
    <row r="51" spans="1:15" ht="18.600000000000001" customHeight="1">
      <c r="A51" s="135"/>
      <c r="B51" s="136"/>
      <c r="C51" s="137"/>
      <c r="D51" s="138"/>
      <c r="E51" s="138"/>
      <c r="F51" s="138"/>
      <c r="G51" s="138"/>
      <c r="H51" s="139"/>
      <c r="I51" s="137"/>
      <c r="J51" s="137"/>
      <c r="K51" s="137"/>
      <c r="L51" s="137"/>
      <c r="M51" s="140"/>
      <c r="N51" s="141"/>
      <c r="O51" s="114" t="s">
        <v>3682</v>
      </c>
    </row>
    <row r="52" spans="1:15" ht="16.149999999999999" customHeight="1">
      <c r="A52" s="124"/>
      <c r="B52" s="125" t="s">
        <v>1116</v>
      </c>
      <c r="C52" s="142"/>
      <c r="D52" s="126"/>
      <c r="E52" s="126"/>
      <c r="F52" s="126"/>
      <c r="G52" s="126"/>
      <c r="H52" s="127"/>
      <c r="I52" s="126"/>
      <c r="J52" s="126"/>
      <c r="K52" s="126"/>
      <c r="L52" s="126"/>
      <c r="M52" s="128"/>
      <c r="N52" s="129"/>
    </row>
    <row r="53" spans="1:15" ht="16.149999999999999" customHeight="1">
      <c r="A53" s="130"/>
      <c r="B53" s="131"/>
      <c r="C53" s="118"/>
      <c r="D53" s="118"/>
      <c r="E53" s="110"/>
      <c r="F53" s="118"/>
      <c r="G53" s="110"/>
      <c r="H53" s="123"/>
      <c r="I53" s="110"/>
      <c r="J53" s="110"/>
      <c r="K53" s="110"/>
      <c r="L53" s="118"/>
      <c r="M53" s="112"/>
      <c r="N53" s="113"/>
    </row>
    <row r="54" spans="1:15" ht="16.149999999999999" customHeight="1">
      <c r="A54" s="130"/>
      <c r="B54" s="109"/>
      <c r="C54" s="118"/>
      <c r="D54" s="145"/>
      <c r="E54" s="110"/>
      <c r="F54" s="118"/>
      <c r="G54" s="110"/>
      <c r="H54" s="123"/>
      <c r="I54" s="110"/>
      <c r="J54" s="110"/>
      <c r="K54" s="110"/>
      <c r="L54" s="118"/>
      <c r="M54" s="112"/>
      <c r="N54" s="113"/>
    </row>
    <row r="55" spans="1:15" ht="16.149999999999999" customHeight="1">
      <c r="A55" s="130"/>
      <c r="B55" s="109"/>
      <c r="C55" s="110"/>
      <c r="D55" s="110"/>
      <c r="E55" s="110"/>
      <c r="F55" s="110"/>
      <c r="G55" s="110"/>
      <c r="H55" s="111"/>
      <c r="I55" s="110"/>
      <c r="J55" s="110"/>
      <c r="K55" s="118" t="s">
        <v>1164</v>
      </c>
      <c r="L55" s="118" t="s">
        <v>1582</v>
      </c>
      <c r="M55" s="112">
        <f>TRUNC(SUM(M53:M54))</f>
        <v>0</v>
      </c>
      <c r="N55" s="113" t="s">
        <v>975</v>
      </c>
    </row>
    <row r="56" spans="1:15" ht="18.600000000000001" customHeight="1">
      <c r="A56" s="135"/>
      <c r="B56" s="136"/>
      <c r="C56" s="138"/>
      <c r="D56" s="138"/>
      <c r="E56" s="138"/>
      <c r="F56" s="138"/>
      <c r="G56" s="138"/>
      <c r="H56" s="139"/>
      <c r="I56" s="138"/>
      <c r="J56" s="138"/>
      <c r="K56" s="137"/>
      <c r="L56" s="137"/>
      <c r="M56" s="140"/>
      <c r="N56" s="141"/>
      <c r="O56" s="114" t="s">
        <v>3682</v>
      </c>
    </row>
    <row r="57" spans="1:15" s="152" customFormat="1" ht="16.149999999999999" customHeight="1">
      <c r="A57" s="146"/>
      <c r="B57" s="147"/>
      <c r="C57" s="148"/>
      <c r="D57" s="148"/>
      <c r="E57" s="148"/>
      <c r="F57" s="148"/>
      <c r="G57" s="148"/>
      <c r="H57" s="149"/>
      <c r="I57" s="148"/>
      <c r="J57" s="148"/>
      <c r="K57" s="148" t="s">
        <v>1118</v>
      </c>
      <c r="L57" s="148" t="s">
        <v>1582</v>
      </c>
      <c r="M57" s="150">
        <f>TRUNC(M43+M49+M55,0)</f>
        <v>1132</v>
      </c>
      <c r="N57" s="151"/>
    </row>
    <row r="58" spans="1:15" ht="16.149999999999999" customHeight="1">
      <c r="A58" s="114"/>
    </row>
    <row r="59" spans="1:15" s="107" customFormat="1" ht="16.149999999999999" customHeight="1">
      <c r="A59" s="451">
        <f>A40+1</f>
        <v>4</v>
      </c>
      <c r="B59" s="99" t="s">
        <v>1100</v>
      </c>
      <c r="C59" s="100" t="s">
        <v>1526</v>
      </c>
      <c r="D59" s="101" t="s">
        <v>594</v>
      </c>
      <c r="E59" s="102"/>
      <c r="F59" s="102"/>
      <c r="G59" s="100"/>
      <c r="H59" s="103" t="s">
        <v>1527</v>
      </c>
      <c r="I59" s="100" t="s">
        <v>1526</v>
      </c>
      <c r="J59" s="102" t="s">
        <v>592</v>
      </c>
      <c r="K59" s="104" t="s">
        <v>847</v>
      </c>
      <c r="L59" s="102" t="s">
        <v>1526</v>
      </c>
      <c r="M59" s="105" t="s">
        <v>596</v>
      </c>
      <c r="N59" s="106"/>
    </row>
    <row r="60" spans="1:15" ht="16.149999999999999" customHeight="1">
      <c r="A60" s="108"/>
      <c r="B60" s="109" t="s">
        <v>588</v>
      </c>
      <c r="C60" s="110" t="s">
        <v>1582</v>
      </c>
      <c r="D60" s="110" t="s">
        <v>589</v>
      </c>
      <c r="E60" s="110" t="s">
        <v>86</v>
      </c>
      <c r="F60" s="110" t="s">
        <v>590</v>
      </c>
      <c r="G60" s="110" t="s">
        <v>86</v>
      </c>
      <c r="H60" s="111" t="s">
        <v>2973</v>
      </c>
      <c r="I60" s="110"/>
      <c r="J60" s="110"/>
      <c r="K60" s="110"/>
      <c r="L60" s="110"/>
      <c r="M60" s="112"/>
      <c r="N60" s="113"/>
    </row>
    <row r="61" spans="1:15" ht="16.149999999999999" customHeight="1">
      <c r="A61" s="108"/>
      <c r="B61" s="109"/>
      <c r="C61" s="110"/>
      <c r="D61" s="110"/>
      <c r="E61" s="110"/>
      <c r="F61" s="110"/>
      <c r="G61" s="110"/>
      <c r="H61" s="111"/>
      <c r="I61" s="110"/>
      <c r="J61" s="792"/>
      <c r="K61" s="792"/>
      <c r="L61" s="110"/>
      <c r="M61" s="112"/>
      <c r="N61" s="113"/>
    </row>
    <row r="62" spans="1:15" ht="16.149999999999999" customHeight="1">
      <c r="A62" s="115"/>
      <c r="F62" s="117"/>
      <c r="G62" s="118"/>
      <c r="H62" s="119">
        <f>기계경비산출표!$E$16*1000</f>
        <v>22333000</v>
      </c>
      <c r="I62" s="110" t="s">
        <v>972</v>
      </c>
      <c r="J62" s="120">
        <v>795</v>
      </c>
      <c r="K62" s="118" t="s">
        <v>2974</v>
      </c>
      <c r="L62" s="121" t="s">
        <v>1582</v>
      </c>
      <c r="M62" s="112">
        <f>TRUNC(H62*J62*(10^-7))</f>
        <v>1775</v>
      </c>
      <c r="N62" s="113" t="s">
        <v>975</v>
      </c>
    </row>
    <row r="63" spans="1:15" ht="16.149999999999999" customHeight="1">
      <c r="A63" s="115"/>
      <c r="B63" s="122"/>
      <c r="C63" s="118"/>
      <c r="D63" s="33"/>
      <c r="E63" s="110"/>
      <c r="F63" s="118"/>
      <c r="G63" s="118"/>
      <c r="H63" s="123"/>
      <c r="I63" s="118"/>
      <c r="J63" s="110"/>
      <c r="K63" s="110"/>
      <c r="L63" s="110"/>
      <c r="M63" s="112"/>
      <c r="N63" s="113"/>
    </row>
    <row r="64" spans="1:15" ht="16.149999999999999" customHeight="1">
      <c r="A64" s="124"/>
      <c r="B64" s="125" t="s">
        <v>1115</v>
      </c>
      <c r="C64" s="126"/>
      <c r="D64" s="126"/>
      <c r="E64" s="126"/>
      <c r="F64" s="126"/>
      <c r="G64" s="126"/>
      <c r="H64" s="127"/>
      <c r="I64" s="126"/>
      <c r="J64" s="126"/>
      <c r="K64" s="126"/>
      <c r="L64" s="126"/>
      <c r="M64" s="128"/>
      <c r="N64" s="129"/>
    </row>
    <row r="65" spans="1:15" ht="16.149999999999999" customHeight="1">
      <c r="A65" s="130"/>
      <c r="B65" s="131"/>
      <c r="C65" s="118"/>
      <c r="D65" s="33"/>
      <c r="E65" s="110"/>
      <c r="F65" s="110"/>
      <c r="G65" s="132"/>
      <c r="H65" s="111"/>
      <c r="I65" s="110"/>
      <c r="J65" s="110"/>
      <c r="K65" s="133"/>
      <c r="L65" s="118"/>
      <c r="M65" s="112"/>
      <c r="N65" s="113"/>
    </row>
    <row r="66" spans="1:15" ht="16.149999999999999" customHeight="1">
      <c r="A66" s="130"/>
      <c r="B66" s="109"/>
      <c r="C66" s="118"/>
      <c r="D66" s="33"/>
      <c r="E66" s="110"/>
      <c r="F66" s="110"/>
      <c r="G66" s="132"/>
      <c r="H66" s="111"/>
      <c r="I66" s="110"/>
      <c r="J66" s="110"/>
      <c r="K66" s="134"/>
      <c r="L66" s="118"/>
      <c r="M66" s="112"/>
      <c r="N66" s="113"/>
    </row>
    <row r="67" spans="1:15" ht="18.600000000000001" customHeight="1">
      <c r="A67" s="130"/>
      <c r="B67" s="109"/>
      <c r="C67" s="118"/>
      <c r="D67" s="33"/>
      <c r="E67" s="110"/>
      <c r="F67" s="110"/>
      <c r="G67" s="132"/>
      <c r="H67" s="111"/>
      <c r="I67" s="110"/>
      <c r="J67" s="110"/>
      <c r="K67" s="134"/>
      <c r="L67" s="118"/>
      <c r="M67" s="112"/>
      <c r="N67" s="113"/>
      <c r="O67" s="114" t="s">
        <v>3682</v>
      </c>
    </row>
    <row r="68" spans="1:15" ht="16.149999999999999" customHeight="1">
      <c r="A68" s="130"/>
      <c r="B68" s="109"/>
      <c r="C68" s="118"/>
      <c r="D68" s="110"/>
      <c r="E68" s="110"/>
      <c r="F68" s="110"/>
      <c r="G68" s="110"/>
      <c r="H68" s="111"/>
      <c r="I68" s="791"/>
      <c r="J68" s="791"/>
      <c r="K68" s="118" t="s">
        <v>1164</v>
      </c>
      <c r="L68" s="118" t="s">
        <v>1582</v>
      </c>
      <c r="M68" s="112">
        <f>(M65+M66+M67)</f>
        <v>0</v>
      </c>
      <c r="N68" s="113" t="s">
        <v>975</v>
      </c>
      <c r="O68" s="114" t="s">
        <v>1115</v>
      </c>
    </row>
    <row r="69" spans="1:15" ht="18.600000000000001" customHeight="1">
      <c r="A69" s="130"/>
      <c r="B69" s="109"/>
      <c r="C69" s="118"/>
      <c r="D69" s="110"/>
      <c r="E69" s="110"/>
      <c r="F69" s="110"/>
      <c r="G69" s="110"/>
      <c r="H69" s="111"/>
      <c r="I69" s="118"/>
      <c r="J69" s="118"/>
      <c r="K69" s="118"/>
      <c r="L69" s="118"/>
      <c r="M69" s="112"/>
      <c r="N69" s="113"/>
      <c r="O69" s="114" t="s">
        <v>3682</v>
      </c>
    </row>
    <row r="70" spans="1:15" ht="18.600000000000001" customHeight="1">
      <c r="A70" s="135"/>
      <c r="B70" s="136"/>
      <c r="C70" s="137"/>
      <c r="D70" s="138"/>
      <c r="E70" s="138"/>
      <c r="F70" s="138"/>
      <c r="G70" s="138"/>
      <c r="H70" s="139"/>
      <c r="I70" s="137"/>
      <c r="J70" s="137"/>
      <c r="K70" s="137"/>
      <c r="L70" s="137"/>
      <c r="M70" s="140"/>
      <c r="N70" s="141"/>
      <c r="O70" s="114" t="s">
        <v>3682</v>
      </c>
    </row>
    <row r="71" spans="1:15" ht="16.149999999999999" customHeight="1">
      <c r="A71" s="124"/>
      <c r="B71" s="125" t="s">
        <v>1116</v>
      </c>
      <c r="C71" s="142"/>
      <c r="D71" s="126"/>
      <c r="E71" s="126"/>
      <c r="F71" s="126"/>
      <c r="G71" s="126"/>
      <c r="H71" s="127"/>
      <c r="I71" s="126"/>
      <c r="J71" s="126"/>
      <c r="K71" s="126"/>
      <c r="L71" s="126"/>
      <c r="M71" s="128"/>
      <c r="N71" s="129"/>
    </row>
    <row r="72" spans="1:15" ht="16.149999999999999" customHeight="1">
      <c r="A72" s="130"/>
      <c r="B72" s="131"/>
      <c r="C72" s="118"/>
      <c r="D72" s="118"/>
      <c r="E72" s="110"/>
      <c r="F72" s="118"/>
      <c r="G72" s="110"/>
      <c r="H72" s="123"/>
      <c r="I72" s="110"/>
      <c r="J72" s="110"/>
      <c r="K72" s="110"/>
      <c r="L72" s="118"/>
      <c r="M72" s="112"/>
      <c r="N72" s="113"/>
    </row>
    <row r="73" spans="1:15" ht="16.149999999999999" customHeight="1">
      <c r="A73" s="130"/>
      <c r="B73" s="109"/>
      <c r="C73" s="118"/>
      <c r="D73" s="145"/>
      <c r="E73" s="110"/>
      <c r="F73" s="118"/>
      <c r="G73" s="110"/>
      <c r="H73" s="123"/>
      <c r="I73" s="110"/>
      <c r="J73" s="110"/>
      <c r="K73" s="110"/>
      <c r="L73" s="118"/>
      <c r="M73" s="112"/>
      <c r="N73" s="113"/>
    </row>
    <row r="74" spans="1:15" ht="16.149999999999999" customHeight="1">
      <c r="A74" s="130"/>
      <c r="B74" s="109"/>
      <c r="C74" s="110"/>
      <c r="D74" s="110"/>
      <c r="E74" s="110"/>
      <c r="F74" s="110"/>
      <c r="G74" s="110"/>
      <c r="H74" s="111"/>
      <c r="I74" s="110"/>
      <c r="J74" s="110"/>
      <c r="K74" s="118" t="s">
        <v>1164</v>
      </c>
      <c r="L74" s="118" t="s">
        <v>1582</v>
      </c>
      <c r="M74" s="112">
        <f>TRUNC(SUM(M72:M73))</f>
        <v>0</v>
      </c>
      <c r="N74" s="113" t="s">
        <v>975</v>
      </c>
    </row>
    <row r="75" spans="1:15" ht="18.600000000000001" customHeight="1">
      <c r="A75" s="135"/>
      <c r="B75" s="136"/>
      <c r="C75" s="138"/>
      <c r="D75" s="138"/>
      <c r="E75" s="138"/>
      <c r="F75" s="138"/>
      <c r="G75" s="138"/>
      <c r="H75" s="139"/>
      <c r="I75" s="138"/>
      <c r="J75" s="138"/>
      <c r="K75" s="137"/>
      <c r="L75" s="137"/>
      <c r="M75" s="140"/>
      <c r="N75" s="141"/>
      <c r="O75" s="114" t="s">
        <v>3682</v>
      </c>
    </row>
    <row r="76" spans="1:15" s="152" customFormat="1" ht="16.149999999999999" customHeight="1">
      <c r="A76" s="146"/>
      <c r="B76" s="147"/>
      <c r="C76" s="148"/>
      <c r="D76" s="148"/>
      <c r="E76" s="148"/>
      <c r="F76" s="148"/>
      <c r="G76" s="148"/>
      <c r="H76" s="149"/>
      <c r="I76" s="148"/>
      <c r="J76" s="148"/>
      <c r="K76" s="148" t="s">
        <v>1118</v>
      </c>
      <c r="L76" s="148" t="s">
        <v>1582</v>
      </c>
      <c r="M76" s="150">
        <f>TRUNC(M62+M68+M74,0)</f>
        <v>1775</v>
      </c>
      <c r="N76" s="151"/>
    </row>
    <row r="77" spans="1:15" ht="16.149999999999999" customHeight="1">
      <c r="A77" s="153"/>
      <c r="B77" s="125"/>
      <c r="C77" s="153"/>
      <c r="D77" s="153"/>
      <c r="E77" s="153"/>
      <c r="F77" s="153"/>
      <c r="G77" s="153"/>
      <c r="H77" s="154"/>
      <c r="I77" s="153"/>
      <c r="J77" s="153"/>
      <c r="K77" s="153"/>
      <c r="L77" s="153"/>
      <c r="M77" s="128"/>
      <c r="N77" s="142"/>
    </row>
    <row r="78" spans="1:15" s="107" customFormat="1" ht="16.149999999999999" customHeight="1">
      <c r="A78" s="451">
        <f>A59+1</f>
        <v>5</v>
      </c>
      <c r="B78" s="99" t="s">
        <v>1100</v>
      </c>
      <c r="C78" s="100" t="s">
        <v>1526</v>
      </c>
      <c r="D78" s="101" t="s">
        <v>1528</v>
      </c>
      <c r="E78" s="102"/>
      <c r="F78" s="102"/>
      <c r="G78" s="102"/>
      <c r="H78" s="157" t="s">
        <v>1527</v>
      </c>
      <c r="I78" s="100" t="s">
        <v>1526</v>
      </c>
      <c r="J78" s="102" t="s">
        <v>1101</v>
      </c>
      <c r="K78" s="104" t="s">
        <v>847</v>
      </c>
      <c r="L78" s="100" t="s">
        <v>1526</v>
      </c>
      <c r="M78" s="105" t="s">
        <v>597</v>
      </c>
      <c r="N78" s="106"/>
    </row>
    <row r="79" spans="1:15" ht="16.149999999999999" customHeight="1">
      <c r="A79" s="108"/>
      <c r="B79" s="109" t="s">
        <v>588</v>
      </c>
      <c r="C79" s="110" t="s">
        <v>1582</v>
      </c>
      <c r="D79" s="110" t="s">
        <v>589</v>
      </c>
      <c r="E79" s="110" t="s">
        <v>86</v>
      </c>
      <c r="F79" s="110" t="s">
        <v>590</v>
      </c>
      <c r="G79" s="110" t="s">
        <v>86</v>
      </c>
      <c r="H79" s="111" t="s">
        <v>2973</v>
      </c>
      <c r="I79" s="110"/>
      <c r="J79" s="110"/>
      <c r="K79" s="110"/>
      <c r="L79" s="110"/>
      <c r="M79" s="112"/>
      <c r="N79" s="113"/>
    </row>
    <row r="80" spans="1:15" ht="16.149999999999999" customHeight="1">
      <c r="A80" s="108"/>
      <c r="B80" s="109"/>
      <c r="C80" s="110"/>
      <c r="D80" s="110"/>
      <c r="E80" s="110"/>
      <c r="F80" s="110"/>
      <c r="G80" s="110"/>
      <c r="H80" s="111"/>
      <c r="I80" s="110"/>
      <c r="J80" s="110"/>
      <c r="K80" s="110"/>
      <c r="L80" s="110"/>
      <c r="M80" s="112"/>
      <c r="N80" s="113"/>
    </row>
    <row r="81" spans="1:17" ht="16.149999999999999" customHeight="1">
      <c r="A81" s="115"/>
      <c r="F81" s="117"/>
      <c r="G81" s="118"/>
      <c r="H81" s="119">
        <f>기계경비산출표!$E$20*1000</f>
        <v>55208000</v>
      </c>
      <c r="I81" s="110" t="s">
        <v>972</v>
      </c>
      <c r="J81" s="158">
        <v>2038</v>
      </c>
      <c r="K81" s="118" t="s">
        <v>2974</v>
      </c>
      <c r="L81" s="121" t="s">
        <v>1582</v>
      </c>
      <c r="M81" s="112">
        <f>TRUNC(H81*J81*(10^-7))</f>
        <v>11251</v>
      </c>
      <c r="N81" s="113" t="s">
        <v>975</v>
      </c>
    </row>
    <row r="82" spans="1:17" ht="16.149999999999999" customHeight="1">
      <c r="A82" s="115"/>
      <c r="B82" s="122"/>
      <c r="C82" s="118"/>
      <c r="D82" s="33"/>
      <c r="E82" s="110"/>
      <c r="F82" s="118"/>
      <c r="G82" s="118"/>
      <c r="H82" s="123"/>
      <c r="I82" s="118"/>
      <c r="J82" s="110"/>
      <c r="K82" s="110"/>
      <c r="L82" s="110"/>
      <c r="M82" s="112"/>
      <c r="N82" s="113"/>
    </row>
    <row r="83" spans="1:17" ht="16.149999999999999" customHeight="1">
      <c r="A83" s="124"/>
      <c r="B83" s="125" t="s">
        <v>1115</v>
      </c>
      <c r="C83" s="126"/>
      <c r="D83" s="126"/>
      <c r="E83" s="126"/>
      <c r="F83" s="126"/>
      <c r="G83" s="126"/>
      <c r="H83" s="127"/>
      <c r="I83" s="126"/>
      <c r="J83" s="126"/>
      <c r="K83" s="126"/>
      <c r="L83" s="126"/>
      <c r="M83" s="128"/>
      <c r="N83" s="129"/>
    </row>
    <row r="84" spans="1:17" ht="16.149999999999999" customHeight="1">
      <c r="A84" s="130"/>
      <c r="B84" s="131" t="s">
        <v>3185</v>
      </c>
      <c r="C84" s="118"/>
      <c r="D84" s="33">
        <f>SUMIF('노임(2015)'!$B$4:$B$87,B84,'노임(2015)'!$C$4:$C$87)+SUMIF('노임(2015)'!$E$4:$E$87,B84,'노임(2015)'!$F$4:$F$87)</f>
        <v>130411</v>
      </c>
      <c r="E84" s="110" t="s">
        <v>972</v>
      </c>
      <c r="F84" s="110" t="s">
        <v>973</v>
      </c>
      <c r="G84" s="132" t="s">
        <v>974</v>
      </c>
      <c r="H84" s="111"/>
      <c r="I84" s="110"/>
      <c r="J84" s="110"/>
      <c r="K84" s="133">
        <f>기계경비산출표!I20</f>
        <v>1</v>
      </c>
      <c r="L84" s="118" t="s">
        <v>1582</v>
      </c>
      <c r="M84" s="112">
        <f>TRUNC(D84*(1/8)*(16/12)*(25/20)*K84)</f>
        <v>27168</v>
      </c>
      <c r="N84" s="113" t="s">
        <v>975</v>
      </c>
      <c r="Q84" s="159"/>
    </row>
    <row r="85" spans="1:17" ht="16.149999999999999" customHeight="1">
      <c r="A85" s="130"/>
      <c r="B85" s="109"/>
      <c r="C85" s="118"/>
      <c r="D85" s="33"/>
      <c r="E85" s="110"/>
      <c r="F85" s="110"/>
      <c r="G85" s="132"/>
      <c r="H85" s="111"/>
      <c r="I85" s="110"/>
      <c r="J85" s="110"/>
      <c r="K85" s="134"/>
      <c r="L85" s="118"/>
      <c r="M85" s="112"/>
      <c r="N85" s="113"/>
    </row>
    <row r="86" spans="1:17" ht="18.600000000000001" customHeight="1">
      <c r="A86" s="130"/>
      <c r="B86" s="109"/>
      <c r="C86" s="118"/>
      <c r="D86" s="33"/>
      <c r="E86" s="110"/>
      <c r="F86" s="110"/>
      <c r="G86" s="132"/>
      <c r="H86" s="111"/>
      <c r="I86" s="110"/>
      <c r="J86" s="110"/>
      <c r="K86" s="134"/>
      <c r="L86" s="118"/>
      <c r="M86" s="112"/>
      <c r="N86" s="113"/>
      <c r="O86" s="114" t="s">
        <v>3682</v>
      </c>
    </row>
    <row r="87" spans="1:17" ht="16.149999999999999" customHeight="1">
      <c r="A87" s="130"/>
      <c r="B87" s="109"/>
      <c r="C87" s="118"/>
      <c r="D87" s="110"/>
      <c r="E87" s="110"/>
      <c r="F87" s="110"/>
      <c r="G87" s="110"/>
      <c r="H87" s="111"/>
      <c r="I87" s="791"/>
      <c r="J87" s="791"/>
      <c r="K87" s="118" t="s">
        <v>1164</v>
      </c>
      <c r="L87" s="118" t="s">
        <v>1582</v>
      </c>
      <c r="M87" s="112">
        <f>TRUNC(M84+M85+M86)</f>
        <v>27168</v>
      </c>
      <c r="N87" s="113" t="s">
        <v>975</v>
      </c>
      <c r="O87" s="114" t="s">
        <v>1115</v>
      </c>
    </row>
    <row r="88" spans="1:17" ht="18.600000000000001" customHeight="1">
      <c r="A88" s="130"/>
      <c r="B88" s="109"/>
      <c r="C88" s="118"/>
      <c r="D88" s="110"/>
      <c r="E88" s="110"/>
      <c r="F88" s="110"/>
      <c r="G88" s="110"/>
      <c r="H88" s="111"/>
      <c r="I88" s="118"/>
      <c r="J88" s="118"/>
      <c r="K88" s="118"/>
      <c r="L88" s="118"/>
      <c r="M88" s="112"/>
      <c r="N88" s="113"/>
      <c r="O88" s="114" t="s">
        <v>3682</v>
      </c>
    </row>
    <row r="89" spans="1:17" ht="18.600000000000001" customHeight="1">
      <c r="A89" s="135"/>
      <c r="B89" s="136"/>
      <c r="C89" s="137"/>
      <c r="D89" s="138"/>
      <c r="E89" s="138"/>
      <c r="F89" s="138"/>
      <c r="G89" s="138"/>
      <c r="H89" s="139"/>
      <c r="I89" s="137"/>
      <c r="J89" s="137"/>
      <c r="K89" s="137"/>
      <c r="L89" s="137"/>
      <c r="M89" s="140"/>
      <c r="N89" s="141"/>
      <c r="O89" s="114" t="s">
        <v>3682</v>
      </c>
    </row>
    <row r="90" spans="1:17" ht="16.149999999999999" customHeight="1">
      <c r="A90" s="124"/>
      <c r="B90" s="125" t="s">
        <v>1116</v>
      </c>
      <c r="C90" s="142"/>
      <c r="D90" s="126"/>
      <c r="E90" s="126"/>
      <c r="F90" s="126"/>
      <c r="G90" s="126"/>
      <c r="H90" s="127"/>
      <c r="I90" s="126"/>
      <c r="J90" s="126"/>
      <c r="K90" s="126"/>
      <c r="L90" s="126"/>
      <c r="M90" s="128"/>
      <c r="N90" s="129"/>
    </row>
    <row r="91" spans="1:17" ht="16.149999999999999" customHeight="1">
      <c r="A91" s="130"/>
      <c r="B91" s="109" t="s">
        <v>598</v>
      </c>
      <c r="C91" s="118" t="s">
        <v>1526</v>
      </c>
      <c r="D91" s="118">
        <v>5</v>
      </c>
      <c r="E91" s="110" t="s">
        <v>456</v>
      </c>
      <c r="F91" s="118" t="s">
        <v>972</v>
      </c>
      <c r="G91" s="110"/>
      <c r="H91" s="123">
        <f>중기기준!$G$35</f>
        <v>1114.9000000000001</v>
      </c>
      <c r="I91" s="110" t="s">
        <v>975</v>
      </c>
      <c r="J91" s="110"/>
      <c r="K91" s="110"/>
      <c r="L91" s="118" t="s">
        <v>1582</v>
      </c>
      <c r="M91" s="112">
        <f>TRUNC(D91*H91,2)</f>
        <v>5574.5</v>
      </c>
      <c r="N91" s="113" t="s">
        <v>975</v>
      </c>
    </row>
    <row r="92" spans="1:17" ht="16.149999999999999" customHeight="1">
      <c r="A92" s="130"/>
      <c r="B92" s="109" t="s">
        <v>1556</v>
      </c>
      <c r="C92" s="118" t="s">
        <v>1526</v>
      </c>
      <c r="D92" s="145">
        <v>0.21</v>
      </c>
      <c r="E92" s="110"/>
      <c r="F92" s="118" t="s">
        <v>972</v>
      </c>
      <c r="G92" s="110"/>
      <c r="H92" s="123">
        <f>$M$91</f>
        <v>5574.5</v>
      </c>
      <c r="I92" s="110" t="s">
        <v>975</v>
      </c>
      <c r="J92" s="110"/>
      <c r="K92" s="110"/>
      <c r="L92" s="118" t="s">
        <v>1582</v>
      </c>
      <c r="M92" s="112">
        <f>TRUNC(D92*H92,2)</f>
        <v>1170.6400000000001</v>
      </c>
      <c r="N92" s="113" t="s">
        <v>975</v>
      </c>
    </row>
    <row r="93" spans="1:17" ht="16.149999999999999" customHeight="1">
      <c r="A93" s="130"/>
      <c r="B93" s="109"/>
      <c r="C93" s="110"/>
      <c r="D93" s="110"/>
      <c r="E93" s="110"/>
      <c r="F93" s="110"/>
      <c r="G93" s="110"/>
      <c r="H93" s="111"/>
      <c r="I93" s="110"/>
      <c r="J93" s="110"/>
      <c r="K93" s="118" t="s">
        <v>1164</v>
      </c>
      <c r="L93" s="118" t="s">
        <v>1582</v>
      </c>
      <c r="M93" s="112">
        <f>TRUNC(SUM(M91:M92))</f>
        <v>6745</v>
      </c>
      <c r="N93" s="113" t="s">
        <v>975</v>
      </c>
    </row>
    <row r="94" spans="1:17" ht="18.600000000000001" customHeight="1">
      <c r="A94" s="135"/>
      <c r="B94" s="136"/>
      <c r="C94" s="138"/>
      <c r="D94" s="138"/>
      <c r="E94" s="138"/>
      <c r="F94" s="138"/>
      <c r="G94" s="138"/>
      <c r="H94" s="139"/>
      <c r="I94" s="138"/>
      <c r="J94" s="138"/>
      <c r="K94" s="137"/>
      <c r="L94" s="137"/>
      <c r="M94" s="140"/>
      <c r="N94" s="141"/>
      <c r="O94" s="114" t="s">
        <v>3682</v>
      </c>
    </row>
    <row r="95" spans="1:17" s="152" customFormat="1" ht="16.149999999999999" customHeight="1">
      <c r="A95" s="146"/>
      <c r="B95" s="147"/>
      <c r="C95" s="148"/>
      <c r="D95" s="148"/>
      <c r="E95" s="148"/>
      <c r="F95" s="148"/>
      <c r="G95" s="148"/>
      <c r="H95" s="149"/>
      <c r="I95" s="148"/>
      <c r="J95" s="148"/>
      <c r="K95" s="148" t="s">
        <v>1118</v>
      </c>
      <c r="L95" s="148" t="s">
        <v>1582</v>
      </c>
      <c r="M95" s="150">
        <f>TRUNC(M81+M87+M93,0)</f>
        <v>45164</v>
      </c>
      <c r="N95" s="151"/>
    </row>
    <row r="96" spans="1:17" ht="16.149999999999999" customHeight="1">
      <c r="A96" s="114"/>
    </row>
    <row r="97" spans="1:15" s="107" customFormat="1" ht="16.149999999999999" customHeight="1">
      <c r="A97" s="451">
        <f>A78+1</f>
        <v>6</v>
      </c>
      <c r="B97" s="99" t="s">
        <v>1100</v>
      </c>
      <c r="C97" s="100" t="s">
        <v>1526</v>
      </c>
      <c r="D97" s="101" t="s">
        <v>1528</v>
      </c>
      <c r="E97" s="102"/>
      <c r="F97" s="102"/>
      <c r="G97" s="100"/>
      <c r="H97" s="103" t="s">
        <v>1527</v>
      </c>
      <c r="I97" s="100" t="s">
        <v>1526</v>
      </c>
      <c r="J97" s="102" t="s">
        <v>448</v>
      </c>
      <c r="K97" s="104" t="s">
        <v>847</v>
      </c>
      <c r="L97" s="100" t="s">
        <v>1526</v>
      </c>
      <c r="M97" s="105" t="s">
        <v>599</v>
      </c>
      <c r="N97" s="106"/>
    </row>
    <row r="98" spans="1:15" ht="16.149999999999999" customHeight="1">
      <c r="A98" s="108"/>
      <c r="B98" s="109" t="s">
        <v>588</v>
      </c>
      <c r="C98" s="110" t="s">
        <v>1582</v>
      </c>
      <c r="D98" s="110" t="s">
        <v>589</v>
      </c>
      <c r="E98" s="110" t="s">
        <v>86</v>
      </c>
      <c r="F98" s="110" t="s">
        <v>590</v>
      </c>
      <c r="G98" s="110" t="s">
        <v>86</v>
      </c>
      <c r="H98" s="111" t="s">
        <v>2973</v>
      </c>
      <c r="I98" s="110"/>
      <c r="J98" s="110"/>
      <c r="K98" s="110"/>
      <c r="L98" s="110"/>
      <c r="M98" s="112"/>
      <c r="N98" s="113"/>
    </row>
    <row r="99" spans="1:15" ht="16.149999999999999" customHeight="1">
      <c r="A99" s="108"/>
      <c r="B99" s="109"/>
      <c r="C99" s="110"/>
      <c r="D99" s="110"/>
      <c r="E99" s="110"/>
      <c r="F99" s="110"/>
      <c r="G99" s="110"/>
      <c r="H99" s="111"/>
      <c r="I99" s="110"/>
      <c r="J99" s="110"/>
      <c r="K99" s="110"/>
      <c r="L99" s="110"/>
      <c r="M99" s="112"/>
      <c r="N99" s="113"/>
    </row>
    <row r="100" spans="1:15" ht="16.149999999999999" customHeight="1">
      <c r="A100" s="115"/>
      <c r="F100" s="117"/>
      <c r="G100" s="118"/>
      <c r="H100" s="119">
        <f>기계경비산출표!E21*1000</f>
        <v>61405000</v>
      </c>
      <c r="I100" s="110" t="s">
        <v>972</v>
      </c>
      <c r="J100" s="120">
        <v>2038</v>
      </c>
      <c r="K100" s="118" t="s">
        <v>2974</v>
      </c>
      <c r="L100" s="121" t="s">
        <v>1582</v>
      </c>
      <c r="M100" s="112">
        <f>TRUNC(H100*J100*(10^-7))</f>
        <v>12514</v>
      </c>
      <c r="N100" s="113" t="s">
        <v>975</v>
      </c>
    </row>
    <row r="101" spans="1:15" ht="16.149999999999999" customHeight="1">
      <c r="A101" s="115"/>
      <c r="B101" s="122"/>
      <c r="C101" s="118"/>
      <c r="D101" s="33"/>
      <c r="E101" s="110"/>
      <c r="F101" s="118"/>
      <c r="G101" s="118"/>
      <c r="H101" s="123"/>
      <c r="I101" s="118"/>
      <c r="J101" s="110"/>
      <c r="K101" s="110"/>
      <c r="L101" s="110"/>
      <c r="M101" s="112"/>
      <c r="N101" s="113"/>
    </row>
    <row r="102" spans="1:15" ht="16.149999999999999" customHeight="1">
      <c r="A102" s="124"/>
      <c r="B102" s="125" t="s">
        <v>1115</v>
      </c>
      <c r="C102" s="126"/>
      <c r="D102" s="126"/>
      <c r="E102" s="126"/>
      <c r="F102" s="126"/>
      <c r="G102" s="126"/>
      <c r="H102" s="127"/>
      <c r="I102" s="126"/>
      <c r="J102" s="126"/>
      <c r="K102" s="126"/>
      <c r="L102" s="126"/>
      <c r="M102" s="128"/>
      <c r="N102" s="129"/>
    </row>
    <row r="103" spans="1:15" ht="16.149999999999999" customHeight="1">
      <c r="A103" s="130"/>
      <c r="B103" s="131" t="s">
        <v>3185</v>
      </c>
      <c r="C103" s="118"/>
      <c r="D103" s="33">
        <f>SUMIF('노임(2015)'!$B$4:$B$87,B103,'노임(2015)'!$C$4:$C$87)+SUMIF('노임(2015)'!$E$4:$E$87,B103,'노임(2015)'!$F$4:$F$87)</f>
        <v>130411</v>
      </c>
      <c r="E103" s="110" t="s">
        <v>972</v>
      </c>
      <c r="F103" s="110" t="s">
        <v>973</v>
      </c>
      <c r="G103" s="132" t="s">
        <v>974</v>
      </c>
      <c r="H103" s="111"/>
      <c r="I103" s="110"/>
      <c r="J103" s="110"/>
      <c r="K103" s="133">
        <f>기계경비산출표!I21</f>
        <v>1</v>
      </c>
      <c r="L103" s="118" t="s">
        <v>1582</v>
      </c>
      <c r="M103" s="112">
        <f>TRUNC(D103*(1/8)*(16/12)*(25/20)*K103)</f>
        <v>27168</v>
      </c>
      <c r="N103" s="113" t="s">
        <v>975</v>
      </c>
    </row>
    <row r="104" spans="1:15" ht="16.149999999999999" customHeight="1">
      <c r="A104" s="130"/>
      <c r="B104" s="109"/>
      <c r="C104" s="118"/>
      <c r="D104" s="33"/>
      <c r="E104" s="110"/>
      <c r="F104" s="110"/>
      <c r="G104" s="132"/>
      <c r="H104" s="111"/>
      <c r="I104" s="110"/>
      <c r="J104" s="110"/>
      <c r="K104" s="134"/>
      <c r="L104" s="118"/>
      <c r="M104" s="112"/>
      <c r="N104" s="113"/>
    </row>
    <row r="105" spans="1:15" ht="18.600000000000001" customHeight="1">
      <c r="A105" s="130"/>
      <c r="B105" s="109"/>
      <c r="C105" s="118"/>
      <c r="D105" s="33"/>
      <c r="E105" s="110"/>
      <c r="F105" s="110"/>
      <c r="G105" s="132"/>
      <c r="H105" s="111"/>
      <c r="I105" s="110"/>
      <c r="J105" s="110"/>
      <c r="K105" s="134"/>
      <c r="L105" s="118"/>
      <c r="M105" s="112"/>
      <c r="N105" s="113"/>
      <c r="O105" s="114" t="s">
        <v>3682</v>
      </c>
    </row>
    <row r="106" spans="1:15" ht="16.149999999999999" customHeight="1">
      <c r="A106" s="130"/>
      <c r="B106" s="109"/>
      <c r="C106" s="118"/>
      <c r="D106" s="110"/>
      <c r="E106" s="110"/>
      <c r="F106" s="110"/>
      <c r="G106" s="110"/>
      <c r="H106" s="111"/>
      <c r="I106" s="791"/>
      <c r="J106" s="791"/>
      <c r="K106" s="118" t="s">
        <v>1164</v>
      </c>
      <c r="L106" s="118" t="s">
        <v>1582</v>
      </c>
      <c r="M106" s="112">
        <f>TRUNC(M103+M104+M105)</f>
        <v>27168</v>
      </c>
      <c r="N106" s="113" t="s">
        <v>975</v>
      </c>
      <c r="O106" s="114" t="s">
        <v>1115</v>
      </c>
    </row>
    <row r="107" spans="1:15" ht="18.600000000000001" customHeight="1">
      <c r="A107" s="130"/>
      <c r="B107" s="109"/>
      <c r="C107" s="118"/>
      <c r="D107" s="110"/>
      <c r="E107" s="110"/>
      <c r="F107" s="110"/>
      <c r="G107" s="110"/>
      <c r="H107" s="111"/>
      <c r="I107" s="118"/>
      <c r="J107" s="118"/>
      <c r="K107" s="118"/>
      <c r="L107" s="118"/>
      <c r="M107" s="112"/>
      <c r="N107" s="113"/>
      <c r="O107" s="114" t="s">
        <v>3682</v>
      </c>
    </row>
    <row r="108" spans="1:15" ht="18.600000000000001" customHeight="1">
      <c r="A108" s="135"/>
      <c r="B108" s="136"/>
      <c r="C108" s="137"/>
      <c r="D108" s="138"/>
      <c r="E108" s="138"/>
      <c r="F108" s="138"/>
      <c r="G108" s="138"/>
      <c r="H108" s="139"/>
      <c r="I108" s="137"/>
      <c r="J108" s="137"/>
      <c r="K108" s="137"/>
      <c r="L108" s="137"/>
      <c r="M108" s="140"/>
      <c r="N108" s="141"/>
      <c r="O108" s="114" t="s">
        <v>3682</v>
      </c>
    </row>
    <row r="109" spans="1:15" ht="16.149999999999999" customHeight="1">
      <c r="A109" s="124"/>
      <c r="B109" s="125" t="s">
        <v>1116</v>
      </c>
      <c r="C109" s="142"/>
      <c r="D109" s="126"/>
      <c r="E109" s="126"/>
      <c r="F109" s="126"/>
      <c r="G109" s="126"/>
      <c r="H109" s="127"/>
      <c r="I109" s="126"/>
      <c r="J109" s="126"/>
      <c r="K109" s="126"/>
      <c r="L109" s="126"/>
      <c r="M109" s="128"/>
      <c r="N109" s="129"/>
    </row>
    <row r="110" spans="1:15" ht="16.149999999999999" customHeight="1">
      <c r="A110" s="130"/>
      <c r="B110" s="109" t="s">
        <v>598</v>
      </c>
      <c r="C110" s="118" t="s">
        <v>1526</v>
      </c>
      <c r="D110" s="118">
        <f>기계경비산출표!G21</f>
        <v>9.9</v>
      </c>
      <c r="E110" s="110" t="s">
        <v>456</v>
      </c>
      <c r="F110" s="118" t="s">
        <v>972</v>
      </c>
      <c r="G110" s="110"/>
      <c r="H110" s="123">
        <f>중기기준!$G$35</f>
        <v>1114.9000000000001</v>
      </c>
      <c r="I110" s="110" t="s">
        <v>975</v>
      </c>
      <c r="J110" s="110"/>
      <c r="K110" s="110"/>
      <c r="L110" s="118" t="s">
        <v>1582</v>
      </c>
      <c r="M110" s="112">
        <f>TRUNC(D110*H110,2)</f>
        <v>11037.51</v>
      </c>
      <c r="N110" s="113" t="s">
        <v>975</v>
      </c>
    </row>
    <row r="111" spans="1:15" ht="16.149999999999999" customHeight="1">
      <c r="A111" s="130"/>
      <c r="B111" s="109" t="s">
        <v>1556</v>
      </c>
      <c r="C111" s="118" t="s">
        <v>1526</v>
      </c>
      <c r="D111" s="145">
        <f>기계경비산출표!H21/100</f>
        <v>0.22</v>
      </c>
      <c r="E111" s="110"/>
      <c r="F111" s="118" t="s">
        <v>972</v>
      </c>
      <c r="G111" s="110"/>
      <c r="H111" s="123">
        <f>M110</f>
        <v>11037.51</v>
      </c>
      <c r="I111" s="110" t="s">
        <v>975</v>
      </c>
      <c r="J111" s="110"/>
      <c r="K111" s="110"/>
      <c r="L111" s="118" t="s">
        <v>1582</v>
      </c>
      <c r="M111" s="112">
        <f>TRUNC(D111*H111,2)</f>
        <v>2428.25</v>
      </c>
      <c r="N111" s="113" t="s">
        <v>975</v>
      </c>
    </row>
    <row r="112" spans="1:15" ht="16.149999999999999" customHeight="1">
      <c r="A112" s="130"/>
      <c r="B112" s="109"/>
      <c r="C112" s="110"/>
      <c r="D112" s="110"/>
      <c r="E112" s="110"/>
      <c r="F112" s="110"/>
      <c r="G112" s="110"/>
      <c r="H112" s="111"/>
      <c r="I112" s="110"/>
      <c r="J112" s="110"/>
      <c r="K112" s="118" t="s">
        <v>1164</v>
      </c>
      <c r="L112" s="118" t="s">
        <v>1582</v>
      </c>
      <c r="M112" s="112">
        <f>TRUNC(SUM(M110:M111))</f>
        <v>13465</v>
      </c>
      <c r="N112" s="113" t="s">
        <v>975</v>
      </c>
    </row>
    <row r="113" spans="1:15" ht="18.600000000000001" customHeight="1">
      <c r="A113" s="135"/>
      <c r="B113" s="136"/>
      <c r="C113" s="138"/>
      <c r="D113" s="138"/>
      <c r="E113" s="138"/>
      <c r="F113" s="138"/>
      <c r="G113" s="138"/>
      <c r="H113" s="139"/>
      <c r="I113" s="138"/>
      <c r="J113" s="138"/>
      <c r="K113" s="137"/>
      <c r="L113" s="137"/>
      <c r="M113" s="140"/>
      <c r="N113" s="141"/>
      <c r="O113" s="114" t="s">
        <v>3682</v>
      </c>
    </row>
    <row r="114" spans="1:15" s="152" customFormat="1" ht="16.149999999999999" customHeight="1">
      <c r="A114" s="146"/>
      <c r="B114" s="147"/>
      <c r="C114" s="148"/>
      <c r="D114" s="148"/>
      <c r="E114" s="148"/>
      <c r="F114" s="148"/>
      <c r="G114" s="148"/>
      <c r="H114" s="149"/>
      <c r="I114" s="148"/>
      <c r="J114" s="148"/>
      <c r="K114" s="148" t="s">
        <v>1118</v>
      </c>
      <c r="L114" s="148" t="s">
        <v>1582</v>
      </c>
      <c r="M114" s="150">
        <f>TRUNC(M100+M106+M112,0)</f>
        <v>53147</v>
      </c>
      <c r="N114" s="151"/>
    </row>
    <row r="115" spans="1:15" ht="16.149999999999999" customHeight="1">
      <c r="A115" s="155"/>
      <c r="B115" s="136"/>
      <c r="C115" s="155"/>
      <c r="D115" s="155"/>
      <c r="E115" s="155"/>
      <c r="F115" s="155"/>
      <c r="G115" s="155"/>
      <c r="H115" s="156"/>
      <c r="I115" s="155"/>
      <c r="J115" s="155"/>
      <c r="K115" s="155"/>
      <c r="L115" s="155"/>
      <c r="M115" s="140"/>
      <c r="N115" s="137"/>
    </row>
    <row r="116" spans="1:15" ht="16.149999999999999" customHeight="1">
      <c r="A116" s="451">
        <f>A97+1</f>
        <v>7</v>
      </c>
      <c r="B116" s="99" t="s">
        <v>1100</v>
      </c>
      <c r="C116" s="100" t="s">
        <v>1526</v>
      </c>
      <c r="D116" s="101" t="s">
        <v>1528</v>
      </c>
      <c r="E116" s="102"/>
      <c r="F116" s="102"/>
      <c r="G116" s="100"/>
      <c r="H116" s="103" t="s">
        <v>1527</v>
      </c>
      <c r="I116" s="100" t="s">
        <v>1526</v>
      </c>
      <c r="J116" s="102" t="s">
        <v>2283</v>
      </c>
      <c r="K116" s="104" t="s">
        <v>847</v>
      </c>
      <c r="L116" s="100" t="s">
        <v>1526</v>
      </c>
      <c r="M116" s="105" t="s">
        <v>716</v>
      </c>
      <c r="N116" s="106"/>
      <c r="O116" s="107"/>
    </row>
    <row r="117" spans="1:15" ht="16.149999999999999" customHeight="1">
      <c r="A117" s="108"/>
      <c r="B117" s="109" t="s">
        <v>588</v>
      </c>
      <c r="C117" s="110" t="s">
        <v>1582</v>
      </c>
      <c r="D117" s="110" t="s">
        <v>589</v>
      </c>
      <c r="E117" s="110" t="s">
        <v>86</v>
      </c>
      <c r="F117" s="110" t="s">
        <v>590</v>
      </c>
      <c r="G117" s="110" t="s">
        <v>86</v>
      </c>
      <c r="H117" s="111" t="s">
        <v>2973</v>
      </c>
      <c r="I117" s="110"/>
      <c r="J117" s="110"/>
      <c r="K117" s="110"/>
      <c r="L117" s="110"/>
      <c r="M117" s="112"/>
      <c r="N117" s="113"/>
    </row>
    <row r="118" spans="1:15" ht="16.149999999999999" customHeight="1">
      <c r="A118" s="108"/>
      <c r="B118" s="109"/>
      <c r="C118" s="110"/>
      <c r="D118" s="110"/>
      <c r="E118" s="110"/>
      <c r="F118" s="110"/>
      <c r="G118" s="110"/>
      <c r="H118" s="111"/>
      <c r="I118" s="110"/>
      <c r="J118" s="110"/>
      <c r="K118" s="110"/>
      <c r="L118" s="110"/>
      <c r="M118" s="112"/>
      <c r="N118" s="113"/>
    </row>
    <row r="119" spans="1:15" ht="16.149999999999999" customHeight="1">
      <c r="A119" s="115"/>
      <c r="F119" s="117"/>
      <c r="G119" s="118"/>
      <c r="H119" s="119">
        <f>기계경비산출표!$E$22*1000</f>
        <v>88667000</v>
      </c>
      <c r="I119" s="110" t="s">
        <v>972</v>
      </c>
      <c r="J119" s="120">
        <v>2038</v>
      </c>
      <c r="K119" s="118" t="s">
        <v>2974</v>
      </c>
      <c r="L119" s="121" t="s">
        <v>1582</v>
      </c>
      <c r="M119" s="112">
        <f>TRUNC(H119*J119*(10^-7))</f>
        <v>18070</v>
      </c>
      <c r="N119" s="113" t="s">
        <v>975</v>
      </c>
    </row>
    <row r="120" spans="1:15" ht="16.149999999999999" customHeight="1">
      <c r="A120" s="115"/>
      <c r="B120" s="122"/>
      <c r="C120" s="118"/>
      <c r="D120" s="33"/>
      <c r="E120" s="110"/>
      <c r="F120" s="118"/>
      <c r="G120" s="118"/>
      <c r="H120" s="123"/>
      <c r="I120" s="118"/>
      <c r="J120" s="110"/>
      <c r="K120" s="110"/>
      <c r="L120" s="110"/>
      <c r="M120" s="112"/>
      <c r="N120" s="113"/>
    </row>
    <row r="121" spans="1:15" ht="16.149999999999999" customHeight="1">
      <c r="A121" s="124"/>
      <c r="B121" s="125" t="s">
        <v>1115</v>
      </c>
      <c r="C121" s="126"/>
      <c r="D121" s="126"/>
      <c r="E121" s="126"/>
      <c r="F121" s="126"/>
      <c r="G121" s="126"/>
      <c r="H121" s="127"/>
      <c r="I121" s="126"/>
      <c r="J121" s="126"/>
      <c r="K121" s="126"/>
      <c r="L121" s="126"/>
      <c r="M121" s="128"/>
      <c r="N121" s="129"/>
    </row>
    <row r="122" spans="1:15" ht="16.149999999999999" customHeight="1">
      <c r="A122" s="130"/>
      <c r="B122" s="131" t="s">
        <v>3185</v>
      </c>
      <c r="C122" s="118"/>
      <c r="D122" s="33">
        <f>SUMIF('노임(2015)'!$B$4:$B$87,B122,'노임(2015)'!$C$4:$C$87)+SUMIF('노임(2015)'!$E$4:$E$87,B122,'노임(2015)'!$F$4:$F$87)</f>
        <v>130411</v>
      </c>
      <c r="E122" s="110" t="s">
        <v>972</v>
      </c>
      <c r="F122" s="110" t="s">
        <v>973</v>
      </c>
      <c r="G122" s="132" t="s">
        <v>974</v>
      </c>
      <c r="H122" s="111"/>
      <c r="I122" s="110"/>
      <c r="J122" s="110"/>
      <c r="K122" s="133">
        <v>1</v>
      </c>
      <c r="L122" s="118" t="s">
        <v>1582</v>
      </c>
      <c r="M122" s="112">
        <f>TRUNC(D122*(1/8)*(16/12)*(25/20)*K122)</f>
        <v>27168</v>
      </c>
      <c r="N122" s="113" t="s">
        <v>975</v>
      </c>
    </row>
    <row r="123" spans="1:15" ht="16.149999999999999" customHeight="1">
      <c r="A123" s="130"/>
      <c r="B123" s="109"/>
      <c r="C123" s="118"/>
      <c r="D123" s="33"/>
      <c r="E123" s="110"/>
      <c r="F123" s="110"/>
      <c r="G123" s="132"/>
      <c r="H123" s="111"/>
      <c r="I123" s="110"/>
      <c r="J123" s="110"/>
      <c r="K123" s="134"/>
      <c r="L123" s="118"/>
      <c r="M123" s="112"/>
      <c r="N123" s="113"/>
    </row>
    <row r="124" spans="1:15" ht="18.600000000000001" customHeight="1">
      <c r="A124" s="130"/>
      <c r="B124" s="109"/>
      <c r="C124" s="118"/>
      <c r="D124" s="33"/>
      <c r="E124" s="110"/>
      <c r="F124" s="110"/>
      <c r="G124" s="132"/>
      <c r="H124" s="111"/>
      <c r="I124" s="110"/>
      <c r="J124" s="110"/>
      <c r="K124" s="134"/>
      <c r="L124" s="118"/>
      <c r="M124" s="112"/>
      <c r="N124" s="113"/>
      <c r="O124" s="114" t="s">
        <v>3682</v>
      </c>
    </row>
    <row r="125" spans="1:15" ht="16.149999999999999" customHeight="1">
      <c r="A125" s="130"/>
      <c r="B125" s="109"/>
      <c r="C125" s="118"/>
      <c r="D125" s="110"/>
      <c r="E125" s="110"/>
      <c r="F125" s="110"/>
      <c r="G125" s="110"/>
      <c r="H125" s="111"/>
      <c r="I125" s="791"/>
      <c r="J125" s="791"/>
      <c r="K125" s="118" t="s">
        <v>1164</v>
      </c>
      <c r="L125" s="118" t="s">
        <v>1582</v>
      </c>
      <c r="M125" s="112">
        <f>TRUNC(M122+M123+M124)</f>
        <v>27168</v>
      </c>
      <c r="N125" s="113" t="s">
        <v>975</v>
      </c>
      <c r="O125" s="114" t="s">
        <v>1115</v>
      </c>
    </row>
    <row r="126" spans="1:15" ht="18.600000000000001" customHeight="1">
      <c r="A126" s="130"/>
      <c r="B126" s="109"/>
      <c r="C126" s="118"/>
      <c r="D126" s="110"/>
      <c r="E126" s="110"/>
      <c r="F126" s="110"/>
      <c r="G126" s="110"/>
      <c r="H126" s="111"/>
      <c r="I126" s="118"/>
      <c r="J126" s="118"/>
      <c r="K126" s="118"/>
      <c r="L126" s="118"/>
      <c r="M126" s="112"/>
      <c r="N126" s="113"/>
      <c r="O126" s="114" t="s">
        <v>3682</v>
      </c>
    </row>
    <row r="127" spans="1:15" ht="18.600000000000001" customHeight="1">
      <c r="A127" s="135"/>
      <c r="B127" s="136"/>
      <c r="C127" s="137"/>
      <c r="D127" s="138"/>
      <c r="E127" s="138"/>
      <c r="F127" s="138"/>
      <c r="G127" s="138"/>
      <c r="H127" s="139"/>
      <c r="I127" s="137"/>
      <c r="J127" s="137"/>
      <c r="K127" s="137"/>
      <c r="L127" s="137"/>
      <c r="M127" s="140"/>
      <c r="N127" s="141"/>
      <c r="O127" s="114" t="s">
        <v>3682</v>
      </c>
    </row>
    <row r="128" spans="1:15" ht="16.149999999999999" customHeight="1">
      <c r="A128" s="124"/>
      <c r="B128" s="125" t="s">
        <v>1116</v>
      </c>
      <c r="C128" s="142"/>
      <c r="D128" s="126"/>
      <c r="E128" s="126"/>
      <c r="F128" s="126"/>
      <c r="G128" s="126"/>
      <c r="H128" s="127"/>
      <c r="I128" s="126"/>
      <c r="J128" s="126"/>
      <c r="K128" s="126"/>
      <c r="L128" s="126"/>
      <c r="M128" s="128"/>
      <c r="N128" s="129"/>
    </row>
    <row r="129" spans="1:15" ht="16.149999999999999" customHeight="1">
      <c r="A129" s="130"/>
      <c r="B129" s="109" t="s">
        <v>598</v>
      </c>
      <c r="C129" s="118" t="s">
        <v>1526</v>
      </c>
      <c r="D129" s="118">
        <f>기계경비산출표!$G$22</f>
        <v>10.199999999999999</v>
      </c>
      <c r="E129" s="110" t="s">
        <v>456</v>
      </c>
      <c r="F129" s="118" t="s">
        <v>972</v>
      </c>
      <c r="G129" s="110"/>
      <c r="H129" s="123">
        <f>중기기준!$G$35</f>
        <v>1114.9000000000001</v>
      </c>
      <c r="I129" s="110" t="s">
        <v>975</v>
      </c>
      <c r="J129" s="110"/>
      <c r="K129" s="110"/>
      <c r="L129" s="118" t="s">
        <v>1582</v>
      </c>
      <c r="M129" s="112">
        <f>TRUNC(D129*H129,2)</f>
        <v>11371.98</v>
      </c>
      <c r="N129" s="113" t="s">
        <v>975</v>
      </c>
    </row>
    <row r="130" spans="1:15" ht="16.149999999999999" customHeight="1">
      <c r="A130" s="130"/>
      <c r="B130" s="109" t="s">
        <v>1556</v>
      </c>
      <c r="C130" s="118" t="s">
        <v>1526</v>
      </c>
      <c r="D130" s="174">
        <v>0.22</v>
      </c>
      <c r="E130" s="110"/>
      <c r="F130" s="118" t="s">
        <v>972</v>
      </c>
      <c r="G130" s="110"/>
      <c r="H130" s="123">
        <f>M129</f>
        <v>11371.98</v>
      </c>
      <c r="I130" s="110" t="s">
        <v>975</v>
      </c>
      <c r="J130" s="110"/>
      <c r="K130" s="110"/>
      <c r="L130" s="118" t="s">
        <v>1582</v>
      </c>
      <c r="M130" s="112">
        <f>TRUNC(D130*H130,2)</f>
        <v>2501.83</v>
      </c>
      <c r="N130" s="113" t="s">
        <v>975</v>
      </c>
    </row>
    <row r="131" spans="1:15" ht="16.149999999999999" customHeight="1">
      <c r="A131" s="130"/>
      <c r="B131" s="109"/>
      <c r="C131" s="110"/>
      <c r="D131" s="110"/>
      <c r="E131" s="110"/>
      <c r="F131" s="110"/>
      <c r="G131" s="110"/>
      <c r="H131" s="111"/>
      <c r="I131" s="110"/>
      <c r="J131" s="110"/>
      <c r="K131" s="118" t="s">
        <v>1164</v>
      </c>
      <c r="L131" s="118" t="s">
        <v>1582</v>
      </c>
      <c r="M131" s="112">
        <f>TRUNC(SUM(M129:M130))</f>
        <v>13873</v>
      </c>
      <c r="N131" s="113" t="s">
        <v>975</v>
      </c>
    </row>
    <row r="132" spans="1:15" ht="18.600000000000001" customHeight="1">
      <c r="A132" s="135"/>
      <c r="B132" s="136"/>
      <c r="C132" s="138"/>
      <c r="D132" s="138"/>
      <c r="E132" s="138"/>
      <c r="F132" s="138"/>
      <c r="G132" s="138"/>
      <c r="H132" s="139"/>
      <c r="I132" s="138"/>
      <c r="J132" s="138"/>
      <c r="K132" s="137"/>
      <c r="L132" s="137"/>
      <c r="M132" s="140"/>
      <c r="N132" s="141"/>
      <c r="O132" s="114" t="s">
        <v>3682</v>
      </c>
    </row>
    <row r="133" spans="1:15" ht="16.149999999999999" customHeight="1">
      <c r="A133" s="146"/>
      <c r="B133" s="147"/>
      <c r="C133" s="148"/>
      <c r="D133" s="148"/>
      <c r="E133" s="148"/>
      <c r="F133" s="148"/>
      <c r="G133" s="148"/>
      <c r="H133" s="149"/>
      <c r="I133" s="148"/>
      <c r="J133" s="148"/>
      <c r="K133" s="148" t="s">
        <v>1118</v>
      </c>
      <c r="L133" s="148" t="s">
        <v>1582</v>
      </c>
      <c r="M133" s="150">
        <f>TRUNC(M119+M125+M131,0)</f>
        <v>59111</v>
      </c>
      <c r="N133" s="151"/>
      <c r="O133" s="152"/>
    </row>
    <row r="134" spans="1:15" ht="16.149999999999999" customHeight="1">
      <c r="A134" s="155"/>
      <c r="B134" s="136"/>
      <c r="C134" s="155"/>
      <c r="D134" s="155"/>
      <c r="E134" s="155"/>
      <c r="F134" s="155"/>
      <c r="G134" s="155"/>
      <c r="H134" s="156"/>
      <c r="I134" s="155"/>
      <c r="J134" s="155"/>
      <c r="K134" s="155"/>
      <c r="L134" s="155"/>
      <c r="M134" s="140"/>
      <c r="N134" s="137"/>
    </row>
    <row r="135" spans="1:15" s="107" customFormat="1" ht="16.149999999999999" customHeight="1">
      <c r="A135" s="451">
        <f>A116+1</f>
        <v>8</v>
      </c>
      <c r="B135" s="99" t="s">
        <v>1100</v>
      </c>
      <c r="C135" s="100" t="s">
        <v>1526</v>
      </c>
      <c r="D135" s="101" t="s">
        <v>1528</v>
      </c>
      <c r="E135" s="102"/>
      <c r="F135" s="102"/>
      <c r="G135" s="102"/>
      <c r="H135" s="157" t="s">
        <v>1527</v>
      </c>
      <c r="I135" s="100" t="s">
        <v>1526</v>
      </c>
      <c r="J135" s="102" t="s">
        <v>841</v>
      </c>
      <c r="K135" s="104" t="s">
        <v>847</v>
      </c>
      <c r="L135" s="100" t="s">
        <v>1526</v>
      </c>
      <c r="M135" s="105" t="s">
        <v>600</v>
      </c>
      <c r="N135" s="106"/>
    </row>
    <row r="136" spans="1:15" ht="16.149999999999999" customHeight="1">
      <c r="A136" s="108"/>
      <c r="B136" s="109" t="s">
        <v>588</v>
      </c>
      <c r="C136" s="110" t="s">
        <v>1582</v>
      </c>
      <c r="D136" s="110" t="s">
        <v>589</v>
      </c>
      <c r="E136" s="110" t="s">
        <v>86</v>
      </c>
      <c r="F136" s="110" t="s">
        <v>590</v>
      </c>
      <c r="G136" s="110" t="s">
        <v>86</v>
      </c>
      <c r="H136" s="111" t="s">
        <v>2973</v>
      </c>
      <c r="I136" s="110"/>
      <c r="J136" s="110"/>
      <c r="K136" s="110"/>
      <c r="L136" s="110"/>
      <c r="M136" s="112"/>
      <c r="N136" s="113"/>
    </row>
    <row r="137" spans="1:15" ht="16.149999999999999" customHeight="1">
      <c r="A137" s="108"/>
      <c r="B137" s="109"/>
      <c r="C137" s="110"/>
      <c r="D137" s="110"/>
      <c r="E137" s="110"/>
      <c r="F137" s="110"/>
      <c r="G137" s="110"/>
      <c r="H137" s="111"/>
      <c r="I137" s="110"/>
      <c r="J137" s="110"/>
      <c r="K137" s="110"/>
      <c r="L137" s="110"/>
      <c r="M137" s="112"/>
      <c r="N137" s="113"/>
    </row>
    <row r="138" spans="1:15" ht="16.149999999999999" customHeight="1">
      <c r="A138" s="115"/>
      <c r="F138" s="117"/>
      <c r="G138" s="118"/>
      <c r="H138" s="119">
        <f>기계경비산출표!$E$23*1000</f>
        <v>96703000</v>
      </c>
      <c r="I138" s="110" t="s">
        <v>972</v>
      </c>
      <c r="J138" s="120">
        <v>2038</v>
      </c>
      <c r="K138" s="118" t="s">
        <v>2974</v>
      </c>
      <c r="L138" s="121" t="s">
        <v>1582</v>
      </c>
      <c r="M138" s="112">
        <f>TRUNC(H138*J138*(10^-7))</f>
        <v>19708</v>
      </c>
      <c r="N138" s="113" t="s">
        <v>975</v>
      </c>
    </row>
    <row r="139" spans="1:15" ht="16.149999999999999" customHeight="1">
      <c r="A139" s="115"/>
      <c r="B139" s="122"/>
      <c r="C139" s="118"/>
      <c r="D139" s="33"/>
      <c r="E139" s="110"/>
      <c r="F139" s="118"/>
      <c r="G139" s="118"/>
      <c r="H139" s="123"/>
      <c r="I139" s="118"/>
      <c r="J139" s="110"/>
      <c r="K139" s="110"/>
      <c r="L139" s="110"/>
      <c r="M139" s="112"/>
      <c r="N139" s="113"/>
    </row>
    <row r="140" spans="1:15" ht="16.149999999999999" customHeight="1">
      <c r="A140" s="124"/>
      <c r="B140" s="125" t="s">
        <v>1115</v>
      </c>
      <c r="C140" s="126"/>
      <c r="D140" s="126"/>
      <c r="E140" s="126"/>
      <c r="F140" s="126"/>
      <c r="G140" s="126"/>
      <c r="H140" s="127"/>
      <c r="I140" s="126"/>
      <c r="J140" s="126"/>
      <c r="K140" s="126"/>
      <c r="L140" s="126"/>
      <c r="M140" s="128"/>
      <c r="N140" s="129"/>
    </row>
    <row r="141" spans="1:15" ht="16.149999999999999" customHeight="1">
      <c r="A141" s="130"/>
      <c r="B141" s="131" t="s">
        <v>3185</v>
      </c>
      <c r="C141" s="118"/>
      <c r="D141" s="33">
        <f>SUMIF('노임(2015)'!$B$4:$B$87,B141,'노임(2015)'!$C$4:$C$87)+SUMIF('노임(2015)'!$E$4:$E$87,B141,'노임(2015)'!$F$4:$F$87)</f>
        <v>130411</v>
      </c>
      <c r="E141" s="110" t="s">
        <v>972</v>
      </c>
      <c r="F141" s="110" t="s">
        <v>973</v>
      </c>
      <c r="G141" s="132" t="s">
        <v>974</v>
      </c>
      <c r="H141" s="111"/>
      <c r="I141" s="110"/>
      <c r="J141" s="110"/>
      <c r="K141" s="133">
        <v>1</v>
      </c>
      <c r="L141" s="118" t="s">
        <v>1582</v>
      </c>
      <c r="M141" s="112">
        <f>TRUNC(D141*(1/8)*(16/12)*(25/20)*K141)</f>
        <v>27168</v>
      </c>
      <c r="N141" s="113" t="s">
        <v>975</v>
      </c>
    </row>
    <row r="142" spans="1:15" ht="16.149999999999999" customHeight="1">
      <c r="A142" s="130"/>
      <c r="B142" s="109"/>
      <c r="C142" s="118"/>
      <c r="D142" s="33"/>
      <c r="E142" s="110"/>
      <c r="F142" s="110"/>
      <c r="G142" s="132"/>
      <c r="H142" s="111"/>
      <c r="I142" s="110"/>
      <c r="J142" s="110"/>
      <c r="K142" s="134"/>
      <c r="L142" s="118"/>
      <c r="M142" s="112"/>
      <c r="N142" s="113"/>
    </row>
    <row r="143" spans="1:15" ht="18.600000000000001" customHeight="1">
      <c r="A143" s="130"/>
      <c r="B143" s="109"/>
      <c r="C143" s="118"/>
      <c r="D143" s="33"/>
      <c r="E143" s="110"/>
      <c r="F143" s="110"/>
      <c r="G143" s="132"/>
      <c r="H143" s="111"/>
      <c r="I143" s="110"/>
      <c r="J143" s="110"/>
      <c r="K143" s="134"/>
      <c r="L143" s="118"/>
      <c r="M143" s="112"/>
      <c r="N143" s="113"/>
      <c r="O143" s="114" t="s">
        <v>3682</v>
      </c>
    </row>
    <row r="144" spans="1:15" ht="16.149999999999999" customHeight="1">
      <c r="A144" s="130"/>
      <c r="B144" s="109"/>
      <c r="C144" s="118"/>
      <c r="D144" s="110"/>
      <c r="E144" s="110"/>
      <c r="F144" s="110"/>
      <c r="G144" s="110"/>
      <c r="H144" s="111"/>
      <c r="I144" s="791"/>
      <c r="J144" s="791"/>
      <c r="K144" s="118" t="s">
        <v>1164</v>
      </c>
      <c r="L144" s="118" t="s">
        <v>1582</v>
      </c>
      <c r="M144" s="112">
        <f>TRUNC(M141+M142+M143)</f>
        <v>27168</v>
      </c>
      <c r="N144" s="113" t="s">
        <v>975</v>
      </c>
      <c r="O144" s="114" t="s">
        <v>1115</v>
      </c>
    </row>
    <row r="145" spans="1:15" ht="18.600000000000001" customHeight="1">
      <c r="A145" s="130"/>
      <c r="B145" s="109"/>
      <c r="C145" s="118"/>
      <c r="D145" s="110"/>
      <c r="E145" s="110"/>
      <c r="F145" s="110"/>
      <c r="G145" s="110"/>
      <c r="H145" s="111"/>
      <c r="I145" s="118"/>
      <c r="J145" s="118"/>
      <c r="K145" s="118"/>
      <c r="L145" s="118"/>
      <c r="M145" s="112"/>
      <c r="N145" s="113"/>
      <c r="O145" s="114" t="s">
        <v>3682</v>
      </c>
    </row>
    <row r="146" spans="1:15" ht="18.600000000000001" customHeight="1">
      <c r="A146" s="135"/>
      <c r="B146" s="136"/>
      <c r="C146" s="137"/>
      <c r="D146" s="138"/>
      <c r="E146" s="138"/>
      <c r="F146" s="138"/>
      <c r="G146" s="138"/>
      <c r="H146" s="139"/>
      <c r="I146" s="137"/>
      <c r="J146" s="137"/>
      <c r="K146" s="137"/>
      <c r="L146" s="137"/>
      <c r="M146" s="140"/>
      <c r="N146" s="141"/>
      <c r="O146" s="114" t="s">
        <v>3682</v>
      </c>
    </row>
    <row r="147" spans="1:15" ht="16.149999999999999" customHeight="1">
      <c r="A147" s="124"/>
      <c r="B147" s="125" t="s">
        <v>1116</v>
      </c>
      <c r="C147" s="142"/>
      <c r="D147" s="126"/>
      <c r="E147" s="126"/>
      <c r="F147" s="126"/>
      <c r="G147" s="126"/>
      <c r="H147" s="127"/>
      <c r="I147" s="126"/>
      <c r="J147" s="126"/>
      <c r="K147" s="126"/>
      <c r="L147" s="126"/>
      <c r="M147" s="128"/>
      <c r="N147" s="129"/>
    </row>
    <row r="148" spans="1:15" ht="16.149999999999999" customHeight="1">
      <c r="A148" s="130"/>
      <c r="B148" s="109" t="s">
        <v>598</v>
      </c>
      <c r="C148" s="118" t="s">
        <v>1526</v>
      </c>
      <c r="D148" s="118">
        <v>11.6</v>
      </c>
      <c r="E148" s="110" t="s">
        <v>456</v>
      </c>
      <c r="F148" s="118" t="s">
        <v>972</v>
      </c>
      <c r="G148" s="110"/>
      <c r="H148" s="123">
        <f>중기기준!$G$35</f>
        <v>1114.9000000000001</v>
      </c>
      <c r="I148" s="110" t="s">
        <v>975</v>
      </c>
      <c r="J148" s="110"/>
      <c r="K148" s="110"/>
      <c r="L148" s="118" t="s">
        <v>1582</v>
      </c>
      <c r="M148" s="112">
        <f>TRUNC(D148*H148,2)</f>
        <v>12932.84</v>
      </c>
      <c r="N148" s="113" t="s">
        <v>975</v>
      </c>
    </row>
    <row r="149" spans="1:15" ht="16.149999999999999" customHeight="1">
      <c r="A149" s="130"/>
      <c r="B149" s="109" t="s">
        <v>1556</v>
      </c>
      <c r="C149" s="118" t="s">
        <v>1526</v>
      </c>
      <c r="D149" s="145">
        <v>0.22</v>
      </c>
      <c r="E149" s="110"/>
      <c r="F149" s="118" t="s">
        <v>972</v>
      </c>
      <c r="G149" s="110"/>
      <c r="H149" s="123">
        <f>M148</f>
        <v>12932.84</v>
      </c>
      <c r="I149" s="110" t="s">
        <v>975</v>
      </c>
      <c r="J149" s="110"/>
      <c r="K149" s="110"/>
      <c r="L149" s="118" t="s">
        <v>1582</v>
      </c>
      <c r="M149" s="112">
        <f>TRUNC(D149*H149,2)</f>
        <v>2845.22</v>
      </c>
      <c r="N149" s="113" t="s">
        <v>975</v>
      </c>
    </row>
    <row r="150" spans="1:15" ht="16.149999999999999" customHeight="1">
      <c r="A150" s="130"/>
      <c r="B150" s="109"/>
      <c r="C150" s="110"/>
      <c r="D150" s="110"/>
      <c r="E150" s="110"/>
      <c r="F150" s="110"/>
      <c r="G150" s="110"/>
      <c r="H150" s="111"/>
      <c r="I150" s="110"/>
      <c r="J150" s="110"/>
      <c r="K150" s="118" t="s">
        <v>1164</v>
      </c>
      <c r="L150" s="118" t="s">
        <v>1582</v>
      </c>
      <c r="M150" s="112">
        <f>TRUNC(SUM(M148:M149))</f>
        <v>15778</v>
      </c>
      <c r="N150" s="113" t="s">
        <v>975</v>
      </c>
    </row>
    <row r="151" spans="1:15" ht="18.600000000000001" customHeight="1">
      <c r="A151" s="135"/>
      <c r="B151" s="136"/>
      <c r="C151" s="138"/>
      <c r="D151" s="138"/>
      <c r="E151" s="138"/>
      <c r="F151" s="138"/>
      <c r="G151" s="138"/>
      <c r="H151" s="139"/>
      <c r="I151" s="138"/>
      <c r="J151" s="138"/>
      <c r="K151" s="137"/>
      <c r="L151" s="137"/>
      <c r="M151" s="140"/>
      <c r="N151" s="141"/>
      <c r="O151" s="114" t="s">
        <v>3682</v>
      </c>
    </row>
    <row r="152" spans="1:15" s="152" customFormat="1" ht="16.149999999999999" customHeight="1">
      <c r="A152" s="146"/>
      <c r="B152" s="147"/>
      <c r="C152" s="148"/>
      <c r="D152" s="148"/>
      <c r="E152" s="148"/>
      <c r="F152" s="148"/>
      <c r="G152" s="148"/>
      <c r="H152" s="149"/>
      <c r="I152" s="148"/>
      <c r="J152" s="148"/>
      <c r="K152" s="148" t="s">
        <v>1118</v>
      </c>
      <c r="L152" s="148" t="s">
        <v>1582</v>
      </c>
      <c r="M152" s="150">
        <f>TRUNC(M138+M144+M150,0)</f>
        <v>62654</v>
      </c>
      <c r="N152" s="151"/>
    </row>
    <row r="153" spans="1:15" s="152" customFormat="1" ht="16.149999999999999" customHeight="1">
      <c r="A153" s="169"/>
      <c r="B153" s="163"/>
      <c r="C153" s="169"/>
      <c r="D153" s="169"/>
      <c r="E153" s="169"/>
      <c r="F153" s="169"/>
      <c r="G153" s="169"/>
      <c r="H153" s="170"/>
      <c r="I153" s="169"/>
      <c r="J153" s="169"/>
      <c r="K153" s="169"/>
      <c r="L153" s="169"/>
      <c r="M153" s="166"/>
      <c r="N153" s="165"/>
      <c r="O153" s="114"/>
    </row>
    <row r="154" spans="1:15" s="107" customFormat="1" ht="16.149999999999999" customHeight="1">
      <c r="A154" s="451">
        <f>A135+1</f>
        <v>9</v>
      </c>
      <c r="B154" s="99" t="s">
        <v>1100</v>
      </c>
      <c r="C154" s="100" t="s">
        <v>1526</v>
      </c>
      <c r="D154" s="101" t="s">
        <v>1528</v>
      </c>
      <c r="E154" s="102"/>
      <c r="F154" s="102"/>
      <c r="G154" s="102"/>
      <c r="H154" s="157" t="s">
        <v>1527</v>
      </c>
      <c r="I154" s="100" t="s">
        <v>1526</v>
      </c>
      <c r="J154" s="102" t="s">
        <v>601</v>
      </c>
      <c r="K154" s="104" t="s">
        <v>847</v>
      </c>
      <c r="L154" s="100" t="s">
        <v>1526</v>
      </c>
      <c r="M154" s="105" t="s">
        <v>602</v>
      </c>
      <c r="N154" s="106"/>
    </row>
    <row r="155" spans="1:15" ht="16.149999999999999" customHeight="1">
      <c r="A155" s="108"/>
      <c r="B155" s="109" t="s">
        <v>588</v>
      </c>
      <c r="C155" s="110" t="s">
        <v>1582</v>
      </c>
      <c r="D155" s="110" t="s">
        <v>589</v>
      </c>
      <c r="E155" s="110" t="s">
        <v>86</v>
      </c>
      <c r="F155" s="110" t="s">
        <v>590</v>
      </c>
      <c r="G155" s="110" t="s">
        <v>86</v>
      </c>
      <c r="H155" s="111" t="s">
        <v>2973</v>
      </c>
      <c r="I155" s="110"/>
      <c r="J155" s="110"/>
      <c r="K155" s="110"/>
      <c r="L155" s="110"/>
      <c r="M155" s="112"/>
      <c r="N155" s="113"/>
    </row>
    <row r="156" spans="1:15" ht="16.149999999999999" customHeight="1">
      <c r="A156" s="108"/>
      <c r="B156" s="109"/>
      <c r="C156" s="110"/>
      <c r="D156" s="110"/>
      <c r="E156" s="110"/>
      <c r="F156" s="110"/>
      <c r="G156" s="110"/>
      <c r="H156" s="111"/>
      <c r="I156" s="110"/>
      <c r="J156" s="110"/>
      <c r="K156" s="110"/>
      <c r="L156" s="110"/>
      <c r="M156" s="112"/>
      <c r="N156" s="113"/>
    </row>
    <row r="157" spans="1:15" ht="16.149999999999999" customHeight="1">
      <c r="A157" s="115"/>
      <c r="F157" s="117"/>
      <c r="G157" s="118"/>
      <c r="H157" s="119">
        <f>기계경비산출표!$E$24*1000</f>
        <v>115600000</v>
      </c>
      <c r="I157" s="110" t="s">
        <v>972</v>
      </c>
      <c r="J157" s="120">
        <v>2038</v>
      </c>
      <c r="K157" s="118" t="s">
        <v>2974</v>
      </c>
      <c r="L157" s="121" t="s">
        <v>1582</v>
      </c>
      <c r="M157" s="112">
        <f>TRUNC(H157*J157*(10^-7))</f>
        <v>23559</v>
      </c>
      <c r="N157" s="113" t="s">
        <v>975</v>
      </c>
    </row>
    <row r="158" spans="1:15" ht="16.149999999999999" customHeight="1">
      <c r="A158" s="115"/>
      <c r="B158" s="122"/>
      <c r="C158" s="118"/>
      <c r="D158" s="33"/>
      <c r="E158" s="110"/>
      <c r="F158" s="118"/>
      <c r="G158" s="118"/>
      <c r="H158" s="123"/>
      <c r="I158" s="118"/>
      <c r="J158" s="110"/>
      <c r="K158" s="110"/>
      <c r="L158" s="110"/>
      <c r="M158" s="112"/>
      <c r="N158" s="113"/>
    </row>
    <row r="159" spans="1:15" ht="16.149999999999999" customHeight="1">
      <c r="A159" s="124"/>
      <c r="B159" s="125" t="s">
        <v>1115</v>
      </c>
      <c r="C159" s="126"/>
      <c r="D159" s="126"/>
      <c r="E159" s="126"/>
      <c r="F159" s="126"/>
      <c r="G159" s="126"/>
      <c r="H159" s="127"/>
      <c r="I159" s="126"/>
      <c r="J159" s="126"/>
      <c r="K159" s="126"/>
      <c r="L159" s="126"/>
      <c r="M159" s="128"/>
      <c r="N159" s="129"/>
    </row>
    <row r="160" spans="1:15" ht="16.149999999999999" customHeight="1">
      <c r="A160" s="130"/>
      <c r="B160" s="131" t="s">
        <v>3185</v>
      </c>
      <c r="C160" s="118"/>
      <c r="D160" s="33">
        <f>SUMIF('노임(2015)'!$B$4:$B$87,B160,'노임(2015)'!$C$4:$C$87)+SUMIF('노임(2015)'!$E$4:$E$87,B160,'노임(2015)'!$F$4:$F$87)</f>
        <v>130411</v>
      </c>
      <c r="E160" s="110" t="s">
        <v>972</v>
      </c>
      <c r="F160" s="110" t="s">
        <v>973</v>
      </c>
      <c r="G160" s="132" t="s">
        <v>974</v>
      </c>
      <c r="H160" s="111"/>
      <c r="I160" s="110"/>
      <c r="J160" s="110"/>
      <c r="K160" s="133">
        <v>1</v>
      </c>
      <c r="L160" s="118" t="s">
        <v>1582</v>
      </c>
      <c r="M160" s="112">
        <f>TRUNC(D160*(1/8)*(16/12)*(25/20)*K160)</f>
        <v>27168</v>
      </c>
      <c r="N160" s="113" t="s">
        <v>975</v>
      </c>
    </row>
    <row r="161" spans="1:15" ht="16.149999999999999" customHeight="1">
      <c r="A161" s="130"/>
      <c r="B161" s="109"/>
      <c r="C161" s="118"/>
      <c r="D161" s="33"/>
      <c r="E161" s="110"/>
      <c r="F161" s="110"/>
      <c r="G161" s="132"/>
      <c r="H161" s="111"/>
      <c r="I161" s="110"/>
      <c r="J161" s="110"/>
      <c r="K161" s="134"/>
      <c r="L161" s="118"/>
      <c r="M161" s="112"/>
      <c r="N161" s="113"/>
    </row>
    <row r="162" spans="1:15" ht="18.600000000000001" customHeight="1">
      <c r="A162" s="130"/>
      <c r="B162" s="109"/>
      <c r="C162" s="118"/>
      <c r="D162" s="33"/>
      <c r="E162" s="110"/>
      <c r="F162" s="110"/>
      <c r="G162" s="132"/>
      <c r="H162" s="111"/>
      <c r="I162" s="110"/>
      <c r="J162" s="110"/>
      <c r="K162" s="134"/>
      <c r="L162" s="118"/>
      <c r="M162" s="112"/>
      <c r="N162" s="113"/>
      <c r="O162" s="114" t="s">
        <v>3682</v>
      </c>
    </row>
    <row r="163" spans="1:15" ht="16.149999999999999" customHeight="1">
      <c r="A163" s="130"/>
      <c r="B163" s="109"/>
      <c r="C163" s="118"/>
      <c r="D163" s="110"/>
      <c r="E163" s="110"/>
      <c r="F163" s="110"/>
      <c r="G163" s="110"/>
      <c r="H163" s="111"/>
      <c r="I163" s="791"/>
      <c r="J163" s="791"/>
      <c r="K163" s="118" t="s">
        <v>1164</v>
      </c>
      <c r="L163" s="118" t="s">
        <v>1582</v>
      </c>
      <c r="M163" s="112">
        <f>TRUNC(M160+M161+M162)</f>
        <v>27168</v>
      </c>
      <c r="N163" s="113" t="s">
        <v>975</v>
      </c>
      <c r="O163" s="114" t="s">
        <v>1115</v>
      </c>
    </row>
    <row r="164" spans="1:15" ht="18.600000000000001" customHeight="1">
      <c r="A164" s="130"/>
      <c r="B164" s="109"/>
      <c r="C164" s="118"/>
      <c r="D164" s="110"/>
      <c r="E164" s="110"/>
      <c r="F164" s="110"/>
      <c r="G164" s="110"/>
      <c r="H164" s="111"/>
      <c r="I164" s="118"/>
      <c r="J164" s="118"/>
      <c r="K164" s="118"/>
      <c r="L164" s="118"/>
      <c r="M164" s="112"/>
      <c r="N164" s="113"/>
      <c r="O164" s="114" t="s">
        <v>3682</v>
      </c>
    </row>
    <row r="165" spans="1:15" ht="18.600000000000001" customHeight="1">
      <c r="A165" s="135"/>
      <c r="B165" s="136"/>
      <c r="C165" s="137"/>
      <c r="D165" s="138"/>
      <c r="E165" s="138"/>
      <c r="F165" s="138"/>
      <c r="G165" s="138"/>
      <c r="H165" s="139"/>
      <c r="I165" s="137"/>
      <c r="J165" s="137"/>
      <c r="K165" s="137"/>
      <c r="L165" s="137"/>
      <c r="M165" s="140"/>
      <c r="N165" s="141"/>
      <c r="O165" s="114" t="s">
        <v>3682</v>
      </c>
    </row>
    <row r="166" spans="1:15" ht="16.149999999999999" customHeight="1">
      <c r="A166" s="124"/>
      <c r="B166" s="125" t="s">
        <v>1116</v>
      </c>
      <c r="C166" s="142"/>
      <c r="D166" s="126"/>
      <c r="E166" s="126"/>
      <c r="F166" s="126"/>
      <c r="G166" s="126"/>
      <c r="H166" s="127"/>
      <c r="I166" s="126"/>
      <c r="J166" s="126"/>
      <c r="K166" s="126"/>
      <c r="L166" s="126"/>
      <c r="M166" s="128"/>
      <c r="N166" s="129"/>
    </row>
    <row r="167" spans="1:15" ht="16.149999999999999" customHeight="1">
      <c r="A167" s="130"/>
      <c r="B167" s="109" t="s">
        <v>598</v>
      </c>
      <c r="C167" s="118" t="s">
        <v>1526</v>
      </c>
      <c r="D167" s="118">
        <v>19.5</v>
      </c>
      <c r="E167" s="110" t="s">
        <v>456</v>
      </c>
      <c r="F167" s="118" t="s">
        <v>972</v>
      </c>
      <c r="G167" s="110"/>
      <c r="H167" s="123">
        <f>중기기준!$G$35</f>
        <v>1114.9000000000001</v>
      </c>
      <c r="I167" s="110" t="s">
        <v>975</v>
      </c>
      <c r="J167" s="110"/>
      <c r="K167" s="110"/>
      <c r="L167" s="118" t="s">
        <v>1582</v>
      </c>
      <c r="M167" s="112">
        <f>TRUNC(D167*H167,2)</f>
        <v>21740.55</v>
      </c>
      <c r="N167" s="113" t="s">
        <v>975</v>
      </c>
    </row>
    <row r="168" spans="1:15" ht="16.149999999999999" customHeight="1">
      <c r="A168" s="130"/>
      <c r="B168" s="109" t="s">
        <v>1556</v>
      </c>
      <c r="C168" s="118" t="s">
        <v>1526</v>
      </c>
      <c r="D168" s="145">
        <v>0.22</v>
      </c>
      <c r="E168" s="110"/>
      <c r="F168" s="118" t="s">
        <v>972</v>
      </c>
      <c r="G168" s="110"/>
      <c r="H168" s="123">
        <f>M167</f>
        <v>21740.55</v>
      </c>
      <c r="I168" s="110" t="s">
        <v>975</v>
      </c>
      <c r="J168" s="110"/>
      <c r="K168" s="110"/>
      <c r="L168" s="118" t="s">
        <v>1582</v>
      </c>
      <c r="M168" s="112">
        <f>TRUNC(D168*H168,2)</f>
        <v>4782.92</v>
      </c>
      <c r="N168" s="113" t="s">
        <v>975</v>
      </c>
    </row>
    <row r="169" spans="1:15" ht="16.149999999999999" customHeight="1">
      <c r="A169" s="130"/>
      <c r="B169" s="109"/>
      <c r="C169" s="110"/>
      <c r="D169" s="110"/>
      <c r="E169" s="110"/>
      <c r="F169" s="110"/>
      <c r="G169" s="110"/>
      <c r="H169" s="111"/>
      <c r="I169" s="110"/>
      <c r="J169" s="110"/>
      <c r="K169" s="118" t="s">
        <v>1164</v>
      </c>
      <c r="L169" s="118" t="s">
        <v>1582</v>
      </c>
      <c r="M169" s="112">
        <f>TRUNC(SUM(M167:M168))</f>
        <v>26523</v>
      </c>
      <c r="N169" s="113" t="s">
        <v>975</v>
      </c>
    </row>
    <row r="170" spans="1:15" ht="18.600000000000001" customHeight="1">
      <c r="A170" s="135"/>
      <c r="B170" s="136"/>
      <c r="C170" s="138"/>
      <c r="D170" s="138"/>
      <c r="E170" s="138"/>
      <c r="F170" s="138"/>
      <c r="G170" s="138"/>
      <c r="H170" s="139"/>
      <c r="I170" s="138"/>
      <c r="J170" s="138"/>
      <c r="K170" s="137"/>
      <c r="L170" s="137"/>
      <c r="M170" s="140"/>
      <c r="N170" s="141"/>
      <c r="O170" s="114" t="s">
        <v>3682</v>
      </c>
    </row>
    <row r="171" spans="1:15" s="152" customFormat="1" ht="16.149999999999999" customHeight="1">
      <c r="A171" s="146"/>
      <c r="B171" s="147"/>
      <c r="C171" s="148"/>
      <c r="D171" s="148"/>
      <c r="E171" s="148"/>
      <c r="F171" s="148"/>
      <c r="G171" s="148"/>
      <c r="H171" s="149"/>
      <c r="I171" s="148"/>
      <c r="J171" s="148"/>
      <c r="K171" s="148" t="s">
        <v>1118</v>
      </c>
      <c r="L171" s="148" t="s">
        <v>1582</v>
      </c>
      <c r="M171" s="150">
        <f>TRUNC(M157+M163+M169,0)</f>
        <v>77250</v>
      </c>
      <c r="N171" s="151"/>
    </row>
    <row r="172" spans="1:15" s="152" customFormat="1" ht="16.149999999999999" customHeight="1">
      <c r="A172" s="146"/>
      <c r="B172" s="147"/>
      <c r="C172" s="148"/>
      <c r="D172" s="148"/>
      <c r="E172" s="148"/>
      <c r="F172" s="148"/>
      <c r="G172" s="148"/>
      <c r="H172" s="149"/>
      <c r="I172" s="148"/>
      <c r="J172" s="148"/>
      <c r="K172" s="148"/>
      <c r="L172" s="148"/>
      <c r="M172" s="150"/>
      <c r="N172" s="151"/>
      <c r="O172" s="114"/>
    </row>
    <row r="173" spans="1:15" s="107" customFormat="1" ht="16.149999999999999" customHeight="1">
      <c r="A173" s="451">
        <f>A154+1</f>
        <v>10</v>
      </c>
      <c r="B173" s="99" t="s">
        <v>1100</v>
      </c>
      <c r="C173" s="100" t="s">
        <v>1526</v>
      </c>
      <c r="D173" s="101" t="s">
        <v>3233</v>
      </c>
      <c r="E173" s="102"/>
      <c r="F173" s="102"/>
      <c r="G173" s="102"/>
      <c r="H173" s="157" t="s">
        <v>1527</v>
      </c>
      <c r="I173" s="100" t="s">
        <v>1526</v>
      </c>
      <c r="J173" s="102" t="s">
        <v>3236</v>
      </c>
      <c r="K173" s="104" t="s">
        <v>847</v>
      </c>
      <c r="L173" s="100" t="s">
        <v>1526</v>
      </c>
      <c r="M173" s="105" t="s">
        <v>3237</v>
      </c>
      <c r="N173" s="106"/>
    </row>
    <row r="174" spans="1:15" ht="16.149999999999999" customHeight="1">
      <c r="A174" s="108"/>
      <c r="B174" s="109" t="s">
        <v>588</v>
      </c>
      <c r="C174" s="110" t="s">
        <v>1582</v>
      </c>
      <c r="D174" s="110" t="s">
        <v>589</v>
      </c>
      <c r="E174" s="110" t="s">
        <v>86</v>
      </c>
      <c r="F174" s="110" t="s">
        <v>590</v>
      </c>
      <c r="G174" s="110" t="s">
        <v>86</v>
      </c>
      <c r="H174" s="111" t="s">
        <v>2973</v>
      </c>
      <c r="I174" s="110"/>
      <c r="J174" s="110"/>
      <c r="K174" s="110"/>
      <c r="L174" s="110"/>
      <c r="M174" s="112"/>
      <c r="N174" s="113"/>
    </row>
    <row r="175" spans="1:15" ht="16.149999999999999" customHeight="1">
      <c r="A175" s="108"/>
      <c r="B175" s="109"/>
      <c r="C175" s="110"/>
      <c r="D175" s="110"/>
      <c r="E175" s="110"/>
      <c r="F175" s="110"/>
      <c r="G175" s="110"/>
      <c r="H175" s="111"/>
      <c r="I175" s="110"/>
      <c r="J175" s="110"/>
      <c r="K175" s="110"/>
      <c r="L175" s="110"/>
      <c r="M175" s="112"/>
      <c r="N175" s="113"/>
    </row>
    <row r="176" spans="1:15" ht="16.149999999999999" customHeight="1">
      <c r="A176" s="115"/>
      <c r="F176" s="117"/>
      <c r="G176" s="118"/>
      <c r="H176" s="119">
        <f>기계경비산출표!$E$26*1000</f>
        <v>58508000</v>
      </c>
      <c r="I176" s="110" t="s">
        <v>972</v>
      </c>
      <c r="J176" s="120">
        <v>2213</v>
      </c>
      <c r="K176" s="118" t="s">
        <v>2974</v>
      </c>
      <c r="L176" s="121" t="s">
        <v>1582</v>
      </c>
      <c r="M176" s="112">
        <f>TRUNC(H176*J176*(10^-7))</f>
        <v>12947</v>
      </c>
      <c r="N176" s="113" t="s">
        <v>975</v>
      </c>
    </row>
    <row r="177" spans="1:15" ht="16.149999999999999" customHeight="1">
      <c r="A177" s="115"/>
      <c r="B177" s="122"/>
      <c r="C177" s="118"/>
      <c r="D177" s="33"/>
      <c r="E177" s="110"/>
      <c r="F177" s="118"/>
      <c r="G177" s="118"/>
      <c r="H177" s="123"/>
      <c r="I177" s="118"/>
      <c r="J177" s="110"/>
      <c r="K177" s="110"/>
      <c r="L177" s="110"/>
      <c r="M177" s="112"/>
      <c r="N177" s="113"/>
    </row>
    <row r="178" spans="1:15" ht="16.149999999999999" customHeight="1">
      <c r="A178" s="124"/>
      <c r="B178" s="125" t="s">
        <v>1115</v>
      </c>
      <c r="C178" s="126"/>
      <c r="D178" s="126"/>
      <c r="E178" s="126"/>
      <c r="F178" s="126"/>
      <c r="G178" s="126"/>
      <c r="H178" s="127"/>
      <c r="I178" s="126"/>
      <c r="J178" s="126"/>
      <c r="K178" s="126"/>
      <c r="L178" s="126"/>
      <c r="M178" s="128"/>
      <c r="N178" s="129"/>
    </row>
    <row r="179" spans="1:15" ht="16.149999999999999" customHeight="1">
      <c r="A179" s="130"/>
      <c r="B179" s="131" t="s">
        <v>3185</v>
      </c>
      <c r="C179" s="118"/>
      <c r="D179" s="33">
        <f>SUMIF('노임(2015)'!$B$4:$B$87,B179,'노임(2015)'!$C$4:$C$87)+SUMIF('노임(2015)'!$E$4:$E$87,B179,'노임(2015)'!$F$4:$F$87)</f>
        <v>130411</v>
      </c>
      <c r="E179" s="110" t="s">
        <v>972</v>
      </c>
      <c r="F179" s="110" t="s">
        <v>973</v>
      </c>
      <c r="G179" s="132" t="s">
        <v>974</v>
      </c>
      <c r="H179" s="111"/>
      <c r="I179" s="110"/>
      <c r="J179" s="110"/>
      <c r="K179" s="133">
        <v>1</v>
      </c>
      <c r="L179" s="118" t="s">
        <v>1582</v>
      </c>
      <c r="M179" s="112">
        <f>TRUNC(D179*(1/8)*(16/12)*(25/20)*K179)</f>
        <v>27168</v>
      </c>
      <c r="N179" s="113" t="s">
        <v>975</v>
      </c>
    </row>
    <row r="180" spans="1:15" ht="16.149999999999999" customHeight="1">
      <c r="A180" s="130"/>
      <c r="B180" s="109"/>
      <c r="C180" s="118"/>
      <c r="D180" s="33"/>
      <c r="E180" s="110"/>
      <c r="F180" s="110"/>
      <c r="G180" s="132"/>
      <c r="H180" s="111"/>
      <c r="I180" s="110"/>
      <c r="J180" s="110"/>
      <c r="K180" s="134"/>
      <c r="L180" s="118"/>
      <c r="M180" s="112"/>
      <c r="N180" s="113"/>
    </row>
    <row r="181" spans="1:15" ht="18.600000000000001" customHeight="1">
      <c r="A181" s="130"/>
      <c r="B181" s="109"/>
      <c r="C181" s="118"/>
      <c r="D181" s="33"/>
      <c r="E181" s="110"/>
      <c r="F181" s="110"/>
      <c r="G181" s="132"/>
      <c r="H181" s="111"/>
      <c r="I181" s="110"/>
      <c r="J181" s="110"/>
      <c r="K181" s="134"/>
      <c r="L181" s="118"/>
      <c r="M181" s="112"/>
      <c r="N181" s="113"/>
      <c r="O181" s="114" t="s">
        <v>3682</v>
      </c>
    </row>
    <row r="182" spans="1:15" ht="16.149999999999999" customHeight="1">
      <c r="A182" s="130"/>
      <c r="B182" s="109"/>
      <c r="C182" s="118"/>
      <c r="D182" s="110"/>
      <c r="E182" s="110"/>
      <c r="F182" s="110"/>
      <c r="G182" s="110"/>
      <c r="H182" s="111"/>
      <c r="I182" s="791"/>
      <c r="J182" s="791"/>
      <c r="K182" s="118" t="s">
        <v>1164</v>
      </c>
      <c r="L182" s="118" t="s">
        <v>1582</v>
      </c>
      <c r="M182" s="112">
        <f>TRUNC(M179+M180+M181)</f>
        <v>27168</v>
      </c>
      <c r="N182" s="113" t="s">
        <v>975</v>
      </c>
      <c r="O182" s="114" t="s">
        <v>1115</v>
      </c>
    </row>
    <row r="183" spans="1:15" ht="18.600000000000001" customHeight="1">
      <c r="A183" s="130"/>
      <c r="B183" s="109"/>
      <c r="C183" s="118"/>
      <c r="D183" s="110"/>
      <c r="E183" s="110"/>
      <c r="F183" s="110"/>
      <c r="G183" s="110"/>
      <c r="H183" s="111"/>
      <c r="I183" s="118"/>
      <c r="J183" s="118"/>
      <c r="K183" s="118"/>
      <c r="L183" s="118"/>
      <c r="M183" s="112"/>
      <c r="N183" s="113"/>
      <c r="O183" s="114" t="s">
        <v>3682</v>
      </c>
    </row>
    <row r="184" spans="1:15" ht="18.600000000000001" customHeight="1">
      <c r="A184" s="135"/>
      <c r="B184" s="136"/>
      <c r="C184" s="137"/>
      <c r="D184" s="138"/>
      <c r="E184" s="138"/>
      <c r="F184" s="138"/>
      <c r="G184" s="138"/>
      <c r="H184" s="139"/>
      <c r="I184" s="137"/>
      <c r="J184" s="137"/>
      <c r="K184" s="137"/>
      <c r="L184" s="137"/>
      <c r="M184" s="140"/>
      <c r="N184" s="141"/>
      <c r="O184" s="114" t="s">
        <v>3682</v>
      </c>
    </row>
    <row r="185" spans="1:15" ht="16.149999999999999" customHeight="1">
      <c r="A185" s="124"/>
      <c r="B185" s="125" t="s">
        <v>1116</v>
      </c>
      <c r="C185" s="142"/>
      <c r="D185" s="126"/>
      <c r="E185" s="126"/>
      <c r="F185" s="126"/>
      <c r="G185" s="126"/>
      <c r="H185" s="127"/>
      <c r="I185" s="126"/>
      <c r="J185" s="126"/>
      <c r="K185" s="126"/>
      <c r="L185" s="126"/>
      <c r="M185" s="128"/>
      <c r="N185" s="129"/>
    </row>
    <row r="186" spans="1:15" ht="16.149999999999999" customHeight="1">
      <c r="A186" s="130"/>
      <c r="B186" s="109" t="s">
        <v>598</v>
      </c>
      <c r="C186" s="118" t="s">
        <v>1526</v>
      </c>
      <c r="D186" s="118">
        <v>5.6</v>
      </c>
      <c r="E186" s="110" t="s">
        <v>456</v>
      </c>
      <c r="F186" s="118" t="s">
        <v>972</v>
      </c>
      <c r="G186" s="110"/>
      <c r="H186" s="123">
        <f>중기기준!$G$35</f>
        <v>1114.9000000000001</v>
      </c>
      <c r="I186" s="110" t="s">
        <v>975</v>
      </c>
      <c r="J186" s="110"/>
      <c r="K186" s="110"/>
      <c r="L186" s="118" t="s">
        <v>1582</v>
      </c>
      <c r="M186" s="112">
        <f>TRUNC(D186*H186,2)</f>
        <v>6243.44</v>
      </c>
      <c r="N186" s="113" t="s">
        <v>975</v>
      </c>
    </row>
    <row r="187" spans="1:15" ht="16.149999999999999" customHeight="1">
      <c r="A187" s="130"/>
      <c r="B187" s="109" t="s">
        <v>1556</v>
      </c>
      <c r="C187" s="118" t="s">
        <v>1526</v>
      </c>
      <c r="D187" s="145">
        <v>0.24</v>
      </c>
      <c r="E187" s="110"/>
      <c r="F187" s="118" t="s">
        <v>972</v>
      </c>
      <c r="G187" s="110"/>
      <c r="H187" s="123">
        <f>M186</f>
        <v>6243.44</v>
      </c>
      <c r="I187" s="110" t="s">
        <v>975</v>
      </c>
      <c r="J187" s="110"/>
      <c r="K187" s="110"/>
      <c r="L187" s="118" t="s">
        <v>1582</v>
      </c>
      <c r="M187" s="112">
        <f>TRUNC(D187*H187,2)</f>
        <v>1498.42</v>
      </c>
      <c r="N187" s="113" t="s">
        <v>975</v>
      </c>
    </row>
    <row r="188" spans="1:15" ht="16.149999999999999" customHeight="1">
      <c r="A188" s="130"/>
      <c r="B188" s="109"/>
      <c r="C188" s="110"/>
      <c r="D188" s="110"/>
      <c r="E188" s="110"/>
      <c r="F188" s="110"/>
      <c r="G188" s="110"/>
      <c r="H188" s="111"/>
      <c r="I188" s="110"/>
      <c r="J188" s="110"/>
      <c r="K188" s="118" t="s">
        <v>1164</v>
      </c>
      <c r="L188" s="118" t="s">
        <v>1582</v>
      </c>
      <c r="M188" s="112">
        <f>TRUNC(SUM(M186:M187))</f>
        <v>7741</v>
      </c>
      <c r="N188" s="113" t="s">
        <v>975</v>
      </c>
    </row>
    <row r="189" spans="1:15" ht="18.600000000000001" customHeight="1">
      <c r="A189" s="135"/>
      <c r="B189" s="136"/>
      <c r="C189" s="138"/>
      <c r="D189" s="138"/>
      <c r="E189" s="138"/>
      <c r="F189" s="138"/>
      <c r="G189" s="138"/>
      <c r="H189" s="139"/>
      <c r="I189" s="138"/>
      <c r="J189" s="138"/>
      <c r="K189" s="137"/>
      <c r="L189" s="137"/>
      <c r="M189" s="140"/>
      <c r="N189" s="141"/>
      <c r="O189" s="114" t="s">
        <v>3682</v>
      </c>
    </row>
    <row r="190" spans="1:15" s="152" customFormat="1" ht="16.149999999999999" customHeight="1">
      <c r="A190" s="146"/>
      <c r="B190" s="147"/>
      <c r="C190" s="148"/>
      <c r="D190" s="148"/>
      <c r="E190" s="148"/>
      <c r="F190" s="148"/>
      <c r="G190" s="148"/>
      <c r="H190" s="149"/>
      <c r="I190" s="148"/>
      <c r="J190" s="148"/>
      <c r="K190" s="148" t="s">
        <v>1118</v>
      </c>
      <c r="L190" s="148" t="s">
        <v>1582</v>
      </c>
      <c r="M190" s="150">
        <f>TRUNC(M176+M182+M188,0)</f>
        <v>47856</v>
      </c>
      <c r="N190" s="151"/>
    </row>
    <row r="191" spans="1:15" s="152" customFormat="1" ht="16.149999999999999" customHeight="1">
      <c r="A191" s="548"/>
      <c r="B191" s="549"/>
      <c r="C191" s="548"/>
      <c r="D191" s="548"/>
      <c r="E191" s="548"/>
      <c r="F191" s="548"/>
      <c r="G191" s="548"/>
      <c r="H191" s="550"/>
      <c r="I191" s="548"/>
      <c r="J191" s="548"/>
      <c r="K191" s="548"/>
      <c r="L191" s="548"/>
      <c r="M191" s="551"/>
      <c r="N191" s="552"/>
      <c r="O191" s="114"/>
    </row>
    <row r="192" spans="1:15" s="107" customFormat="1" ht="16.149999999999999" customHeight="1">
      <c r="A192" s="451">
        <f>A173+1</f>
        <v>11</v>
      </c>
      <c r="B192" s="99" t="s">
        <v>1100</v>
      </c>
      <c r="C192" s="100" t="s">
        <v>1526</v>
      </c>
      <c r="D192" s="101" t="s">
        <v>3233</v>
      </c>
      <c r="E192" s="102"/>
      <c r="F192" s="102"/>
      <c r="G192" s="102"/>
      <c r="H192" s="157" t="s">
        <v>1527</v>
      </c>
      <c r="I192" s="100" t="s">
        <v>1526</v>
      </c>
      <c r="J192" s="102" t="s">
        <v>2283</v>
      </c>
      <c r="K192" s="104" t="s">
        <v>847</v>
      </c>
      <c r="L192" s="100" t="s">
        <v>1526</v>
      </c>
      <c r="M192" s="105" t="s">
        <v>3670</v>
      </c>
      <c r="N192" s="106"/>
    </row>
    <row r="193" spans="1:15" ht="16.149999999999999" customHeight="1">
      <c r="A193" s="108"/>
      <c r="B193" s="109" t="s">
        <v>588</v>
      </c>
      <c r="C193" s="110" t="s">
        <v>1582</v>
      </c>
      <c r="D193" s="110" t="s">
        <v>589</v>
      </c>
      <c r="E193" s="110" t="s">
        <v>86</v>
      </c>
      <c r="F193" s="110" t="s">
        <v>590</v>
      </c>
      <c r="G193" s="110" t="s">
        <v>86</v>
      </c>
      <c r="H193" s="111" t="s">
        <v>2973</v>
      </c>
      <c r="I193" s="110"/>
      <c r="J193" s="110"/>
      <c r="K193" s="110"/>
      <c r="L193" s="110"/>
      <c r="M193" s="112"/>
      <c r="N193" s="113"/>
    </row>
    <row r="194" spans="1:15" ht="16.149999999999999" customHeight="1">
      <c r="A194" s="108"/>
      <c r="B194" s="109"/>
      <c r="C194" s="110"/>
      <c r="D194" s="110"/>
      <c r="E194" s="110"/>
      <c r="F194" s="110"/>
      <c r="G194" s="110"/>
      <c r="H194" s="111"/>
      <c r="I194" s="110"/>
      <c r="J194" s="110"/>
      <c r="K194" s="110"/>
      <c r="L194" s="110"/>
      <c r="M194" s="112"/>
      <c r="N194" s="113"/>
    </row>
    <row r="195" spans="1:15" ht="16.149999999999999" customHeight="1">
      <c r="A195" s="115"/>
      <c r="F195" s="117"/>
      <c r="G195" s="118"/>
      <c r="H195" s="119">
        <f>기계경비산출표!$E$27*1000</f>
        <v>97708000</v>
      </c>
      <c r="I195" s="110" t="s">
        <v>972</v>
      </c>
      <c r="J195" s="120">
        <v>2213</v>
      </c>
      <c r="K195" s="118" t="s">
        <v>2974</v>
      </c>
      <c r="L195" s="121" t="s">
        <v>1582</v>
      </c>
      <c r="M195" s="112">
        <f>TRUNC(H195*J195*(10^-7))</f>
        <v>21622</v>
      </c>
      <c r="N195" s="113" t="s">
        <v>975</v>
      </c>
    </row>
    <row r="196" spans="1:15" ht="16.149999999999999" customHeight="1">
      <c r="A196" s="115"/>
      <c r="B196" s="122"/>
      <c r="C196" s="118"/>
      <c r="D196" s="33"/>
      <c r="E196" s="110"/>
      <c r="F196" s="118"/>
      <c r="G196" s="118"/>
      <c r="H196" s="123"/>
      <c r="I196" s="118"/>
      <c r="J196" s="110"/>
      <c r="K196" s="110"/>
      <c r="L196" s="110"/>
      <c r="M196" s="112"/>
      <c r="N196" s="113"/>
    </row>
    <row r="197" spans="1:15" ht="16.149999999999999" customHeight="1">
      <c r="A197" s="124"/>
      <c r="B197" s="125" t="s">
        <v>1115</v>
      </c>
      <c r="C197" s="126"/>
      <c r="D197" s="126"/>
      <c r="E197" s="126"/>
      <c r="F197" s="126"/>
      <c r="G197" s="126"/>
      <c r="H197" s="127"/>
      <c r="I197" s="126"/>
      <c r="J197" s="126"/>
      <c r="K197" s="126"/>
      <c r="L197" s="126"/>
      <c r="M197" s="128"/>
      <c r="N197" s="129"/>
    </row>
    <row r="198" spans="1:15" ht="16.149999999999999" customHeight="1">
      <c r="A198" s="130"/>
      <c r="B198" s="131" t="s">
        <v>3185</v>
      </c>
      <c r="C198" s="118"/>
      <c r="D198" s="33">
        <f>SUMIF('노임(2015)'!$B$4:$B$87,B198,'노임(2015)'!$C$4:$C$87)+SUMIF('노임(2015)'!$E$4:$E$87,B198,'노임(2015)'!$F$4:$F$87)</f>
        <v>130411</v>
      </c>
      <c r="E198" s="110" t="s">
        <v>972</v>
      </c>
      <c r="F198" s="110" t="s">
        <v>973</v>
      </c>
      <c r="G198" s="132" t="s">
        <v>974</v>
      </c>
      <c r="H198" s="111"/>
      <c r="I198" s="110"/>
      <c r="J198" s="110"/>
      <c r="K198" s="133">
        <v>1</v>
      </c>
      <c r="L198" s="118" t="s">
        <v>1582</v>
      </c>
      <c r="M198" s="112">
        <f>TRUNC(D198*(1/8)*(16/12)*(25/20)*K198)</f>
        <v>27168</v>
      </c>
      <c r="N198" s="113" t="s">
        <v>975</v>
      </c>
    </row>
    <row r="199" spans="1:15" ht="16.149999999999999" customHeight="1">
      <c r="A199" s="130"/>
      <c r="B199" s="109"/>
      <c r="C199" s="118"/>
      <c r="D199" s="33"/>
      <c r="E199" s="110"/>
      <c r="F199" s="110"/>
      <c r="G199" s="132"/>
      <c r="H199" s="111"/>
      <c r="I199" s="110"/>
      <c r="J199" s="110"/>
      <c r="K199" s="134"/>
      <c r="L199" s="118"/>
      <c r="M199" s="112"/>
      <c r="N199" s="113"/>
    </row>
    <row r="200" spans="1:15" ht="18.600000000000001" customHeight="1">
      <c r="A200" s="130"/>
      <c r="B200" s="109"/>
      <c r="C200" s="118"/>
      <c r="D200" s="33"/>
      <c r="E200" s="110"/>
      <c r="F200" s="110"/>
      <c r="G200" s="132"/>
      <c r="H200" s="111"/>
      <c r="I200" s="110"/>
      <c r="J200" s="110"/>
      <c r="K200" s="134"/>
      <c r="L200" s="118"/>
      <c r="M200" s="112"/>
      <c r="N200" s="113"/>
      <c r="O200" s="114" t="s">
        <v>3682</v>
      </c>
    </row>
    <row r="201" spans="1:15" ht="16.149999999999999" customHeight="1">
      <c r="A201" s="130"/>
      <c r="B201" s="109"/>
      <c r="C201" s="118"/>
      <c r="D201" s="110"/>
      <c r="E201" s="110"/>
      <c r="F201" s="110"/>
      <c r="G201" s="110"/>
      <c r="H201" s="111"/>
      <c r="I201" s="791"/>
      <c r="J201" s="791"/>
      <c r="K201" s="118" t="s">
        <v>1164</v>
      </c>
      <c r="L201" s="118" t="s">
        <v>1582</v>
      </c>
      <c r="M201" s="112">
        <f>TRUNC(M198+M199+M200)</f>
        <v>27168</v>
      </c>
      <c r="N201" s="113" t="s">
        <v>975</v>
      </c>
      <c r="O201" s="114" t="s">
        <v>1115</v>
      </c>
    </row>
    <row r="202" spans="1:15" ht="18.600000000000001" customHeight="1">
      <c r="A202" s="130"/>
      <c r="B202" s="109"/>
      <c r="C202" s="118"/>
      <c r="D202" s="110"/>
      <c r="E202" s="110"/>
      <c r="F202" s="110"/>
      <c r="G202" s="110"/>
      <c r="H202" s="111"/>
      <c r="I202" s="118"/>
      <c r="J202" s="118"/>
      <c r="K202" s="118"/>
      <c r="L202" s="118"/>
      <c r="M202" s="112"/>
      <c r="N202" s="113"/>
      <c r="O202" s="114" t="s">
        <v>3682</v>
      </c>
    </row>
    <row r="203" spans="1:15" ht="18.600000000000001" customHeight="1">
      <c r="A203" s="135"/>
      <c r="B203" s="136"/>
      <c r="C203" s="137"/>
      <c r="D203" s="138"/>
      <c r="E203" s="138"/>
      <c r="F203" s="138"/>
      <c r="G203" s="138"/>
      <c r="H203" s="139"/>
      <c r="I203" s="137"/>
      <c r="J203" s="137"/>
      <c r="K203" s="137"/>
      <c r="L203" s="137"/>
      <c r="M203" s="140"/>
      <c r="N203" s="141"/>
      <c r="O203" s="114" t="s">
        <v>3682</v>
      </c>
    </row>
    <row r="204" spans="1:15" ht="16.149999999999999" customHeight="1">
      <c r="A204" s="124"/>
      <c r="B204" s="125" t="s">
        <v>1116</v>
      </c>
      <c r="C204" s="142"/>
      <c r="D204" s="126"/>
      <c r="E204" s="126"/>
      <c r="F204" s="126"/>
      <c r="G204" s="126"/>
      <c r="H204" s="127"/>
      <c r="I204" s="126"/>
      <c r="J204" s="126"/>
      <c r="K204" s="126"/>
      <c r="L204" s="126"/>
      <c r="M204" s="128"/>
      <c r="N204" s="129"/>
    </row>
    <row r="205" spans="1:15" ht="16.149999999999999" customHeight="1">
      <c r="A205" s="130"/>
      <c r="B205" s="109" t="s">
        <v>598</v>
      </c>
      <c r="C205" s="118" t="s">
        <v>1526</v>
      </c>
      <c r="D205" s="118">
        <v>11.6</v>
      </c>
      <c r="E205" s="110" t="s">
        <v>456</v>
      </c>
      <c r="F205" s="118" t="s">
        <v>972</v>
      </c>
      <c r="G205" s="110"/>
      <c r="H205" s="123">
        <f>중기기준!$G$35</f>
        <v>1114.9000000000001</v>
      </c>
      <c r="I205" s="110" t="s">
        <v>975</v>
      </c>
      <c r="J205" s="110"/>
      <c r="K205" s="110"/>
      <c r="L205" s="118" t="s">
        <v>1582</v>
      </c>
      <c r="M205" s="112">
        <f>TRUNC(D205*H205,2)</f>
        <v>12932.84</v>
      </c>
      <c r="N205" s="113" t="s">
        <v>975</v>
      </c>
    </row>
    <row r="206" spans="1:15" ht="16.149999999999999" customHeight="1">
      <c r="A206" s="130"/>
      <c r="B206" s="109" t="s">
        <v>1556</v>
      </c>
      <c r="C206" s="118" t="s">
        <v>1526</v>
      </c>
      <c r="D206" s="145">
        <v>0.24</v>
      </c>
      <c r="E206" s="110"/>
      <c r="F206" s="118" t="s">
        <v>972</v>
      </c>
      <c r="G206" s="110"/>
      <c r="H206" s="123">
        <f>M205</f>
        <v>12932.84</v>
      </c>
      <c r="I206" s="110" t="s">
        <v>975</v>
      </c>
      <c r="J206" s="110"/>
      <c r="K206" s="110"/>
      <c r="L206" s="118" t="s">
        <v>1582</v>
      </c>
      <c r="M206" s="112">
        <f>TRUNC(D206*H206,2)</f>
        <v>3103.88</v>
      </c>
      <c r="N206" s="113" t="s">
        <v>975</v>
      </c>
    </row>
    <row r="207" spans="1:15" ht="16.149999999999999" customHeight="1">
      <c r="A207" s="130"/>
      <c r="B207" s="109"/>
      <c r="C207" s="110"/>
      <c r="D207" s="110"/>
      <c r="E207" s="110"/>
      <c r="F207" s="110"/>
      <c r="G207" s="110"/>
      <c r="H207" s="111"/>
      <c r="I207" s="110"/>
      <c r="J207" s="110"/>
      <c r="K207" s="118" t="s">
        <v>1164</v>
      </c>
      <c r="L207" s="118" t="s">
        <v>1582</v>
      </c>
      <c r="M207" s="112">
        <f>TRUNC(SUM(M205:M206))</f>
        <v>16036</v>
      </c>
      <c r="N207" s="113" t="s">
        <v>975</v>
      </c>
    </row>
    <row r="208" spans="1:15" ht="18.600000000000001" customHeight="1">
      <c r="A208" s="135"/>
      <c r="B208" s="136"/>
      <c r="C208" s="138"/>
      <c r="D208" s="138"/>
      <c r="E208" s="138"/>
      <c r="F208" s="138"/>
      <c r="G208" s="138"/>
      <c r="H208" s="139"/>
      <c r="I208" s="138"/>
      <c r="J208" s="138"/>
      <c r="K208" s="137"/>
      <c r="L208" s="137"/>
      <c r="M208" s="140"/>
      <c r="N208" s="141"/>
      <c r="O208" s="114" t="s">
        <v>3682</v>
      </c>
    </row>
    <row r="209" spans="1:15" s="152" customFormat="1" ht="16.149999999999999" customHeight="1">
      <c r="A209" s="146"/>
      <c r="B209" s="147"/>
      <c r="C209" s="148"/>
      <c r="D209" s="148"/>
      <c r="E209" s="148"/>
      <c r="F209" s="148"/>
      <c r="G209" s="148"/>
      <c r="H209" s="149"/>
      <c r="I209" s="148"/>
      <c r="J209" s="148"/>
      <c r="K209" s="148" t="s">
        <v>1118</v>
      </c>
      <c r="L209" s="148" t="s">
        <v>1582</v>
      </c>
      <c r="M209" s="150">
        <f>TRUNC(M195+M201+M207,0)</f>
        <v>64826</v>
      </c>
      <c r="N209" s="151"/>
    </row>
    <row r="210" spans="1:15" ht="16.149999999999999" customHeight="1">
      <c r="A210" s="546"/>
      <c r="B210" s="109"/>
      <c r="C210" s="546"/>
      <c r="D210" s="546"/>
      <c r="E210" s="546"/>
      <c r="F210" s="546"/>
      <c r="G210" s="546"/>
      <c r="H210" s="547"/>
      <c r="I210" s="546"/>
      <c r="J210" s="546"/>
      <c r="K210" s="546"/>
      <c r="L210" s="546"/>
      <c r="M210" s="112"/>
      <c r="N210" s="118"/>
    </row>
    <row r="211" spans="1:15" s="107" customFormat="1" ht="16.149999999999999" customHeight="1">
      <c r="A211" s="451">
        <f>A192+1</f>
        <v>12</v>
      </c>
      <c r="B211" s="99" t="s">
        <v>1100</v>
      </c>
      <c r="C211" s="100" t="s">
        <v>1526</v>
      </c>
      <c r="D211" s="101" t="s">
        <v>3233</v>
      </c>
      <c r="E211" s="102"/>
      <c r="F211" s="102"/>
      <c r="G211" s="102"/>
      <c r="H211" s="157" t="s">
        <v>1527</v>
      </c>
      <c r="I211" s="100" t="s">
        <v>1526</v>
      </c>
      <c r="J211" s="102" t="s">
        <v>3671</v>
      </c>
      <c r="K211" s="104" t="s">
        <v>847</v>
      </c>
      <c r="L211" s="100" t="s">
        <v>1526</v>
      </c>
      <c r="M211" s="105" t="s">
        <v>3672</v>
      </c>
      <c r="N211" s="106"/>
    </row>
    <row r="212" spans="1:15" ht="16.149999999999999" customHeight="1">
      <c r="A212" s="108"/>
      <c r="B212" s="109" t="s">
        <v>588</v>
      </c>
      <c r="C212" s="110" t="s">
        <v>1582</v>
      </c>
      <c r="D212" s="110" t="s">
        <v>589</v>
      </c>
      <c r="E212" s="110" t="s">
        <v>86</v>
      </c>
      <c r="F212" s="110" t="s">
        <v>590</v>
      </c>
      <c r="G212" s="110" t="s">
        <v>86</v>
      </c>
      <c r="H212" s="111" t="s">
        <v>2973</v>
      </c>
      <c r="I212" s="110"/>
      <c r="J212" s="110"/>
      <c r="K212" s="110"/>
      <c r="L212" s="110"/>
      <c r="M212" s="112"/>
      <c r="N212" s="113"/>
    </row>
    <row r="213" spans="1:15" ht="16.149999999999999" customHeight="1">
      <c r="A213" s="108"/>
      <c r="B213" s="109"/>
      <c r="C213" s="110"/>
      <c r="D213" s="110"/>
      <c r="E213" s="110"/>
      <c r="F213" s="110"/>
      <c r="G213" s="110"/>
      <c r="H213" s="111"/>
      <c r="I213" s="110"/>
      <c r="J213" s="110"/>
      <c r="K213" s="110"/>
      <c r="L213" s="110"/>
      <c r="M213" s="112"/>
      <c r="N213" s="113"/>
    </row>
    <row r="214" spans="1:15" ht="16.149999999999999" customHeight="1">
      <c r="A214" s="115"/>
      <c r="F214" s="117"/>
      <c r="G214" s="118"/>
      <c r="H214" s="119">
        <f>기계경비산출표!$E$28*1000</f>
        <v>115371000</v>
      </c>
      <c r="I214" s="110" t="s">
        <v>972</v>
      </c>
      <c r="J214" s="120">
        <v>2213</v>
      </c>
      <c r="K214" s="118" t="s">
        <v>2974</v>
      </c>
      <c r="L214" s="121" t="s">
        <v>1582</v>
      </c>
      <c r="M214" s="112">
        <f>TRUNC(H214*J214*(10^-7))</f>
        <v>25531</v>
      </c>
      <c r="N214" s="113" t="s">
        <v>975</v>
      </c>
    </row>
    <row r="215" spans="1:15" ht="16.149999999999999" customHeight="1">
      <c r="A215" s="115"/>
      <c r="B215" s="122"/>
      <c r="C215" s="118"/>
      <c r="D215" s="33"/>
      <c r="E215" s="110"/>
      <c r="F215" s="118"/>
      <c r="G215" s="118"/>
      <c r="H215" s="123"/>
      <c r="I215" s="118"/>
      <c r="J215" s="110"/>
      <c r="K215" s="110"/>
      <c r="L215" s="110"/>
      <c r="M215" s="112"/>
      <c r="N215" s="113"/>
    </row>
    <row r="216" spans="1:15" ht="16.149999999999999" customHeight="1">
      <c r="A216" s="124"/>
      <c r="B216" s="125" t="s">
        <v>1115</v>
      </c>
      <c r="C216" s="126"/>
      <c r="D216" s="126"/>
      <c r="E216" s="126"/>
      <c r="F216" s="126"/>
      <c r="G216" s="126"/>
      <c r="H216" s="127"/>
      <c r="I216" s="126"/>
      <c r="J216" s="126"/>
      <c r="K216" s="126"/>
      <c r="L216" s="126"/>
      <c r="M216" s="128"/>
      <c r="N216" s="129"/>
    </row>
    <row r="217" spans="1:15" ht="16.149999999999999" customHeight="1">
      <c r="A217" s="130"/>
      <c r="B217" s="131" t="s">
        <v>3185</v>
      </c>
      <c r="C217" s="118"/>
      <c r="D217" s="33">
        <f>SUMIF('노임(2015)'!$B$4:$B$87,B217,'노임(2015)'!$C$4:$C$87)+SUMIF('노임(2015)'!$E$4:$E$87,B217,'노임(2015)'!$F$4:$F$87)</f>
        <v>130411</v>
      </c>
      <c r="E217" s="110" t="s">
        <v>972</v>
      </c>
      <c r="F217" s="110" t="s">
        <v>973</v>
      </c>
      <c r="G217" s="132" t="s">
        <v>974</v>
      </c>
      <c r="H217" s="111"/>
      <c r="I217" s="110"/>
      <c r="J217" s="110"/>
      <c r="K217" s="133">
        <v>1</v>
      </c>
      <c r="L217" s="118" t="s">
        <v>1582</v>
      </c>
      <c r="M217" s="112">
        <f>TRUNC(D217*(1/8)*(16/12)*(25/20)*K217)</f>
        <v>27168</v>
      </c>
      <c r="N217" s="113" t="s">
        <v>975</v>
      </c>
    </row>
    <row r="218" spans="1:15" ht="16.149999999999999" customHeight="1">
      <c r="A218" s="130"/>
      <c r="B218" s="109"/>
      <c r="C218" s="118"/>
      <c r="D218" s="33"/>
      <c r="E218" s="110"/>
      <c r="F218" s="110"/>
      <c r="G218" s="132"/>
      <c r="H218" s="111"/>
      <c r="I218" s="110"/>
      <c r="J218" s="110"/>
      <c r="K218" s="134"/>
      <c r="L218" s="118"/>
      <c r="M218" s="112"/>
      <c r="N218" s="113"/>
    </row>
    <row r="219" spans="1:15" ht="18.600000000000001" customHeight="1">
      <c r="A219" s="130"/>
      <c r="B219" s="109"/>
      <c r="C219" s="118"/>
      <c r="D219" s="33"/>
      <c r="E219" s="110"/>
      <c r="F219" s="110"/>
      <c r="G219" s="132"/>
      <c r="H219" s="111"/>
      <c r="I219" s="110"/>
      <c r="J219" s="110"/>
      <c r="K219" s="134"/>
      <c r="L219" s="118"/>
      <c r="M219" s="112"/>
      <c r="N219" s="113"/>
      <c r="O219" s="114" t="s">
        <v>3682</v>
      </c>
    </row>
    <row r="220" spans="1:15" ht="16.149999999999999" customHeight="1">
      <c r="A220" s="130"/>
      <c r="B220" s="109"/>
      <c r="C220" s="118"/>
      <c r="D220" s="110"/>
      <c r="E220" s="110"/>
      <c r="F220" s="110"/>
      <c r="G220" s="110"/>
      <c r="H220" s="111"/>
      <c r="I220" s="791"/>
      <c r="J220" s="791"/>
      <c r="K220" s="118" t="s">
        <v>1164</v>
      </c>
      <c r="L220" s="118" t="s">
        <v>1582</v>
      </c>
      <c r="M220" s="112">
        <f>TRUNC(M217+M218+M219)</f>
        <v>27168</v>
      </c>
      <c r="N220" s="113" t="s">
        <v>975</v>
      </c>
      <c r="O220" s="114" t="s">
        <v>1115</v>
      </c>
    </row>
    <row r="221" spans="1:15" ht="18.600000000000001" customHeight="1">
      <c r="A221" s="130"/>
      <c r="B221" s="109"/>
      <c r="C221" s="118"/>
      <c r="D221" s="110"/>
      <c r="E221" s="110"/>
      <c r="F221" s="110"/>
      <c r="G221" s="110"/>
      <c r="H221" s="111"/>
      <c r="I221" s="118"/>
      <c r="J221" s="118"/>
      <c r="K221" s="118"/>
      <c r="L221" s="118"/>
      <c r="M221" s="112"/>
      <c r="N221" s="113"/>
      <c r="O221" s="114" t="s">
        <v>3682</v>
      </c>
    </row>
    <row r="222" spans="1:15" ht="18.600000000000001" customHeight="1">
      <c r="A222" s="135"/>
      <c r="B222" s="136"/>
      <c r="C222" s="137"/>
      <c r="D222" s="138"/>
      <c r="E222" s="138"/>
      <c r="F222" s="138"/>
      <c r="G222" s="138"/>
      <c r="H222" s="139"/>
      <c r="I222" s="137"/>
      <c r="J222" s="137"/>
      <c r="K222" s="137"/>
      <c r="L222" s="137"/>
      <c r="M222" s="140"/>
      <c r="N222" s="141"/>
      <c r="O222" s="114" t="s">
        <v>3682</v>
      </c>
    </row>
    <row r="223" spans="1:15" ht="16.149999999999999" customHeight="1">
      <c r="A223" s="124"/>
      <c r="B223" s="125" t="s">
        <v>1116</v>
      </c>
      <c r="C223" s="142"/>
      <c r="D223" s="126"/>
      <c r="E223" s="126"/>
      <c r="F223" s="126"/>
      <c r="G223" s="126"/>
      <c r="H223" s="127"/>
      <c r="I223" s="126"/>
      <c r="J223" s="126"/>
      <c r="K223" s="126"/>
      <c r="L223" s="126"/>
      <c r="M223" s="128"/>
      <c r="N223" s="129"/>
    </row>
    <row r="224" spans="1:15" ht="16.149999999999999" customHeight="1">
      <c r="A224" s="130"/>
      <c r="B224" s="109" t="s">
        <v>598</v>
      </c>
      <c r="C224" s="118" t="s">
        <v>1526</v>
      </c>
      <c r="D224" s="118">
        <v>16.3</v>
      </c>
      <c r="E224" s="110" t="s">
        <v>456</v>
      </c>
      <c r="F224" s="118" t="s">
        <v>972</v>
      </c>
      <c r="G224" s="110"/>
      <c r="H224" s="123">
        <f>중기기준!$G$35</f>
        <v>1114.9000000000001</v>
      </c>
      <c r="I224" s="110" t="s">
        <v>975</v>
      </c>
      <c r="J224" s="110"/>
      <c r="K224" s="110"/>
      <c r="L224" s="118" t="s">
        <v>1582</v>
      </c>
      <c r="M224" s="112">
        <f>TRUNC(D224*H224,2)</f>
        <v>18172.87</v>
      </c>
      <c r="N224" s="113" t="s">
        <v>975</v>
      </c>
    </row>
    <row r="225" spans="1:15" ht="16.149999999999999" customHeight="1">
      <c r="A225" s="130"/>
      <c r="B225" s="109" t="s">
        <v>1556</v>
      </c>
      <c r="C225" s="118" t="s">
        <v>1526</v>
      </c>
      <c r="D225" s="145">
        <v>0.24</v>
      </c>
      <c r="E225" s="110"/>
      <c r="F225" s="118" t="s">
        <v>972</v>
      </c>
      <c r="G225" s="110"/>
      <c r="H225" s="123">
        <f>M224</f>
        <v>18172.87</v>
      </c>
      <c r="I225" s="110" t="s">
        <v>975</v>
      </c>
      <c r="J225" s="110"/>
      <c r="K225" s="110"/>
      <c r="L225" s="118" t="s">
        <v>1582</v>
      </c>
      <c r="M225" s="112">
        <f>TRUNC(D225*H225,2)</f>
        <v>4361.4799999999996</v>
      </c>
      <c r="N225" s="113" t="s">
        <v>975</v>
      </c>
    </row>
    <row r="226" spans="1:15" ht="16.149999999999999" customHeight="1">
      <c r="A226" s="130"/>
      <c r="B226" s="109"/>
      <c r="C226" s="110"/>
      <c r="D226" s="110"/>
      <c r="E226" s="110"/>
      <c r="F226" s="110"/>
      <c r="G226" s="110"/>
      <c r="H226" s="111"/>
      <c r="I226" s="110"/>
      <c r="J226" s="110"/>
      <c r="K226" s="118" t="s">
        <v>1164</v>
      </c>
      <c r="L226" s="118" t="s">
        <v>1582</v>
      </c>
      <c r="M226" s="112">
        <f>TRUNC(SUM(M224:M225))</f>
        <v>22534</v>
      </c>
      <c r="N226" s="113" t="s">
        <v>975</v>
      </c>
    </row>
    <row r="227" spans="1:15" ht="18.600000000000001" customHeight="1">
      <c r="A227" s="135"/>
      <c r="B227" s="136"/>
      <c r="C227" s="138"/>
      <c r="D227" s="138"/>
      <c r="E227" s="138"/>
      <c r="F227" s="138"/>
      <c r="G227" s="138"/>
      <c r="H227" s="139"/>
      <c r="I227" s="138"/>
      <c r="J227" s="138"/>
      <c r="K227" s="137"/>
      <c r="L227" s="137"/>
      <c r="M227" s="140"/>
      <c r="N227" s="141"/>
      <c r="O227" s="114" t="s">
        <v>3682</v>
      </c>
    </row>
    <row r="228" spans="1:15" s="152" customFormat="1" ht="16.149999999999999" customHeight="1">
      <c r="A228" s="146"/>
      <c r="B228" s="147"/>
      <c r="C228" s="148"/>
      <c r="D228" s="148"/>
      <c r="E228" s="148"/>
      <c r="F228" s="148"/>
      <c r="G228" s="148"/>
      <c r="H228" s="149"/>
      <c r="I228" s="148"/>
      <c r="J228" s="148"/>
      <c r="K228" s="148" t="s">
        <v>1118</v>
      </c>
      <c r="L228" s="148" t="s">
        <v>1582</v>
      </c>
      <c r="M228" s="150">
        <f>TRUNC(M214+M220+M226,0)</f>
        <v>75233</v>
      </c>
      <c r="N228" s="151"/>
    </row>
    <row r="229" spans="1:15" s="152" customFormat="1" ht="16.149999999999999" customHeight="1">
      <c r="A229" s="548"/>
      <c r="B229" s="549"/>
      <c r="C229" s="548"/>
      <c r="D229" s="548"/>
      <c r="E229" s="548"/>
      <c r="F229" s="548"/>
      <c r="G229" s="548"/>
      <c r="H229" s="550"/>
      <c r="I229" s="548"/>
      <c r="J229" s="548"/>
      <c r="K229" s="548"/>
      <c r="L229" s="548"/>
      <c r="M229" s="551"/>
      <c r="N229" s="552"/>
      <c r="O229" s="114"/>
    </row>
    <row r="230" spans="1:15" s="107" customFormat="1" ht="16.149999999999999" customHeight="1">
      <c r="A230" s="451">
        <f>A211+1</f>
        <v>13</v>
      </c>
      <c r="B230" s="99" t="s">
        <v>1100</v>
      </c>
      <c r="C230" s="100" t="s">
        <v>1526</v>
      </c>
      <c r="D230" s="101" t="s">
        <v>3233</v>
      </c>
      <c r="E230" s="102"/>
      <c r="F230" s="102"/>
      <c r="G230" s="102"/>
      <c r="H230" s="157" t="s">
        <v>1527</v>
      </c>
      <c r="I230" s="100" t="s">
        <v>1526</v>
      </c>
      <c r="J230" s="102" t="s">
        <v>601</v>
      </c>
      <c r="K230" s="104" t="s">
        <v>847</v>
      </c>
      <c r="L230" s="100" t="s">
        <v>1526</v>
      </c>
      <c r="M230" s="105" t="s">
        <v>3673</v>
      </c>
      <c r="N230" s="106"/>
    </row>
    <row r="231" spans="1:15" ht="16.149999999999999" customHeight="1">
      <c r="A231" s="108"/>
      <c r="B231" s="109" t="s">
        <v>588</v>
      </c>
      <c r="C231" s="110" t="s">
        <v>1582</v>
      </c>
      <c r="D231" s="110" t="s">
        <v>589</v>
      </c>
      <c r="E231" s="110" t="s">
        <v>86</v>
      </c>
      <c r="F231" s="110" t="s">
        <v>590</v>
      </c>
      <c r="G231" s="110" t="s">
        <v>86</v>
      </c>
      <c r="H231" s="111" t="s">
        <v>2973</v>
      </c>
      <c r="I231" s="110"/>
      <c r="J231" s="110"/>
      <c r="K231" s="110"/>
      <c r="L231" s="110"/>
      <c r="M231" s="112"/>
      <c r="N231" s="113"/>
    </row>
    <row r="232" spans="1:15" ht="16.149999999999999" customHeight="1">
      <c r="A232" s="108"/>
      <c r="B232" s="109"/>
      <c r="C232" s="110"/>
      <c r="D232" s="110"/>
      <c r="E232" s="110"/>
      <c r="F232" s="110"/>
      <c r="G232" s="110"/>
      <c r="H232" s="111"/>
      <c r="I232" s="110"/>
      <c r="J232" s="110"/>
      <c r="K232" s="110"/>
      <c r="L232" s="110"/>
      <c r="M232" s="112"/>
      <c r="N232" s="113"/>
    </row>
    <row r="233" spans="1:15" ht="16.149999999999999" customHeight="1">
      <c r="A233" s="115"/>
      <c r="F233" s="117"/>
      <c r="G233" s="118"/>
      <c r="H233" s="119">
        <f>기계경비산출표!$E$29*1000</f>
        <v>121717000</v>
      </c>
      <c r="I233" s="110" t="s">
        <v>972</v>
      </c>
      <c r="J233" s="120">
        <v>2213</v>
      </c>
      <c r="K233" s="118" t="s">
        <v>2974</v>
      </c>
      <c r="L233" s="121" t="s">
        <v>1582</v>
      </c>
      <c r="M233" s="112">
        <f>TRUNC(H233*J233*(10^-7))</f>
        <v>26935</v>
      </c>
      <c r="N233" s="113" t="s">
        <v>975</v>
      </c>
    </row>
    <row r="234" spans="1:15" ht="16.149999999999999" customHeight="1">
      <c r="A234" s="115"/>
      <c r="B234" s="122"/>
      <c r="C234" s="118"/>
      <c r="D234" s="33"/>
      <c r="E234" s="110"/>
      <c r="F234" s="118"/>
      <c r="G234" s="118"/>
      <c r="H234" s="123"/>
      <c r="I234" s="118"/>
      <c r="J234" s="110"/>
      <c r="K234" s="110"/>
      <c r="L234" s="110"/>
      <c r="M234" s="112"/>
      <c r="N234" s="113"/>
    </row>
    <row r="235" spans="1:15" ht="16.149999999999999" customHeight="1">
      <c r="A235" s="124"/>
      <c r="B235" s="125" t="s">
        <v>1115</v>
      </c>
      <c r="C235" s="126"/>
      <c r="D235" s="126"/>
      <c r="E235" s="126"/>
      <c r="F235" s="126"/>
      <c r="G235" s="126"/>
      <c r="H235" s="127"/>
      <c r="I235" s="126"/>
      <c r="J235" s="126"/>
      <c r="K235" s="126"/>
      <c r="L235" s="126"/>
      <c r="M235" s="128"/>
      <c r="N235" s="129"/>
    </row>
    <row r="236" spans="1:15" ht="16.149999999999999" customHeight="1">
      <c r="A236" s="130"/>
      <c r="B236" s="131" t="s">
        <v>3185</v>
      </c>
      <c r="C236" s="118"/>
      <c r="D236" s="33">
        <f>SUMIF('노임(2015)'!$B$4:$B$87,B236,'노임(2015)'!$C$4:$C$87)+SUMIF('노임(2015)'!$E$4:$E$87,B236,'노임(2015)'!$F$4:$F$87)</f>
        <v>130411</v>
      </c>
      <c r="E236" s="110" t="s">
        <v>972</v>
      </c>
      <c r="F236" s="110" t="s">
        <v>973</v>
      </c>
      <c r="G236" s="132" t="s">
        <v>974</v>
      </c>
      <c r="H236" s="111"/>
      <c r="I236" s="110"/>
      <c r="J236" s="110"/>
      <c r="K236" s="133">
        <v>1</v>
      </c>
      <c r="L236" s="118" t="s">
        <v>1582</v>
      </c>
      <c r="M236" s="112">
        <f>TRUNC(D236*(1/8)*(16/12)*(25/20)*K236)</f>
        <v>27168</v>
      </c>
      <c r="N236" s="113" t="s">
        <v>975</v>
      </c>
    </row>
    <row r="237" spans="1:15" ht="16.149999999999999" customHeight="1">
      <c r="A237" s="130"/>
      <c r="B237" s="109"/>
      <c r="C237" s="118"/>
      <c r="D237" s="33"/>
      <c r="E237" s="110"/>
      <c r="F237" s="110"/>
      <c r="G237" s="132"/>
      <c r="H237" s="111"/>
      <c r="I237" s="110"/>
      <c r="J237" s="110"/>
      <c r="K237" s="134"/>
      <c r="L237" s="118"/>
      <c r="M237" s="112"/>
      <c r="N237" s="113"/>
    </row>
    <row r="238" spans="1:15" ht="18.600000000000001" customHeight="1">
      <c r="A238" s="130"/>
      <c r="B238" s="109"/>
      <c r="C238" s="118"/>
      <c r="D238" s="33"/>
      <c r="E238" s="110"/>
      <c r="F238" s="110"/>
      <c r="G238" s="132"/>
      <c r="H238" s="111"/>
      <c r="I238" s="110"/>
      <c r="J238" s="110"/>
      <c r="K238" s="134"/>
      <c r="L238" s="118"/>
      <c r="M238" s="112"/>
      <c r="N238" s="113"/>
      <c r="O238" s="114" t="s">
        <v>3682</v>
      </c>
    </row>
    <row r="239" spans="1:15" ht="16.149999999999999" customHeight="1">
      <c r="A239" s="130"/>
      <c r="B239" s="109"/>
      <c r="C239" s="118"/>
      <c r="D239" s="110"/>
      <c r="E239" s="110"/>
      <c r="F239" s="110"/>
      <c r="G239" s="110"/>
      <c r="H239" s="111"/>
      <c r="I239" s="791"/>
      <c r="J239" s="791"/>
      <c r="K239" s="118" t="s">
        <v>1164</v>
      </c>
      <c r="L239" s="118" t="s">
        <v>1582</v>
      </c>
      <c r="M239" s="112">
        <f>TRUNC(M236+M237+M238)</f>
        <v>27168</v>
      </c>
      <c r="N239" s="113" t="s">
        <v>975</v>
      </c>
      <c r="O239" s="114" t="s">
        <v>1115</v>
      </c>
    </row>
    <row r="240" spans="1:15" ht="18.600000000000001" customHeight="1">
      <c r="A240" s="130"/>
      <c r="B240" s="109"/>
      <c r="C240" s="118"/>
      <c r="D240" s="110"/>
      <c r="E240" s="110"/>
      <c r="F240" s="110"/>
      <c r="G240" s="110"/>
      <c r="H240" s="111"/>
      <c r="I240" s="118"/>
      <c r="J240" s="118"/>
      <c r="K240" s="118"/>
      <c r="L240" s="118"/>
      <c r="M240" s="112"/>
      <c r="N240" s="113"/>
      <c r="O240" s="114" t="s">
        <v>3682</v>
      </c>
    </row>
    <row r="241" spans="1:15" ht="18.600000000000001" customHeight="1">
      <c r="A241" s="135"/>
      <c r="B241" s="136"/>
      <c r="C241" s="137"/>
      <c r="D241" s="138"/>
      <c r="E241" s="138"/>
      <c r="F241" s="138"/>
      <c r="G241" s="138"/>
      <c r="H241" s="139"/>
      <c r="I241" s="137"/>
      <c r="J241" s="137"/>
      <c r="K241" s="137"/>
      <c r="L241" s="137"/>
      <c r="M241" s="140"/>
      <c r="N241" s="141"/>
      <c r="O241" s="114" t="s">
        <v>3682</v>
      </c>
    </row>
    <row r="242" spans="1:15" ht="16.149999999999999" customHeight="1">
      <c r="A242" s="124"/>
      <c r="B242" s="125" t="s">
        <v>1116</v>
      </c>
      <c r="C242" s="142"/>
      <c r="D242" s="126"/>
      <c r="E242" s="126"/>
      <c r="F242" s="126"/>
      <c r="G242" s="126"/>
      <c r="H242" s="127"/>
      <c r="I242" s="126"/>
      <c r="J242" s="126"/>
      <c r="K242" s="126"/>
      <c r="L242" s="126"/>
      <c r="M242" s="128"/>
      <c r="N242" s="129"/>
    </row>
    <row r="243" spans="1:15" ht="16.149999999999999" customHeight="1">
      <c r="A243" s="130"/>
      <c r="B243" s="109" t="s">
        <v>598</v>
      </c>
      <c r="C243" s="118" t="s">
        <v>1526</v>
      </c>
      <c r="D243" s="118">
        <v>20.5</v>
      </c>
      <c r="E243" s="110" t="s">
        <v>456</v>
      </c>
      <c r="F243" s="118" t="s">
        <v>972</v>
      </c>
      <c r="G243" s="110"/>
      <c r="H243" s="123">
        <f>중기기준!$G$35</f>
        <v>1114.9000000000001</v>
      </c>
      <c r="I243" s="110" t="s">
        <v>975</v>
      </c>
      <c r="J243" s="110"/>
      <c r="K243" s="110"/>
      <c r="L243" s="118" t="s">
        <v>1582</v>
      </c>
      <c r="M243" s="112">
        <f>TRUNC(D243*H243,2)</f>
        <v>22855.45</v>
      </c>
      <c r="N243" s="113" t="s">
        <v>975</v>
      </c>
    </row>
    <row r="244" spans="1:15" ht="16.149999999999999" customHeight="1">
      <c r="A244" s="130"/>
      <c r="B244" s="109" t="s">
        <v>1556</v>
      </c>
      <c r="C244" s="118" t="s">
        <v>1526</v>
      </c>
      <c r="D244" s="145">
        <v>0.24</v>
      </c>
      <c r="E244" s="110"/>
      <c r="F244" s="118" t="s">
        <v>972</v>
      </c>
      <c r="G244" s="110"/>
      <c r="H244" s="123">
        <f>M243</f>
        <v>22855.45</v>
      </c>
      <c r="I244" s="110" t="s">
        <v>975</v>
      </c>
      <c r="J244" s="110"/>
      <c r="K244" s="110"/>
      <c r="L244" s="118" t="s">
        <v>1582</v>
      </c>
      <c r="M244" s="112">
        <f>TRUNC(D244*H244,2)</f>
        <v>5485.3</v>
      </c>
      <c r="N244" s="113" t="s">
        <v>975</v>
      </c>
    </row>
    <row r="245" spans="1:15" ht="16.149999999999999" customHeight="1">
      <c r="A245" s="130"/>
      <c r="B245" s="109"/>
      <c r="C245" s="110"/>
      <c r="D245" s="110"/>
      <c r="E245" s="110"/>
      <c r="F245" s="110"/>
      <c r="G245" s="110"/>
      <c r="H245" s="111"/>
      <c r="I245" s="110"/>
      <c r="J245" s="110"/>
      <c r="K245" s="118" t="s">
        <v>1164</v>
      </c>
      <c r="L245" s="118" t="s">
        <v>1582</v>
      </c>
      <c r="M245" s="112">
        <f>TRUNC(SUM(M243:M244))</f>
        <v>28340</v>
      </c>
      <c r="N245" s="113" t="s">
        <v>975</v>
      </c>
    </row>
    <row r="246" spans="1:15" ht="18.600000000000001" customHeight="1">
      <c r="A246" s="135"/>
      <c r="B246" s="136"/>
      <c r="C246" s="138"/>
      <c r="D246" s="138"/>
      <c r="E246" s="138"/>
      <c r="F246" s="138"/>
      <c r="G246" s="138"/>
      <c r="H246" s="139"/>
      <c r="I246" s="138"/>
      <c r="J246" s="138"/>
      <c r="K246" s="137"/>
      <c r="L246" s="137"/>
      <c r="M246" s="140"/>
      <c r="N246" s="141"/>
      <c r="O246" s="114" t="s">
        <v>3682</v>
      </c>
    </row>
    <row r="247" spans="1:15" s="152" customFormat="1" ht="16.149999999999999" customHeight="1">
      <c r="A247" s="146"/>
      <c r="B247" s="147"/>
      <c r="C247" s="148"/>
      <c r="D247" s="148"/>
      <c r="E247" s="148"/>
      <c r="F247" s="148"/>
      <c r="G247" s="148"/>
      <c r="H247" s="149"/>
      <c r="I247" s="148"/>
      <c r="J247" s="148"/>
      <c r="K247" s="148" t="s">
        <v>1118</v>
      </c>
      <c r="L247" s="148" t="s">
        <v>1582</v>
      </c>
      <c r="M247" s="150">
        <f>TRUNC(M233+M239+M245,0)</f>
        <v>82443</v>
      </c>
      <c r="N247" s="151"/>
    </row>
    <row r="248" spans="1:15" ht="16.149999999999999" customHeight="1">
      <c r="A248" s="546"/>
      <c r="B248" s="109"/>
      <c r="C248" s="546"/>
      <c r="D248" s="546"/>
      <c r="E248" s="546"/>
      <c r="F248" s="546"/>
      <c r="G248" s="546"/>
      <c r="H248" s="547"/>
      <c r="I248" s="546"/>
      <c r="J248" s="546"/>
      <c r="K248" s="546"/>
      <c r="L248" s="546"/>
      <c r="M248" s="112"/>
      <c r="N248" s="118"/>
    </row>
    <row r="249" spans="1:15" s="107" customFormat="1" ht="16.149999999999999" customHeight="1">
      <c r="A249" s="451">
        <f>A230+1</f>
        <v>14</v>
      </c>
      <c r="B249" s="99" t="s">
        <v>1100</v>
      </c>
      <c r="C249" s="100" t="s">
        <v>1526</v>
      </c>
      <c r="D249" s="101" t="s">
        <v>1529</v>
      </c>
      <c r="E249" s="102"/>
      <c r="F249" s="102"/>
      <c r="G249" s="100"/>
      <c r="H249" s="103" t="s">
        <v>1527</v>
      </c>
      <c r="I249" s="100" t="s">
        <v>1526</v>
      </c>
      <c r="J249" s="102" t="s">
        <v>448</v>
      </c>
      <c r="K249" s="104" t="s">
        <v>847</v>
      </c>
      <c r="L249" s="100" t="s">
        <v>1526</v>
      </c>
      <c r="M249" s="105" t="s">
        <v>603</v>
      </c>
      <c r="N249" s="106"/>
    </row>
    <row r="250" spans="1:15" ht="16.149999999999999" customHeight="1">
      <c r="A250" s="108"/>
      <c r="B250" s="109" t="s">
        <v>588</v>
      </c>
      <c r="C250" s="110" t="s">
        <v>1582</v>
      </c>
      <c r="D250" s="110" t="s">
        <v>589</v>
      </c>
      <c r="E250" s="110" t="s">
        <v>86</v>
      </c>
      <c r="F250" s="110" t="s">
        <v>590</v>
      </c>
      <c r="G250" s="110" t="s">
        <v>86</v>
      </c>
      <c r="H250" s="111" t="s">
        <v>2973</v>
      </c>
      <c r="I250" s="110"/>
      <c r="J250" s="110"/>
      <c r="K250" s="110"/>
      <c r="L250" s="110"/>
      <c r="M250" s="112"/>
      <c r="N250" s="113"/>
    </row>
    <row r="251" spans="1:15" ht="16.149999999999999" customHeight="1">
      <c r="A251" s="108"/>
      <c r="B251" s="109"/>
      <c r="C251" s="110"/>
      <c r="D251" s="110"/>
      <c r="E251" s="110"/>
      <c r="F251" s="110"/>
      <c r="G251" s="110"/>
      <c r="H251" s="111"/>
      <c r="I251" s="110"/>
      <c r="J251" s="110"/>
      <c r="K251" s="110"/>
      <c r="L251" s="110"/>
      <c r="M251" s="112"/>
      <c r="N251" s="113"/>
    </row>
    <row r="252" spans="1:15" ht="16.149999999999999" customHeight="1">
      <c r="A252" s="115"/>
      <c r="F252" s="117"/>
      <c r="G252" s="118"/>
      <c r="H252" s="119">
        <f>기계경비산출표!$E$30*1000</f>
        <v>73754000</v>
      </c>
      <c r="I252" s="110" t="s">
        <v>972</v>
      </c>
      <c r="J252" s="120">
        <v>2038</v>
      </c>
      <c r="K252" s="118" t="s">
        <v>2974</v>
      </c>
      <c r="L252" s="121" t="s">
        <v>1582</v>
      </c>
      <c r="M252" s="112">
        <f>TRUNC(H252*J252*(10^-7))</f>
        <v>15031</v>
      </c>
      <c r="N252" s="113" t="s">
        <v>975</v>
      </c>
    </row>
    <row r="253" spans="1:15" ht="16.149999999999999" customHeight="1">
      <c r="A253" s="115"/>
      <c r="B253" s="122"/>
      <c r="C253" s="118"/>
      <c r="D253" s="33"/>
      <c r="E253" s="110"/>
      <c r="F253" s="118"/>
      <c r="G253" s="118"/>
      <c r="H253" s="123"/>
      <c r="I253" s="118"/>
      <c r="J253" s="110"/>
      <c r="K253" s="110"/>
      <c r="L253" s="110"/>
      <c r="M253" s="112"/>
      <c r="N253" s="113"/>
    </row>
    <row r="254" spans="1:15" ht="16.149999999999999" customHeight="1">
      <c r="A254" s="124"/>
      <c r="B254" s="125" t="s">
        <v>1115</v>
      </c>
      <c r="C254" s="126"/>
      <c r="D254" s="126"/>
      <c r="E254" s="126"/>
      <c r="F254" s="126"/>
      <c r="G254" s="126"/>
      <c r="H254" s="127"/>
      <c r="I254" s="126"/>
      <c r="J254" s="126"/>
      <c r="K254" s="126"/>
      <c r="L254" s="126"/>
      <c r="M254" s="128"/>
      <c r="N254" s="129"/>
    </row>
    <row r="255" spans="1:15" ht="16.149999999999999" customHeight="1">
      <c r="A255" s="130"/>
      <c r="B255" s="131" t="s">
        <v>3185</v>
      </c>
      <c r="C255" s="118"/>
      <c r="D255" s="33">
        <f>SUMIF('노임(2015)'!$B$4:$B$87,B255,'노임(2015)'!$C$4:$C$87)+SUMIF('노임(2015)'!$E$4:$E$87,B255,'노임(2015)'!$F$4:$F$87)</f>
        <v>130411</v>
      </c>
      <c r="E255" s="110" t="s">
        <v>972</v>
      </c>
      <c r="F255" s="110" t="s">
        <v>973</v>
      </c>
      <c r="G255" s="132" t="s">
        <v>974</v>
      </c>
      <c r="H255" s="111"/>
      <c r="I255" s="110"/>
      <c r="J255" s="110"/>
      <c r="K255" s="133">
        <f>기계경비산출표!$I$30</f>
        <v>1</v>
      </c>
      <c r="L255" s="118" t="s">
        <v>1582</v>
      </c>
      <c r="M255" s="112">
        <f>TRUNC(D255*(1/8)*(16/12)*(25/20)*K255)</f>
        <v>27168</v>
      </c>
      <c r="N255" s="113" t="s">
        <v>975</v>
      </c>
    </row>
    <row r="256" spans="1:15" ht="16.149999999999999" customHeight="1">
      <c r="A256" s="130"/>
      <c r="B256" s="109"/>
      <c r="C256" s="118"/>
      <c r="D256" s="33"/>
      <c r="E256" s="110"/>
      <c r="F256" s="110"/>
      <c r="G256" s="132"/>
      <c r="H256" s="111"/>
      <c r="I256" s="110"/>
      <c r="J256" s="110"/>
      <c r="K256" s="134"/>
      <c r="L256" s="118"/>
      <c r="M256" s="112"/>
      <c r="N256" s="113"/>
    </row>
    <row r="257" spans="1:15" ht="18.600000000000001" customHeight="1">
      <c r="A257" s="130"/>
      <c r="B257" s="109"/>
      <c r="C257" s="118"/>
      <c r="D257" s="33"/>
      <c r="E257" s="110"/>
      <c r="F257" s="110"/>
      <c r="G257" s="132"/>
      <c r="H257" s="111"/>
      <c r="I257" s="110"/>
      <c r="J257" s="110"/>
      <c r="K257" s="134"/>
      <c r="L257" s="118"/>
      <c r="M257" s="112"/>
      <c r="N257" s="113"/>
      <c r="O257" s="114" t="s">
        <v>3682</v>
      </c>
    </row>
    <row r="258" spans="1:15" ht="16.149999999999999" customHeight="1">
      <c r="A258" s="130"/>
      <c r="B258" s="109"/>
      <c r="C258" s="118"/>
      <c r="D258" s="110"/>
      <c r="E258" s="110"/>
      <c r="F258" s="110"/>
      <c r="G258" s="110"/>
      <c r="H258" s="111"/>
      <c r="I258" s="791"/>
      <c r="J258" s="791"/>
      <c r="K258" s="118" t="s">
        <v>1164</v>
      </c>
      <c r="L258" s="118" t="s">
        <v>1582</v>
      </c>
      <c r="M258" s="112">
        <f>TRUNC(M255+M256+M257)</f>
        <v>27168</v>
      </c>
      <c r="N258" s="113" t="s">
        <v>975</v>
      </c>
      <c r="O258" s="114" t="s">
        <v>1115</v>
      </c>
    </row>
    <row r="259" spans="1:15" ht="18.600000000000001" customHeight="1">
      <c r="A259" s="130"/>
      <c r="B259" s="109"/>
      <c r="C259" s="118"/>
      <c r="D259" s="110"/>
      <c r="E259" s="110"/>
      <c r="F259" s="110"/>
      <c r="G259" s="110"/>
      <c r="H259" s="111"/>
      <c r="I259" s="118"/>
      <c r="J259" s="118"/>
      <c r="K259" s="118"/>
      <c r="L259" s="118"/>
      <c r="M259" s="112"/>
      <c r="N259" s="113"/>
      <c r="O259" s="114" t="s">
        <v>3682</v>
      </c>
    </row>
    <row r="260" spans="1:15" ht="18.600000000000001" customHeight="1">
      <c r="A260" s="135"/>
      <c r="B260" s="136"/>
      <c r="C260" s="137"/>
      <c r="D260" s="138"/>
      <c r="E260" s="138"/>
      <c r="F260" s="138"/>
      <c r="G260" s="138"/>
      <c r="H260" s="139"/>
      <c r="I260" s="137"/>
      <c r="J260" s="137"/>
      <c r="K260" s="137"/>
      <c r="L260" s="137"/>
      <c r="M260" s="140"/>
      <c r="N260" s="141"/>
      <c r="O260" s="114" t="s">
        <v>3682</v>
      </c>
    </row>
    <row r="261" spans="1:15" ht="16.149999999999999" customHeight="1">
      <c r="A261" s="124"/>
      <c r="B261" s="125" t="s">
        <v>1116</v>
      </c>
      <c r="C261" s="142"/>
      <c r="D261" s="126"/>
      <c r="E261" s="126"/>
      <c r="F261" s="126"/>
      <c r="G261" s="126"/>
      <c r="H261" s="127"/>
      <c r="I261" s="126"/>
      <c r="J261" s="126"/>
      <c r="K261" s="126"/>
      <c r="L261" s="126"/>
      <c r="M261" s="128"/>
      <c r="N261" s="129"/>
    </row>
    <row r="262" spans="1:15" ht="16.149999999999999" customHeight="1">
      <c r="A262" s="130"/>
      <c r="B262" s="109" t="s">
        <v>598</v>
      </c>
      <c r="C262" s="118" t="s">
        <v>1526</v>
      </c>
      <c r="D262" s="118">
        <f>기계경비산출표!$G$30</f>
        <v>9.5</v>
      </c>
      <c r="E262" s="110" t="s">
        <v>456</v>
      </c>
      <c r="F262" s="118" t="s">
        <v>972</v>
      </c>
      <c r="G262" s="110"/>
      <c r="H262" s="123">
        <f>중기기준!$G$35</f>
        <v>1114.9000000000001</v>
      </c>
      <c r="I262" s="110" t="s">
        <v>975</v>
      </c>
      <c r="J262" s="110"/>
      <c r="K262" s="110"/>
      <c r="L262" s="118" t="s">
        <v>1582</v>
      </c>
      <c r="M262" s="112">
        <f>TRUNC(D262*H262,2)</f>
        <v>10591.55</v>
      </c>
      <c r="N262" s="113" t="s">
        <v>975</v>
      </c>
    </row>
    <row r="263" spans="1:15" ht="16.149999999999999" customHeight="1">
      <c r="A263" s="130"/>
      <c r="B263" s="109" t="s">
        <v>1556</v>
      </c>
      <c r="C263" s="118" t="s">
        <v>1526</v>
      </c>
      <c r="D263" s="145">
        <v>0.15</v>
      </c>
      <c r="E263" s="110"/>
      <c r="F263" s="118" t="s">
        <v>972</v>
      </c>
      <c r="G263" s="110"/>
      <c r="H263" s="123">
        <f>M262</f>
        <v>10591.55</v>
      </c>
      <c r="I263" s="110" t="s">
        <v>975</v>
      </c>
      <c r="J263" s="110"/>
      <c r="K263" s="110"/>
      <c r="L263" s="118" t="s">
        <v>1582</v>
      </c>
      <c r="M263" s="112">
        <f>TRUNC(D263*H263,2)</f>
        <v>1588.73</v>
      </c>
      <c r="N263" s="113" t="s">
        <v>975</v>
      </c>
    </row>
    <row r="264" spans="1:15" ht="16.149999999999999" customHeight="1">
      <c r="A264" s="130"/>
      <c r="B264" s="109"/>
      <c r="C264" s="110"/>
      <c r="D264" s="110"/>
      <c r="E264" s="110"/>
      <c r="F264" s="110"/>
      <c r="G264" s="110"/>
      <c r="H264" s="111"/>
      <c r="I264" s="110"/>
      <c r="J264" s="110"/>
      <c r="K264" s="118" t="s">
        <v>1164</v>
      </c>
      <c r="L264" s="118" t="s">
        <v>1582</v>
      </c>
      <c r="M264" s="112">
        <f>TRUNC(SUM(M262:M263))</f>
        <v>12180</v>
      </c>
      <c r="N264" s="113" t="s">
        <v>975</v>
      </c>
    </row>
    <row r="265" spans="1:15" ht="18.600000000000001" customHeight="1">
      <c r="A265" s="135"/>
      <c r="B265" s="136"/>
      <c r="C265" s="138"/>
      <c r="D265" s="138"/>
      <c r="E265" s="138"/>
      <c r="F265" s="138"/>
      <c r="G265" s="138"/>
      <c r="H265" s="139"/>
      <c r="I265" s="138"/>
      <c r="J265" s="138"/>
      <c r="K265" s="137"/>
      <c r="L265" s="137"/>
      <c r="M265" s="140"/>
      <c r="N265" s="141"/>
      <c r="O265" s="114" t="s">
        <v>3682</v>
      </c>
    </row>
    <row r="266" spans="1:15" s="152" customFormat="1" ht="16.149999999999999" customHeight="1">
      <c r="A266" s="146"/>
      <c r="B266" s="147"/>
      <c r="C266" s="148"/>
      <c r="D266" s="148"/>
      <c r="E266" s="148"/>
      <c r="F266" s="148"/>
      <c r="G266" s="148"/>
      <c r="H266" s="149"/>
      <c r="I266" s="148"/>
      <c r="J266" s="148"/>
      <c r="K266" s="148" t="s">
        <v>1118</v>
      </c>
      <c r="L266" s="148" t="s">
        <v>1582</v>
      </c>
      <c r="M266" s="150">
        <f>TRUNC(M252+M258+M264,0)</f>
        <v>54379</v>
      </c>
      <c r="N266" s="151"/>
    </row>
    <row r="267" spans="1:15" s="152" customFormat="1" ht="16.149999999999999" customHeight="1">
      <c r="A267" s="169"/>
      <c r="B267" s="163"/>
      <c r="C267" s="169"/>
      <c r="D267" s="169"/>
      <c r="E267" s="169"/>
      <c r="F267" s="169"/>
      <c r="G267" s="169"/>
      <c r="H267" s="170"/>
      <c r="I267" s="169"/>
      <c r="J267" s="169"/>
      <c r="K267" s="169"/>
      <c r="L267" s="169"/>
      <c r="M267" s="166"/>
      <c r="N267" s="165"/>
      <c r="O267" s="114"/>
    </row>
    <row r="268" spans="1:15" s="107" customFormat="1" ht="16.149999999999999" customHeight="1">
      <c r="A268" s="451">
        <f>A249+1</f>
        <v>15</v>
      </c>
      <c r="B268" s="99" t="s">
        <v>1100</v>
      </c>
      <c r="C268" s="100" t="s">
        <v>1526</v>
      </c>
      <c r="D268" s="101" t="s">
        <v>1529</v>
      </c>
      <c r="E268" s="102"/>
      <c r="F268" s="102"/>
      <c r="G268" s="102"/>
      <c r="H268" s="157" t="s">
        <v>1527</v>
      </c>
      <c r="I268" s="100" t="s">
        <v>1526</v>
      </c>
      <c r="J268" s="102" t="s">
        <v>841</v>
      </c>
      <c r="K268" s="104" t="s">
        <v>847</v>
      </c>
      <c r="L268" s="100" t="s">
        <v>1526</v>
      </c>
      <c r="M268" s="105" t="s">
        <v>604</v>
      </c>
      <c r="N268" s="106"/>
    </row>
    <row r="269" spans="1:15" ht="16.149999999999999" customHeight="1">
      <c r="A269" s="108"/>
      <c r="B269" s="109" t="s">
        <v>588</v>
      </c>
      <c r="C269" s="110" t="s">
        <v>1582</v>
      </c>
      <c r="D269" s="110" t="s">
        <v>589</v>
      </c>
      <c r="E269" s="110" t="s">
        <v>86</v>
      </c>
      <c r="F269" s="110" t="s">
        <v>590</v>
      </c>
      <c r="G269" s="110" t="s">
        <v>86</v>
      </c>
      <c r="H269" s="111" t="s">
        <v>2973</v>
      </c>
      <c r="I269" s="110"/>
      <c r="J269" s="110"/>
      <c r="K269" s="110"/>
      <c r="L269" s="110"/>
      <c r="M269" s="112"/>
      <c r="N269" s="113"/>
    </row>
    <row r="270" spans="1:15" ht="16.149999999999999" customHeight="1">
      <c r="A270" s="108"/>
      <c r="B270" s="109"/>
      <c r="C270" s="110"/>
      <c r="D270" s="110"/>
      <c r="E270" s="110"/>
      <c r="F270" s="110"/>
      <c r="G270" s="110"/>
      <c r="H270" s="111"/>
      <c r="I270" s="110"/>
      <c r="J270" s="110"/>
      <c r="K270" s="110"/>
      <c r="L270" s="110"/>
      <c r="M270" s="112"/>
      <c r="N270" s="113"/>
    </row>
    <row r="271" spans="1:15" ht="16.149999999999999" customHeight="1">
      <c r="A271" s="115"/>
      <c r="F271" s="117"/>
      <c r="G271" s="118"/>
      <c r="H271" s="119">
        <f>기계경비산출표!$E$31*1000</f>
        <v>96577000</v>
      </c>
      <c r="I271" s="110" t="s">
        <v>972</v>
      </c>
      <c r="J271" s="120">
        <v>2038</v>
      </c>
      <c r="K271" s="118" t="s">
        <v>2974</v>
      </c>
      <c r="L271" s="121" t="s">
        <v>1582</v>
      </c>
      <c r="M271" s="112">
        <f>TRUNC(H271*J271*(10^-7))</f>
        <v>19682</v>
      </c>
      <c r="N271" s="113" t="s">
        <v>975</v>
      </c>
    </row>
    <row r="272" spans="1:15" ht="16.149999999999999" customHeight="1">
      <c r="A272" s="115"/>
      <c r="B272" s="122"/>
      <c r="C272" s="118"/>
      <c r="D272" s="33"/>
      <c r="E272" s="110"/>
      <c r="F272" s="118"/>
      <c r="G272" s="118"/>
      <c r="H272" s="123"/>
      <c r="I272" s="118"/>
      <c r="J272" s="110"/>
      <c r="K272" s="110"/>
      <c r="L272" s="110"/>
      <c r="M272" s="112"/>
      <c r="N272" s="113"/>
    </row>
    <row r="273" spans="1:15" ht="16.149999999999999" customHeight="1">
      <c r="A273" s="124"/>
      <c r="B273" s="125" t="s">
        <v>1115</v>
      </c>
      <c r="C273" s="126"/>
      <c r="D273" s="126"/>
      <c r="E273" s="126"/>
      <c r="F273" s="126"/>
      <c r="G273" s="126"/>
      <c r="H273" s="127"/>
      <c r="I273" s="126"/>
      <c r="J273" s="126"/>
      <c r="K273" s="126"/>
      <c r="L273" s="126"/>
      <c r="M273" s="128"/>
      <c r="N273" s="129"/>
    </row>
    <row r="274" spans="1:15" ht="16.149999999999999" customHeight="1">
      <c r="A274" s="130"/>
      <c r="B274" s="131" t="s">
        <v>3185</v>
      </c>
      <c r="C274" s="118"/>
      <c r="D274" s="33">
        <f>SUMIF('노임(2015)'!$B$4:$B$87,B274,'노임(2015)'!$C$4:$C$87)+SUMIF('노임(2015)'!$E$4:$E$87,B274,'노임(2015)'!$F$4:$F$87)</f>
        <v>130411</v>
      </c>
      <c r="E274" s="110" t="s">
        <v>972</v>
      </c>
      <c r="F274" s="110" t="s">
        <v>973</v>
      </c>
      <c r="G274" s="132" t="s">
        <v>974</v>
      </c>
      <c r="H274" s="111"/>
      <c r="I274" s="110"/>
      <c r="J274" s="110"/>
      <c r="K274" s="133">
        <v>1</v>
      </c>
      <c r="L274" s="118" t="s">
        <v>1582</v>
      </c>
      <c r="M274" s="112">
        <f>TRUNC(D274*(1/8)*(16/12)*(25/20)*K274)</f>
        <v>27168</v>
      </c>
      <c r="N274" s="113" t="s">
        <v>975</v>
      </c>
    </row>
    <row r="275" spans="1:15" ht="16.149999999999999" customHeight="1">
      <c r="A275" s="130"/>
      <c r="B275" s="109"/>
      <c r="C275" s="118"/>
      <c r="D275" s="33"/>
      <c r="E275" s="110"/>
      <c r="F275" s="110"/>
      <c r="G275" s="132"/>
      <c r="H275" s="111"/>
      <c r="I275" s="110"/>
      <c r="J275" s="110"/>
      <c r="K275" s="134"/>
      <c r="L275" s="118"/>
      <c r="M275" s="112"/>
      <c r="N275" s="113"/>
    </row>
    <row r="276" spans="1:15" ht="18.600000000000001" customHeight="1">
      <c r="A276" s="130"/>
      <c r="B276" s="109"/>
      <c r="C276" s="118"/>
      <c r="D276" s="33"/>
      <c r="E276" s="110"/>
      <c r="F276" s="110"/>
      <c r="G276" s="132"/>
      <c r="H276" s="111"/>
      <c r="I276" s="110"/>
      <c r="J276" s="110"/>
      <c r="K276" s="134"/>
      <c r="L276" s="118"/>
      <c r="M276" s="112"/>
      <c r="N276" s="113"/>
      <c r="O276" s="114" t="s">
        <v>3682</v>
      </c>
    </row>
    <row r="277" spans="1:15" ht="16.149999999999999" customHeight="1">
      <c r="A277" s="130"/>
      <c r="B277" s="109"/>
      <c r="C277" s="118"/>
      <c r="D277" s="110"/>
      <c r="E277" s="110"/>
      <c r="F277" s="110"/>
      <c r="G277" s="110"/>
      <c r="H277" s="111"/>
      <c r="I277" s="791"/>
      <c r="J277" s="791"/>
      <c r="K277" s="118" t="s">
        <v>1164</v>
      </c>
      <c r="L277" s="118" t="s">
        <v>1582</v>
      </c>
      <c r="M277" s="112">
        <f>TRUNC(M274+M275+M276)</f>
        <v>27168</v>
      </c>
      <c r="N277" s="113" t="s">
        <v>975</v>
      </c>
      <c r="O277" s="114" t="s">
        <v>1115</v>
      </c>
    </row>
    <row r="278" spans="1:15" ht="18.600000000000001" customHeight="1">
      <c r="A278" s="130"/>
      <c r="B278" s="109"/>
      <c r="C278" s="118"/>
      <c r="D278" s="110"/>
      <c r="E278" s="110"/>
      <c r="F278" s="110"/>
      <c r="G278" s="110"/>
      <c r="H278" s="111"/>
      <c r="I278" s="118"/>
      <c r="J278" s="118"/>
      <c r="K278" s="118"/>
      <c r="L278" s="118"/>
      <c r="M278" s="112"/>
      <c r="N278" s="113"/>
      <c r="O278" s="114" t="s">
        <v>3682</v>
      </c>
    </row>
    <row r="279" spans="1:15" ht="18.600000000000001" customHeight="1">
      <c r="A279" s="135"/>
      <c r="B279" s="136"/>
      <c r="C279" s="137"/>
      <c r="D279" s="138"/>
      <c r="E279" s="138"/>
      <c r="F279" s="138"/>
      <c r="G279" s="138"/>
      <c r="H279" s="139"/>
      <c r="I279" s="137"/>
      <c r="J279" s="137"/>
      <c r="K279" s="137"/>
      <c r="L279" s="137"/>
      <c r="M279" s="140"/>
      <c r="N279" s="141"/>
      <c r="O279" s="114" t="s">
        <v>3682</v>
      </c>
    </row>
    <row r="280" spans="1:15" ht="16.149999999999999" customHeight="1">
      <c r="A280" s="124"/>
      <c r="B280" s="125" t="s">
        <v>1116</v>
      </c>
      <c r="C280" s="142"/>
      <c r="D280" s="126"/>
      <c r="E280" s="126"/>
      <c r="F280" s="126"/>
      <c r="G280" s="126"/>
      <c r="H280" s="127"/>
      <c r="I280" s="126"/>
      <c r="J280" s="126"/>
      <c r="K280" s="126"/>
      <c r="L280" s="126"/>
      <c r="M280" s="128"/>
      <c r="N280" s="129"/>
    </row>
    <row r="281" spans="1:15" ht="16.149999999999999" customHeight="1">
      <c r="A281" s="130"/>
      <c r="B281" s="109" t="s">
        <v>598</v>
      </c>
      <c r="C281" s="118" t="s">
        <v>1526</v>
      </c>
      <c r="D281" s="118">
        <v>11</v>
      </c>
      <c r="E281" s="110" t="s">
        <v>456</v>
      </c>
      <c r="F281" s="118" t="s">
        <v>972</v>
      </c>
      <c r="G281" s="110"/>
      <c r="H281" s="123">
        <f>중기기준!$G$35</f>
        <v>1114.9000000000001</v>
      </c>
      <c r="I281" s="110" t="s">
        <v>975</v>
      </c>
      <c r="J281" s="110"/>
      <c r="K281" s="110"/>
      <c r="L281" s="118" t="s">
        <v>1582</v>
      </c>
      <c r="M281" s="112">
        <f>TRUNC(D281*H281,2)</f>
        <v>12263.9</v>
      </c>
      <c r="N281" s="113" t="s">
        <v>975</v>
      </c>
    </row>
    <row r="282" spans="1:15" ht="16.149999999999999" customHeight="1">
      <c r="A282" s="130"/>
      <c r="B282" s="109" t="s">
        <v>1556</v>
      </c>
      <c r="C282" s="118" t="s">
        <v>1526</v>
      </c>
      <c r="D282" s="145">
        <v>0.15</v>
      </c>
      <c r="E282" s="110"/>
      <c r="F282" s="118" t="s">
        <v>972</v>
      </c>
      <c r="G282" s="110"/>
      <c r="H282" s="123">
        <f>M281</f>
        <v>12263.9</v>
      </c>
      <c r="I282" s="110" t="s">
        <v>975</v>
      </c>
      <c r="J282" s="110"/>
      <c r="K282" s="110"/>
      <c r="L282" s="118" t="s">
        <v>1582</v>
      </c>
      <c r="M282" s="112">
        <f>TRUNC(D282*H282,2)</f>
        <v>1839.58</v>
      </c>
      <c r="N282" s="113" t="s">
        <v>975</v>
      </c>
    </row>
    <row r="283" spans="1:15" ht="16.149999999999999" customHeight="1">
      <c r="A283" s="130"/>
      <c r="B283" s="109"/>
      <c r="C283" s="110"/>
      <c r="D283" s="110"/>
      <c r="E283" s="110"/>
      <c r="F283" s="110"/>
      <c r="G283" s="110"/>
      <c r="H283" s="111"/>
      <c r="I283" s="110"/>
      <c r="J283" s="110"/>
      <c r="K283" s="118" t="s">
        <v>1164</v>
      </c>
      <c r="L283" s="118" t="s">
        <v>1582</v>
      </c>
      <c r="M283" s="112">
        <f>TRUNC(SUM(M281:M282))</f>
        <v>14103</v>
      </c>
      <c r="N283" s="113" t="s">
        <v>975</v>
      </c>
    </row>
    <row r="284" spans="1:15" ht="18.600000000000001" customHeight="1">
      <c r="A284" s="135"/>
      <c r="B284" s="136"/>
      <c r="C284" s="138"/>
      <c r="D284" s="138"/>
      <c r="E284" s="138"/>
      <c r="F284" s="138"/>
      <c r="G284" s="138"/>
      <c r="H284" s="139"/>
      <c r="I284" s="138"/>
      <c r="J284" s="138"/>
      <c r="K284" s="137"/>
      <c r="L284" s="137"/>
      <c r="M284" s="140"/>
      <c r="N284" s="141"/>
      <c r="O284" s="114" t="s">
        <v>3682</v>
      </c>
    </row>
    <row r="285" spans="1:15" s="152" customFormat="1" ht="16.149999999999999" customHeight="1">
      <c r="A285" s="146"/>
      <c r="B285" s="147"/>
      <c r="C285" s="148"/>
      <c r="D285" s="148"/>
      <c r="E285" s="148"/>
      <c r="F285" s="148"/>
      <c r="G285" s="148"/>
      <c r="H285" s="149"/>
      <c r="I285" s="148"/>
      <c r="J285" s="148"/>
      <c r="K285" s="148" t="s">
        <v>1118</v>
      </c>
      <c r="L285" s="148" t="s">
        <v>1582</v>
      </c>
      <c r="M285" s="150">
        <f>M271+M277+M283</f>
        <v>60953</v>
      </c>
      <c r="N285" s="151"/>
    </row>
    <row r="286" spans="1:15" ht="16.149999999999999" customHeight="1">
      <c r="A286" s="155"/>
      <c r="B286" s="136"/>
      <c r="C286" s="155"/>
      <c r="D286" s="155"/>
      <c r="E286" s="155"/>
      <c r="F286" s="155"/>
      <c r="G286" s="155"/>
      <c r="H286" s="156"/>
      <c r="I286" s="155"/>
      <c r="J286" s="155"/>
      <c r="K286" s="155"/>
      <c r="L286" s="155"/>
      <c r="M286" s="140"/>
      <c r="N286" s="137"/>
    </row>
    <row r="287" spans="1:15" s="107" customFormat="1" ht="16.149999999999999" customHeight="1">
      <c r="A287" s="451">
        <f>A268+1</f>
        <v>16</v>
      </c>
      <c r="B287" s="99" t="s">
        <v>1100</v>
      </c>
      <c r="C287" s="100" t="s">
        <v>1526</v>
      </c>
      <c r="D287" s="101" t="s">
        <v>1386</v>
      </c>
      <c r="E287" s="102"/>
      <c r="F287" s="102"/>
      <c r="G287" s="100"/>
      <c r="H287" s="103" t="s">
        <v>1527</v>
      </c>
      <c r="I287" s="100" t="s">
        <v>1526</v>
      </c>
      <c r="J287" s="102" t="s">
        <v>1101</v>
      </c>
      <c r="K287" s="104" t="s">
        <v>847</v>
      </c>
      <c r="L287" s="100" t="s">
        <v>1526</v>
      </c>
      <c r="M287" s="105" t="s">
        <v>605</v>
      </c>
      <c r="N287" s="106"/>
    </row>
    <row r="288" spans="1:15" ht="16.149999999999999" customHeight="1">
      <c r="A288" s="108"/>
      <c r="B288" s="109" t="s">
        <v>588</v>
      </c>
      <c r="C288" s="110" t="s">
        <v>1582</v>
      </c>
      <c r="D288" s="110" t="s">
        <v>589</v>
      </c>
      <c r="E288" s="110" t="s">
        <v>86</v>
      </c>
      <c r="F288" s="110" t="s">
        <v>590</v>
      </c>
      <c r="G288" s="110" t="s">
        <v>86</v>
      </c>
      <c r="H288" s="111" t="s">
        <v>2973</v>
      </c>
      <c r="I288" s="110"/>
      <c r="J288" s="110"/>
      <c r="K288" s="110"/>
      <c r="L288" s="110"/>
      <c r="M288" s="112"/>
      <c r="N288" s="113"/>
    </row>
    <row r="289" spans="1:15" ht="16.149999999999999" customHeight="1">
      <c r="A289" s="108"/>
      <c r="B289" s="109"/>
      <c r="C289" s="110"/>
      <c r="D289" s="110"/>
      <c r="E289" s="110"/>
      <c r="F289" s="110"/>
      <c r="G289" s="110"/>
      <c r="H289" s="111"/>
      <c r="I289" s="110"/>
      <c r="J289" s="110"/>
      <c r="K289" s="110"/>
      <c r="L289" s="110"/>
      <c r="M289" s="112"/>
      <c r="N289" s="113"/>
    </row>
    <row r="290" spans="1:15" ht="16.149999999999999" customHeight="1">
      <c r="A290" s="115"/>
      <c r="F290" s="117"/>
      <c r="G290" s="118"/>
      <c r="H290" s="119">
        <f>기계경비산출표!$E$32*1000</f>
        <v>3300000</v>
      </c>
      <c r="I290" s="110" t="s">
        <v>972</v>
      </c>
      <c r="J290" s="158">
        <v>6533</v>
      </c>
      <c r="K290" s="118" t="s">
        <v>2974</v>
      </c>
      <c r="L290" s="121" t="s">
        <v>1582</v>
      </c>
      <c r="M290" s="112">
        <f>TRUNC(H290*J290*(10^-7))</f>
        <v>2155</v>
      </c>
      <c r="N290" s="113" t="s">
        <v>975</v>
      </c>
    </row>
    <row r="291" spans="1:15" ht="16.149999999999999" customHeight="1">
      <c r="A291" s="115"/>
      <c r="B291" s="122"/>
      <c r="C291" s="118"/>
      <c r="D291" s="33"/>
      <c r="E291" s="110"/>
      <c r="F291" s="118"/>
      <c r="G291" s="118"/>
      <c r="H291" s="123"/>
      <c r="I291" s="118"/>
      <c r="J291" s="110"/>
      <c r="K291" s="110"/>
      <c r="L291" s="110"/>
      <c r="M291" s="112"/>
      <c r="N291" s="113"/>
    </row>
    <row r="292" spans="1:15" ht="16.149999999999999" customHeight="1">
      <c r="A292" s="124"/>
      <c r="B292" s="125" t="s">
        <v>1115</v>
      </c>
      <c r="C292" s="126"/>
      <c r="D292" s="126"/>
      <c r="E292" s="126"/>
      <c r="F292" s="126"/>
      <c r="G292" s="126"/>
      <c r="H292" s="127"/>
      <c r="I292" s="126"/>
      <c r="J292" s="126"/>
      <c r="K292" s="126"/>
      <c r="L292" s="126"/>
      <c r="M292" s="128"/>
      <c r="N292" s="129"/>
    </row>
    <row r="293" spans="1:15" ht="16.149999999999999" customHeight="1">
      <c r="A293" s="130"/>
      <c r="B293" s="131"/>
      <c r="C293" s="118"/>
      <c r="D293" s="33"/>
      <c r="E293" s="110"/>
      <c r="F293" s="110"/>
      <c r="G293" s="132"/>
      <c r="H293" s="111"/>
      <c r="I293" s="110"/>
      <c r="J293" s="110"/>
      <c r="K293" s="133"/>
      <c r="L293" s="118"/>
      <c r="M293" s="112"/>
      <c r="N293" s="113"/>
    </row>
    <row r="294" spans="1:15" ht="16.149999999999999" customHeight="1">
      <c r="A294" s="130"/>
      <c r="B294" s="131"/>
      <c r="C294" s="118"/>
      <c r="D294" s="33"/>
      <c r="E294" s="110"/>
      <c r="F294" s="110"/>
      <c r="G294" s="132"/>
      <c r="H294" s="111"/>
      <c r="I294" s="110"/>
      <c r="J294" s="110"/>
      <c r="K294" s="134"/>
      <c r="L294" s="118"/>
      <c r="M294" s="112"/>
      <c r="N294" s="113"/>
    </row>
    <row r="295" spans="1:15" ht="18.600000000000001" customHeight="1">
      <c r="A295" s="130"/>
      <c r="B295" s="109"/>
      <c r="C295" s="118"/>
      <c r="D295" s="33"/>
      <c r="E295" s="110"/>
      <c r="F295" s="110"/>
      <c r="G295" s="132"/>
      <c r="H295" s="111"/>
      <c r="I295" s="110"/>
      <c r="J295" s="110"/>
      <c r="K295" s="134"/>
      <c r="L295" s="118"/>
      <c r="M295" s="112"/>
      <c r="N295" s="113"/>
      <c r="O295" s="114" t="s">
        <v>3682</v>
      </c>
    </row>
    <row r="296" spans="1:15" ht="16.149999999999999" customHeight="1">
      <c r="A296" s="130"/>
      <c r="B296" s="109"/>
      <c r="C296" s="118"/>
      <c r="D296" s="110"/>
      <c r="E296" s="110"/>
      <c r="F296" s="110"/>
      <c r="G296" s="110"/>
      <c r="H296" s="111"/>
      <c r="I296" s="791"/>
      <c r="J296" s="791"/>
      <c r="K296" s="118" t="s">
        <v>1164</v>
      </c>
      <c r="L296" s="118" t="s">
        <v>1582</v>
      </c>
      <c r="M296" s="112">
        <f>INT(M293+M294+M295)</f>
        <v>0</v>
      </c>
      <c r="N296" s="113" t="s">
        <v>975</v>
      </c>
      <c r="O296" s="114" t="s">
        <v>1115</v>
      </c>
    </row>
    <row r="297" spans="1:15" ht="18.600000000000001" customHeight="1">
      <c r="A297" s="130"/>
      <c r="B297" s="109"/>
      <c r="C297" s="118"/>
      <c r="D297" s="110"/>
      <c r="E297" s="110"/>
      <c r="F297" s="110"/>
      <c r="G297" s="110"/>
      <c r="H297" s="111"/>
      <c r="I297" s="118"/>
      <c r="J297" s="118"/>
      <c r="K297" s="118"/>
      <c r="L297" s="118"/>
      <c r="M297" s="112"/>
      <c r="N297" s="113"/>
      <c r="O297" s="114" t="s">
        <v>3682</v>
      </c>
    </row>
    <row r="298" spans="1:15" ht="18.600000000000001" customHeight="1">
      <c r="A298" s="135"/>
      <c r="B298" s="136"/>
      <c r="C298" s="137"/>
      <c r="D298" s="138"/>
      <c r="E298" s="138"/>
      <c r="F298" s="138"/>
      <c r="G298" s="138"/>
      <c r="H298" s="139"/>
      <c r="I298" s="137"/>
      <c r="J298" s="137"/>
      <c r="K298" s="137"/>
      <c r="L298" s="137"/>
      <c r="M298" s="140"/>
      <c r="N298" s="141"/>
      <c r="O298" s="114" t="s">
        <v>3682</v>
      </c>
    </row>
    <row r="299" spans="1:15" ht="16.149999999999999" customHeight="1">
      <c r="A299" s="124"/>
      <c r="B299" s="125" t="s">
        <v>1116</v>
      </c>
      <c r="C299" s="142"/>
      <c r="D299" s="126"/>
      <c r="E299" s="126"/>
      <c r="F299" s="126"/>
      <c r="G299" s="126"/>
      <c r="H299" s="127"/>
      <c r="I299" s="126"/>
      <c r="J299" s="126"/>
      <c r="K299" s="126"/>
      <c r="L299" s="126"/>
      <c r="M299" s="128"/>
      <c r="N299" s="129"/>
    </row>
    <row r="300" spans="1:15" ht="16.149999999999999" customHeight="1">
      <c r="A300" s="130"/>
      <c r="B300" s="109"/>
      <c r="C300" s="118"/>
      <c r="D300" s="118"/>
      <c r="E300" s="110"/>
      <c r="F300" s="118"/>
      <c r="G300" s="110"/>
      <c r="H300" s="123"/>
      <c r="I300" s="110"/>
      <c r="J300" s="110"/>
      <c r="K300" s="110"/>
      <c r="L300" s="118"/>
      <c r="M300" s="112"/>
      <c r="N300" s="113"/>
    </row>
    <row r="301" spans="1:15" ht="16.149999999999999" customHeight="1">
      <c r="A301" s="130"/>
      <c r="B301" s="109"/>
      <c r="C301" s="118"/>
      <c r="D301" s="145"/>
      <c r="E301" s="110"/>
      <c r="F301" s="118"/>
      <c r="G301" s="110"/>
      <c r="H301" s="123"/>
      <c r="I301" s="110"/>
      <c r="J301" s="110"/>
      <c r="K301" s="110"/>
      <c r="L301" s="118"/>
      <c r="M301" s="112"/>
      <c r="N301" s="113"/>
    </row>
    <row r="302" spans="1:15" ht="16.149999999999999" customHeight="1">
      <c r="A302" s="130"/>
      <c r="B302" s="109"/>
      <c r="C302" s="110"/>
      <c r="D302" s="110"/>
      <c r="E302" s="110"/>
      <c r="F302" s="110"/>
      <c r="G302" s="110"/>
      <c r="H302" s="111"/>
      <c r="I302" s="110"/>
      <c r="J302" s="110"/>
      <c r="K302" s="118" t="s">
        <v>1164</v>
      </c>
      <c r="L302" s="118" t="s">
        <v>1582</v>
      </c>
      <c r="M302" s="112">
        <f>INT(SUM(M300:M301))</f>
        <v>0</v>
      </c>
      <c r="N302" s="113" t="s">
        <v>975</v>
      </c>
    </row>
    <row r="303" spans="1:15" ht="18.600000000000001" customHeight="1">
      <c r="A303" s="135"/>
      <c r="B303" s="136"/>
      <c r="C303" s="138"/>
      <c r="D303" s="138"/>
      <c r="E303" s="138"/>
      <c r="F303" s="138"/>
      <c r="G303" s="138"/>
      <c r="H303" s="139"/>
      <c r="I303" s="138"/>
      <c r="J303" s="138"/>
      <c r="K303" s="137"/>
      <c r="L303" s="137"/>
      <c r="M303" s="140"/>
      <c r="N303" s="141"/>
      <c r="O303" s="114" t="s">
        <v>3682</v>
      </c>
    </row>
    <row r="304" spans="1:15" s="152" customFormat="1" ht="16.149999999999999" customHeight="1">
      <c r="A304" s="146"/>
      <c r="B304" s="147"/>
      <c r="C304" s="148"/>
      <c r="D304" s="148"/>
      <c r="E304" s="148"/>
      <c r="F304" s="148"/>
      <c r="G304" s="148"/>
      <c r="H304" s="149"/>
      <c r="I304" s="148"/>
      <c r="J304" s="148"/>
      <c r="K304" s="148" t="s">
        <v>1118</v>
      </c>
      <c r="L304" s="148" t="s">
        <v>1582</v>
      </c>
      <c r="M304" s="150">
        <f>M290+M296+M302</f>
        <v>2155</v>
      </c>
      <c r="N304" s="151"/>
    </row>
    <row r="305" spans="1:15" s="152" customFormat="1" ht="16.149999999999999" customHeight="1">
      <c r="A305" s="169"/>
      <c r="B305" s="163"/>
      <c r="C305" s="169"/>
      <c r="D305" s="169"/>
      <c r="E305" s="169"/>
      <c r="F305" s="169"/>
      <c r="G305" s="169"/>
      <c r="H305" s="170"/>
      <c r="I305" s="169"/>
      <c r="J305" s="169"/>
      <c r="K305" s="169"/>
      <c r="L305" s="169"/>
      <c r="M305" s="166"/>
      <c r="N305" s="165"/>
      <c r="O305" s="114"/>
    </row>
    <row r="306" spans="1:15" s="107" customFormat="1" ht="16.149999999999999" customHeight="1">
      <c r="A306" s="451">
        <f>A287+1</f>
        <v>17</v>
      </c>
      <c r="B306" s="99" t="s">
        <v>1100</v>
      </c>
      <c r="C306" s="100" t="s">
        <v>1526</v>
      </c>
      <c r="D306" s="101" t="s">
        <v>1386</v>
      </c>
      <c r="E306" s="102"/>
      <c r="F306" s="102"/>
      <c r="G306" s="100"/>
      <c r="H306" s="103" t="s">
        <v>1527</v>
      </c>
      <c r="I306" s="100" t="s">
        <v>1526</v>
      </c>
      <c r="J306" s="102" t="s">
        <v>448</v>
      </c>
      <c r="K306" s="104" t="s">
        <v>847</v>
      </c>
      <c r="L306" s="100" t="s">
        <v>1526</v>
      </c>
      <c r="M306" s="105" t="s">
        <v>606</v>
      </c>
      <c r="N306" s="106"/>
    </row>
    <row r="307" spans="1:15" ht="16.149999999999999" customHeight="1">
      <c r="A307" s="108"/>
      <c r="B307" s="109" t="s">
        <v>588</v>
      </c>
      <c r="C307" s="110" t="s">
        <v>1582</v>
      </c>
      <c r="D307" s="110" t="s">
        <v>589</v>
      </c>
      <c r="E307" s="110" t="s">
        <v>86</v>
      </c>
      <c r="F307" s="110" t="s">
        <v>590</v>
      </c>
      <c r="G307" s="110" t="s">
        <v>86</v>
      </c>
      <c r="H307" s="111" t="s">
        <v>2973</v>
      </c>
      <c r="I307" s="110"/>
      <c r="J307" s="110"/>
      <c r="K307" s="110"/>
      <c r="L307" s="110"/>
      <c r="M307" s="112"/>
      <c r="N307" s="113"/>
    </row>
    <row r="308" spans="1:15" ht="16.149999999999999" customHeight="1">
      <c r="A308" s="108"/>
      <c r="B308" s="109"/>
      <c r="C308" s="110"/>
      <c r="D308" s="110"/>
      <c r="E308" s="110"/>
      <c r="F308" s="110"/>
      <c r="G308" s="110"/>
      <c r="H308" s="111"/>
      <c r="I308" s="110"/>
      <c r="J308" s="110"/>
      <c r="K308" s="110"/>
      <c r="L308" s="110"/>
      <c r="M308" s="112"/>
      <c r="N308" s="113"/>
    </row>
    <row r="309" spans="1:15" ht="16.149999999999999" customHeight="1">
      <c r="A309" s="115"/>
      <c r="F309" s="117"/>
      <c r="G309" s="118"/>
      <c r="H309" s="119">
        <f>기계경비산출표!$E$33*1000</f>
        <v>6050000</v>
      </c>
      <c r="I309" s="110" t="s">
        <v>972</v>
      </c>
      <c r="J309" s="158">
        <v>6533</v>
      </c>
      <c r="K309" s="118" t="s">
        <v>2974</v>
      </c>
      <c r="L309" s="121" t="s">
        <v>1582</v>
      </c>
      <c r="M309" s="112">
        <f>TRUNC(H309*J309*(10^-7))</f>
        <v>3952</v>
      </c>
      <c r="N309" s="113" t="s">
        <v>975</v>
      </c>
    </row>
    <row r="310" spans="1:15" ht="16.149999999999999" customHeight="1">
      <c r="A310" s="115"/>
      <c r="B310" s="122"/>
      <c r="C310" s="118"/>
      <c r="D310" s="33"/>
      <c r="E310" s="110"/>
      <c r="F310" s="118"/>
      <c r="G310" s="118"/>
      <c r="H310" s="123"/>
      <c r="I310" s="118"/>
      <c r="J310" s="110"/>
      <c r="K310" s="110"/>
      <c r="L310" s="110"/>
      <c r="M310" s="112"/>
      <c r="N310" s="113"/>
    </row>
    <row r="311" spans="1:15" ht="16.149999999999999" customHeight="1">
      <c r="A311" s="124"/>
      <c r="B311" s="125" t="s">
        <v>1115</v>
      </c>
      <c r="C311" s="126"/>
      <c r="D311" s="126"/>
      <c r="E311" s="126"/>
      <c r="F311" s="126"/>
      <c r="G311" s="126"/>
      <c r="H311" s="127"/>
      <c r="I311" s="126"/>
      <c r="J311" s="126"/>
      <c r="K311" s="126"/>
      <c r="L311" s="126"/>
      <c r="M311" s="128"/>
      <c r="N311" s="129"/>
    </row>
    <row r="312" spans="1:15" ht="16.149999999999999" customHeight="1">
      <c r="A312" s="130"/>
      <c r="B312" s="131"/>
      <c r="C312" s="118"/>
      <c r="D312" s="33"/>
      <c r="E312" s="110"/>
      <c r="F312" s="110"/>
      <c r="G312" s="132"/>
      <c r="H312" s="111"/>
      <c r="I312" s="110"/>
      <c r="J312" s="110"/>
      <c r="K312" s="133"/>
      <c r="L312" s="118"/>
      <c r="M312" s="112"/>
      <c r="N312" s="113"/>
    </row>
    <row r="313" spans="1:15" ht="16.149999999999999" customHeight="1">
      <c r="A313" s="130"/>
      <c r="B313" s="131"/>
      <c r="C313" s="118"/>
      <c r="D313" s="33"/>
      <c r="E313" s="110"/>
      <c r="F313" s="110"/>
      <c r="G313" s="132"/>
      <c r="H313" s="111"/>
      <c r="I313" s="110"/>
      <c r="J313" s="110"/>
      <c r="K313" s="134"/>
      <c r="L313" s="118"/>
      <c r="M313" s="112"/>
      <c r="N313" s="113"/>
    </row>
    <row r="314" spans="1:15" ht="18.600000000000001" customHeight="1">
      <c r="A314" s="130"/>
      <c r="B314" s="109"/>
      <c r="C314" s="118"/>
      <c r="D314" s="33"/>
      <c r="E314" s="110"/>
      <c r="F314" s="110"/>
      <c r="G314" s="132"/>
      <c r="H314" s="111"/>
      <c r="I314" s="110"/>
      <c r="J314" s="110"/>
      <c r="K314" s="134"/>
      <c r="L314" s="118"/>
      <c r="M314" s="112"/>
      <c r="N314" s="113"/>
      <c r="O314" s="114" t="s">
        <v>3682</v>
      </c>
    </row>
    <row r="315" spans="1:15" ht="16.149999999999999" customHeight="1">
      <c r="A315" s="130"/>
      <c r="B315" s="109"/>
      <c r="C315" s="118"/>
      <c r="D315" s="110"/>
      <c r="E315" s="110"/>
      <c r="F315" s="110"/>
      <c r="G315" s="110"/>
      <c r="H315" s="111"/>
      <c r="I315" s="791"/>
      <c r="J315" s="791"/>
      <c r="K315" s="118" t="s">
        <v>1164</v>
      </c>
      <c r="L315" s="118" t="s">
        <v>1582</v>
      </c>
      <c r="M315" s="112">
        <f>INT(M312+M313+M314)</f>
        <v>0</v>
      </c>
      <c r="N315" s="113" t="s">
        <v>975</v>
      </c>
      <c r="O315" s="114" t="s">
        <v>1115</v>
      </c>
    </row>
    <row r="316" spans="1:15" ht="18.600000000000001" customHeight="1">
      <c r="A316" s="130"/>
      <c r="B316" s="109"/>
      <c r="C316" s="118"/>
      <c r="D316" s="110"/>
      <c r="E316" s="110"/>
      <c r="F316" s="110"/>
      <c r="G316" s="110"/>
      <c r="H316" s="111"/>
      <c r="I316" s="118"/>
      <c r="J316" s="118"/>
      <c r="K316" s="118"/>
      <c r="L316" s="118"/>
      <c r="M316" s="112"/>
      <c r="N316" s="113"/>
      <c r="O316" s="114" t="s">
        <v>3682</v>
      </c>
    </row>
    <row r="317" spans="1:15" ht="18.600000000000001" customHeight="1">
      <c r="A317" s="135"/>
      <c r="B317" s="136"/>
      <c r="C317" s="137"/>
      <c r="D317" s="138"/>
      <c r="E317" s="138"/>
      <c r="F317" s="138"/>
      <c r="G317" s="138"/>
      <c r="H317" s="139"/>
      <c r="I317" s="137"/>
      <c r="J317" s="137"/>
      <c r="K317" s="137"/>
      <c r="L317" s="137"/>
      <c r="M317" s="140"/>
      <c r="N317" s="141"/>
      <c r="O317" s="114" t="s">
        <v>3682</v>
      </c>
    </row>
    <row r="318" spans="1:15" ht="16.149999999999999" customHeight="1">
      <c r="A318" s="124"/>
      <c r="B318" s="125" t="s">
        <v>1116</v>
      </c>
      <c r="C318" s="142"/>
      <c r="D318" s="126"/>
      <c r="E318" s="126"/>
      <c r="F318" s="126"/>
      <c r="G318" s="126"/>
      <c r="H318" s="127"/>
      <c r="I318" s="126"/>
      <c r="J318" s="126"/>
      <c r="K318" s="126"/>
      <c r="L318" s="126"/>
      <c r="M318" s="128"/>
      <c r="N318" s="129"/>
    </row>
    <row r="319" spans="1:15" ht="16.149999999999999" customHeight="1">
      <c r="A319" s="130"/>
      <c r="B319" s="109"/>
      <c r="C319" s="118"/>
      <c r="D319" s="118"/>
      <c r="E319" s="110"/>
      <c r="F319" s="118"/>
      <c r="G319" s="110"/>
      <c r="H319" s="123"/>
      <c r="I319" s="110"/>
      <c r="J319" s="110"/>
      <c r="K319" s="110"/>
      <c r="L319" s="118"/>
      <c r="M319" s="112"/>
      <c r="N319" s="113"/>
    </row>
    <row r="320" spans="1:15" ht="16.149999999999999" customHeight="1">
      <c r="A320" s="130"/>
      <c r="B320" s="109"/>
      <c r="C320" s="118"/>
      <c r="D320" s="145"/>
      <c r="E320" s="110"/>
      <c r="F320" s="118"/>
      <c r="G320" s="110"/>
      <c r="H320" s="123"/>
      <c r="I320" s="110"/>
      <c r="J320" s="110"/>
      <c r="K320" s="110"/>
      <c r="L320" s="118"/>
      <c r="M320" s="112"/>
      <c r="N320" s="113"/>
    </row>
    <row r="321" spans="1:15" ht="16.149999999999999" customHeight="1">
      <c r="A321" s="130"/>
      <c r="B321" s="109"/>
      <c r="C321" s="110"/>
      <c r="D321" s="110"/>
      <c r="E321" s="110"/>
      <c r="F321" s="110"/>
      <c r="G321" s="110"/>
      <c r="H321" s="111"/>
      <c r="I321" s="110"/>
      <c r="J321" s="110"/>
      <c r="K321" s="118" t="s">
        <v>1164</v>
      </c>
      <c r="L321" s="118" t="s">
        <v>1582</v>
      </c>
      <c r="M321" s="112">
        <f>INT(SUM(M319:M320))</f>
        <v>0</v>
      </c>
      <c r="N321" s="113" t="s">
        <v>975</v>
      </c>
    </row>
    <row r="322" spans="1:15" ht="18.600000000000001" customHeight="1">
      <c r="A322" s="135"/>
      <c r="B322" s="136"/>
      <c r="C322" s="138"/>
      <c r="D322" s="138"/>
      <c r="E322" s="138"/>
      <c r="F322" s="138"/>
      <c r="G322" s="138"/>
      <c r="H322" s="139"/>
      <c r="I322" s="138"/>
      <c r="J322" s="138"/>
      <c r="K322" s="137"/>
      <c r="L322" s="137"/>
      <c r="M322" s="140"/>
      <c r="N322" s="141"/>
      <c r="O322" s="114" t="s">
        <v>3682</v>
      </c>
    </row>
    <row r="323" spans="1:15" s="152" customFormat="1" ht="16.149999999999999" customHeight="1">
      <c r="A323" s="146"/>
      <c r="B323" s="147"/>
      <c r="C323" s="148"/>
      <c r="D323" s="148"/>
      <c r="E323" s="148"/>
      <c r="F323" s="148"/>
      <c r="G323" s="148"/>
      <c r="H323" s="149"/>
      <c r="I323" s="148"/>
      <c r="J323" s="148"/>
      <c r="K323" s="148" t="s">
        <v>1118</v>
      </c>
      <c r="L323" s="148" t="s">
        <v>1582</v>
      </c>
      <c r="M323" s="150">
        <f>M309+M315+M321</f>
        <v>3952</v>
      </c>
      <c r="N323" s="151"/>
    </row>
    <row r="324" spans="1:15" ht="16.149999999999999" customHeight="1">
      <c r="A324" s="153"/>
      <c r="B324" s="125"/>
      <c r="C324" s="153"/>
      <c r="D324" s="153"/>
      <c r="E324" s="153"/>
      <c r="F324" s="153"/>
      <c r="G324" s="153"/>
      <c r="H324" s="154"/>
      <c r="I324" s="153"/>
      <c r="J324" s="153"/>
      <c r="K324" s="153"/>
      <c r="L324" s="153"/>
      <c r="M324" s="128"/>
      <c r="N324" s="142"/>
    </row>
    <row r="325" spans="1:15" s="107" customFormat="1" ht="16.149999999999999" customHeight="1">
      <c r="A325" s="451">
        <f>A306+1</f>
        <v>18</v>
      </c>
      <c r="B325" s="99" t="s">
        <v>1100</v>
      </c>
      <c r="C325" s="100" t="s">
        <v>1526</v>
      </c>
      <c r="D325" s="101" t="s">
        <v>1386</v>
      </c>
      <c r="E325" s="102"/>
      <c r="F325" s="102"/>
      <c r="G325" s="100"/>
      <c r="H325" s="103" t="s">
        <v>1527</v>
      </c>
      <c r="I325" s="100" t="s">
        <v>1526</v>
      </c>
      <c r="J325" s="102" t="s">
        <v>3646</v>
      </c>
      <c r="K325" s="104" t="s">
        <v>847</v>
      </c>
      <c r="L325" s="100" t="s">
        <v>1526</v>
      </c>
      <c r="M325" s="105" t="s">
        <v>3657</v>
      </c>
      <c r="N325" s="106"/>
    </row>
    <row r="326" spans="1:15" ht="16.149999999999999" customHeight="1">
      <c r="A326" s="108"/>
      <c r="B326" s="109" t="s">
        <v>588</v>
      </c>
      <c r="C326" s="110" t="s">
        <v>1582</v>
      </c>
      <c r="D326" s="110" t="s">
        <v>589</v>
      </c>
      <c r="E326" s="110" t="s">
        <v>86</v>
      </c>
      <c r="F326" s="110" t="s">
        <v>590</v>
      </c>
      <c r="G326" s="110" t="s">
        <v>86</v>
      </c>
      <c r="H326" s="111" t="s">
        <v>2973</v>
      </c>
      <c r="I326" s="110"/>
      <c r="J326" s="110"/>
      <c r="K326" s="110"/>
      <c r="L326" s="110"/>
      <c r="M326" s="112"/>
      <c r="N326" s="113"/>
    </row>
    <row r="327" spans="1:15" ht="16.149999999999999" customHeight="1">
      <c r="A327" s="108"/>
      <c r="B327" s="109"/>
      <c r="C327" s="110"/>
      <c r="D327" s="110"/>
      <c r="E327" s="110"/>
      <c r="F327" s="110"/>
      <c r="G327" s="110"/>
      <c r="H327" s="111"/>
      <c r="I327" s="110"/>
      <c r="J327" s="110"/>
      <c r="K327" s="110"/>
      <c r="L327" s="110"/>
      <c r="M327" s="112"/>
      <c r="N327" s="113"/>
    </row>
    <row r="328" spans="1:15" ht="16.149999999999999" customHeight="1">
      <c r="A328" s="115"/>
      <c r="F328" s="117"/>
      <c r="G328" s="118"/>
      <c r="H328" s="119">
        <f>기계경비산출표!$E$34*1000</f>
        <v>11060000</v>
      </c>
      <c r="I328" s="110" t="s">
        <v>972</v>
      </c>
      <c r="J328" s="158">
        <v>6533</v>
      </c>
      <c r="K328" s="118" t="s">
        <v>2974</v>
      </c>
      <c r="L328" s="121" t="s">
        <v>1582</v>
      </c>
      <c r="M328" s="112">
        <f>TRUNC(H328*J328*(10^-7))</f>
        <v>7225</v>
      </c>
      <c r="N328" s="113" t="s">
        <v>975</v>
      </c>
    </row>
    <row r="329" spans="1:15" ht="16.149999999999999" customHeight="1">
      <c r="A329" s="115"/>
      <c r="B329" s="122"/>
      <c r="C329" s="118"/>
      <c r="D329" s="33"/>
      <c r="E329" s="110"/>
      <c r="F329" s="118"/>
      <c r="G329" s="118"/>
      <c r="H329" s="123"/>
      <c r="I329" s="118"/>
      <c r="J329" s="110"/>
      <c r="K329" s="110"/>
      <c r="L329" s="110"/>
      <c r="M329" s="112"/>
      <c r="N329" s="113"/>
    </row>
    <row r="330" spans="1:15" ht="16.149999999999999" customHeight="1">
      <c r="A330" s="124"/>
      <c r="B330" s="125" t="s">
        <v>1115</v>
      </c>
      <c r="C330" s="126"/>
      <c r="D330" s="126"/>
      <c r="E330" s="126"/>
      <c r="F330" s="126"/>
      <c r="G330" s="126"/>
      <c r="H330" s="127"/>
      <c r="I330" s="126"/>
      <c r="J330" s="126"/>
      <c r="K330" s="126"/>
      <c r="L330" s="126"/>
      <c r="M330" s="128"/>
      <c r="N330" s="129"/>
    </row>
    <row r="331" spans="1:15" ht="16.149999999999999" customHeight="1">
      <c r="A331" s="130"/>
      <c r="B331" s="131"/>
      <c r="C331" s="118"/>
      <c r="D331" s="33"/>
      <c r="E331" s="110"/>
      <c r="F331" s="110"/>
      <c r="G331" s="132"/>
      <c r="H331" s="111"/>
      <c r="I331" s="110"/>
      <c r="J331" s="110"/>
      <c r="K331" s="133"/>
      <c r="L331" s="118"/>
      <c r="M331" s="112"/>
      <c r="N331" s="113"/>
    </row>
    <row r="332" spans="1:15" ht="16.149999999999999" customHeight="1">
      <c r="A332" s="130"/>
      <c r="B332" s="131"/>
      <c r="C332" s="118"/>
      <c r="D332" s="33"/>
      <c r="E332" s="110"/>
      <c r="F332" s="110"/>
      <c r="G332" s="132"/>
      <c r="H332" s="111"/>
      <c r="I332" s="110"/>
      <c r="J332" s="110"/>
      <c r="K332" s="134"/>
      <c r="L332" s="118"/>
      <c r="M332" s="112"/>
      <c r="N332" s="113"/>
    </row>
    <row r="333" spans="1:15" ht="18.600000000000001" customHeight="1">
      <c r="A333" s="130"/>
      <c r="B333" s="109"/>
      <c r="C333" s="118"/>
      <c r="D333" s="33"/>
      <c r="E333" s="110"/>
      <c r="F333" s="110"/>
      <c r="G333" s="132"/>
      <c r="H333" s="111"/>
      <c r="I333" s="110"/>
      <c r="J333" s="110"/>
      <c r="K333" s="134"/>
      <c r="L333" s="118"/>
      <c r="M333" s="112"/>
      <c r="N333" s="113"/>
      <c r="O333" s="114" t="s">
        <v>3682</v>
      </c>
    </row>
    <row r="334" spans="1:15" ht="16.149999999999999" customHeight="1">
      <c r="A334" s="130"/>
      <c r="B334" s="109"/>
      <c r="C334" s="118"/>
      <c r="D334" s="110"/>
      <c r="E334" s="110"/>
      <c r="F334" s="110"/>
      <c r="G334" s="110"/>
      <c r="H334" s="111"/>
      <c r="I334" s="791"/>
      <c r="J334" s="791"/>
      <c r="K334" s="118" t="s">
        <v>1164</v>
      </c>
      <c r="L334" s="118" t="s">
        <v>1582</v>
      </c>
      <c r="M334" s="112">
        <f>INT(M331+M332+M333)</f>
        <v>0</v>
      </c>
      <c r="N334" s="113" t="s">
        <v>975</v>
      </c>
      <c r="O334" s="114" t="s">
        <v>1115</v>
      </c>
    </row>
    <row r="335" spans="1:15" ht="18.600000000000001" customHeight="1">
      <c r="A335" s="130"/>
      <c r="B335" s="109"/>
      <c r="C335" s="118"/>
      <c r="D335" s="110"/>
      <c r="E335" s="110"/>
      <c r="F335" s="110"/>
      <c r="G335" s="110"/>
      <c r="H335" s="111"/>
      <c r="I335" s="118"/>
      <c r="J335" s="118"/>
      <c r="K335" s="118"/>
      <c r="L335" s="118"/>
      <c r="M335" s="112"/>
      <c r="N335" s="113"/>
      <c r="O335" s="114" t="s">
        <v>3682</v>
      </c>
    </row>
    <row r="336" spans="1:15" ht="18.600000000000001" customHeight="1">
      <c r="A336" s="135"/>
      <c r="B336" s="136"/>
      <c r="C336" s="137"/>
      <c r="D336" s="138"/>
      <c r="E336" s="138"/>
      <c r="F336" s="138"/>
      <c r="G336" s="138"/>
      <c r="H336" s="139"/>
      <c r="I336" s="137"/>
      <c r="J336" s="137"/>
      <c r="K336" s="137"/>
      <c r="L336" s="137"/>
      <c r="M336" s="140"/>
      <c r="N336" s="141"/>
      <c r="O336" s="114" t="s">
        <v>3682</v>
      </c>
    </row>
    <row r="337" spans="1:15" ht="16.149999999999999" customHeight="1">
      <c r="A337" s="124"/>
      <c r="B337" s="125" t="s">
        <v>1116</v>
      </c>
      <c r="C337" s="142"/>
      <c r="D337" s="126"/>
      <c r="E337" s="126"/>
      <c r="F337" s="126"/>
      <c r="G337" s="126"/>
      <c r="H337" s="127"/>
      <c r="I337" s="126"/>
      <c r="J337" s="126"/>
      <c r="K337" s="126"/>
      <c r="L337" s="126"/>
      <c r="M337" s="128"/>
      <c r="N337" s="129"/>
    </row>
    <row r="338" spans="1:15" ht="16.149999999999999" customHeight="1">
      <c r="A338" s="130"/>
      <c r="B338" s="109"/>
      <c r="C338" s="118"/>
      <c r="D338" s="118"/>
      <c r="E338" s="110"/>
      <c r="F338" s="118"/>
      <c r="G338" s="110"/>
      <c r="H338" s="123"/>
      <c r="I338" s="110"/>
      <c r="J338" s="110"/>
      <c r="K338" s="110"/>
      <c r="L338" s="118"/>
      <c r="M338" s="112"/>
      <c r="N338" s="113"/>
    </row>
    <row r="339" spans="1:15" ht="16.149999999999999" customHeight="1">
      <c r="A339" s="130"/>
      <c r="B339" s="109"/>
      <c r="C339" s="118"/>
      <c r="D339" s="145"/>
      <c r="E339" s="110"/>
      <c r="F339" s="118"/>
      <c r="G339" s="110"/>
      <c r="H339" s="123"/>
      <c r="I339" s="110"/>
      <c r="J339" s="110"/>
      <c r="K339" s="110"/>
      <c r="L339" s="118"/>
      <c r="M339" s="112"/>
      <c r="N339" s="113"/>
    </row>
    <row r="340" spans="1:15" ht="16.149999999999999" customHeight="1">
      <c r="A340" s="130"/>
      <c r="B340" s="109"/>
      <c r="C340" s="110"/>
      <c r="D340" s="110"/>
      <c r="E340" s="110"/>
      <c r="F340" s="110"/>
      <c r="G340" s="110"/>
      <c r="H340" s="111"/>
      <c r="I340" s="110"/>
      <c r="J340" s="110"/>
      <c r="K340" s="118" t="s">
        <v>1164</v>
      </c>
      <c r="L340" s="118" t="s">
        <v>1582</v>
      </c>
      <c r="M340" s="112">
        <f>INT(SUM(M338:M339))</f>
        <v>0</v>
      </c>
      <c r="N340" s="113" t="s">
        <v>975</v>
      </c>
    </row>
    <row r="341" spans="1:15" ht="18.600000000000001" customHeight="1">
      <c r="A341" s="135"/>
      <c r="B341" s="136"/>
      <c r="C341" s="138"/>
      <c r="D341" s="138"/>
      <c r="E341" s="138"/>
      <c r="F341" s="138"/>
      <c r="G341" s="138"/>
      <c r="H341" s="139"/>
      <c r="I341" s="138"/>
      <c r="J341" s="138"/>
      <c r="K341" s="137"/>
      <c r="L341" s="137"/>
      <c r="M341" s="140"/>
      <c r="N341" s="141"/>
      <c r="O341" s="114" t="s">
        <v>3682</v>
      </c>
    </row>
    <row r="342" spans="1:15" s="152" customFormat="1" ht="16.149999999999999" customHeight="1">
      <c r="A342" s="146"/>
      <c r="B342" s="147"/>
      <c r="C342" s="148"/>
      <c r="D342" s="148"/>
      <c r="E342" s="148"/>
      <c r="F342" s="148"/>
      <c r="G342" s="148"/>
      <c r="H342" s="149"/>
      <c r="I342" s="148"/>
      <c r="J342" s="148"/>
      <c r="K342" s="148" t="s">
        <v>1118</v>
      </c>
      <c r="L342" s="148" t="s">
        <v>1582</v>
      </c>
      <c r="M342" s="150">
        <f>M328+M334+M340</f>
        <v>7225</v>
      </c>
      <c r="N342" s="151"/>
    </row>
    <row r="343" spans="1:15" s="152" customFormat="1" ht="16.149999999999999" customHeight="1">
      <c r="A343" s="169"/>
      <c r="B343" s="163"/>
      <c r="C343" s="169"/>
      <c r="D343" s="169"/>
      <c r="E343" s="169"/>
      <c r="F343" s="169"/>
      <c r="G343" s="169"/>
      <c r="H343" s="170"/>
      <c r="I343" s="169"/>
      <c r="J343" s="169"/>
      <c r="K343" s="169"/>
      <c r="L343" s="169"/>
      <c r="M343" s="166"/>
      <c r="N343" s="165"/>
      <c r="O343" s="114"/>
    </row>
    <row r="344" spans="1:15" s="107" customFormat="1" ht="16.149999999999999" customHeight="1">
      <c r="A344" s="451">
        <f>A325+1</f>
        <v>19</v>
      </c>
      <c r="B344" s="99" t="s">
        <v>1100</v>
      </c>
      <c r="C344" s="100" t="s">
        <v>1526</v>
      </c>
      <c r="D344" s="101" t="s">
        <v>1387</v>
      </c>
      <c r="E344" s="102"/>
      <c r="F344" s="102"/>
      <c r="G344" s="100"/>
      <c r="H344" s="103" t="s">
        <v>1527</v>
      </c>
      <c r="I344" s="100" t="s">
        <v>1526</v>
      </c>
      <c r="J344" s="102" t="s">
        <v>607</v>
      </c>
      <c r="K344" s="104" t="s">
        <v>847</v>
      </c>
      <c r="L344" s="100" t="s">
        <v>1526</v>
      </c>
      <c r="M344" s="105" t="s">
        <v>608</v>
      </c>
      <c r="N344" s="106"/>
    </row>
    <row r="345" spans="1:15" ht="16.149999999999999" customHeight="1">
      <c r="A345" s="108"/>
      <c r="B345" s="109" t="s">
        <v>588</v>
      </c>
      <c r="C345" s="110" t="s">
        <v>1582</v>
      </c>
      <c r="D345" s="110" t="s">
        <v>589</v>
      </c>
      <c r="E345" s="110" t="s">
        <v>86</v>
      </c>
      <c r="F345" s="110" t="s">
        <v>590</v>
      </c>
      <c r="G345" s="110" t="s">
        <v>86</v>
      </c>
      <c r="H345" s="111" t="s">
        <v>2973</v>
      </c>
      <c r="I345" s="110"/>
      <c r="J345" s="110"/>
      <c r="K345" s="110"/>
      <c r="L345" s="110"/>
      <c r="M345" s="112"/>
      <c r="N345" s="113"/>
    </row>
    <row r="346" spans="1:15" ht="16.149999999999999" customHeight="1">
      <c r="A346" s="108"/>
      <c r="B346" s="109"/>
      <c r="C346" s="110"/>
      <c r="D346" s="110"/>
      <c r="E346" s="110"/>
      <c r="F346" s="110"/>
      <c r="G346" s="110"/>
      <c r="H346" s="111"/>
      <c r="I346" s="110"/>
      <c r="J346" s="110"/>
      <c r="K346" s="110"/>
      <c r="L346" s="110"/>
      <c r="M346" s="112"/>
      <c r="N346" s="113"/>
    </row>
    <row r="347" spans="1:15" ht="16.149999999999999" customHeight="1">
      <c r="A347" s="115"/>
      <c r="F347" s="117"/>
      <c r="G347" s="118"/>
      <c r="H347" s="119">
        <f>기계경비산출표!$E$45*1000</f>
        <v>106118000</v>
      </c>
      <c r="I347" s="110" t="s">
        <v>972</v>
      </c>
      <c r="J347" s="158">
        <v>2338</v>
      </c>
      <c r="K347" s="118" t="s">
        <v>2974</v>
      </c>
      <c r="L347" s="121" t="s">
        <v>1582</v>
      </c>
      <c r="M347" s="112">
        <f>TRUNC(H347*J347*(10^-7))</f>
        <v>24810</v>
      </c>
      <c r="N347" s="113" t="s">
        <v>975</v>
      </c>
    </row>
    <row r="348" spans="1:15" ht="16.149999999999999" customHeight="1">
      <c r="A348" s="115"/>
      <c r="B348" s="122"/>
      <c r="C348" s="118"/>
      <c r="D348" s="33"/>
      <c r="E348" s="110"/>
      <c r="F348" s="118"/>
      <c r="G348" s="118"/>
      <c r="H348" s="123"/>
      <c r="I348" s="118"/>
      <c r="J348" s="110"/>
      <c r="K348" s="110"/>
      <c r="L348" s="110"/>
      <c r="M348" s="112"/>
      <c r="N348" s="113"/>
    </row>
    <row r="349" spans="1:15" ht="16.149999999999999" customHeight="1">
      <c r="A349" s="124"/>
      <c r="B349" s="125" t="s">
        <v>1115</v>
      </c>
      <c r="C349" s="126"/>
      <c r="D349" s="126"/>
      <c r="E349" s="126"/>
      <c r="F349" s="126"/>
      <c r="G349" s="126"/>
      <c r="H349" s="127"/>
      <c r="I349" s="126"/>
      <c r="J349" s="126"/>
      <c r="K349" s="126"/>
      <c r="L349" s="126"/>
      <c r="M349" s="128"/>
      <c r="N349" s="129"/>
    </row>
    <row r="350" spans="1:15" ht="16.149999999999999" customHeight="1">
      <c r="A350" s="130"/>
      <c r="B350" s="131" t="s">
        <v>3185</v>
      </c>
      <c r="C350" s="118"/>
      <c r="D350" s="33">
        <f>SUMIF('노임(2015)'!$B$4:$B$87,B350,'노임(2015)'!$C$4:$C$87)+SUMIF('노임(2015)'!$E$4:$E$87,B350,'노임(2015)'!$F$4:$F$87)</f>
        <v>130411</v>
      </c>
      <c r="E350" s="110" t="s">
        <v>972</v>
      </c>
      <c r="F350" s="110" t="s">
        <v>973</v>
      </c>
      <c r="G350" s="132" t="s">
        <v>974</v>
      </c>
      <c r="H350" s="111"/>
      <c r="I350" s="110"/>
      <c r="J350" s="110"/>
      <c r="K350" s="133">
        <v>1</v>
      </c>
      <c r="L350" s="118" t="s">
        <v>1582</v>
      </c>
      <c r="M350" s="112">
        <f>TRUNC(D350*(1/8)*(16/12)*(25/20)*K350)</f>
        <v>27168</v>
      </c>
      <c r="N350" s="113" t="s">
        <v>975</v>
      </c>
    </row>
    <row r="351" spans="1:15" ht="16.149999999999999" customHeight="1">
      <c r="A351" s="130"/>
      <c r="B351" s="109"/>
      <c r="C351" s="118"/>
      <c r="D351" s="33"/>
      <c r="E351" s="110"/>
      <c r="F351" s="110"/>
      <c r="G351" s="132"/>
      <c r="H351" s="111"/>
      <c r="I351" s="110"/>
      <c r="J351" s="110"/>
      <c r="K351" s="134"/>
      <c r="L351" s="118"/>
      <c r="M351" s="112"/>
      <c r="N351" s="113"/>
    </row>
    <row r="352" spans="1:15" ht="18.600000000000001" customHeight="1">
      <c r="A352" s="130"/>
      <c r="B352" s="109"/>
      <c r="C352" s="118"/>
      <c r="D352" s="33"/>
      <c r="E352" s="110"/>
      <c r="F352" s="110"/>
      <c r="G352" s="132"/>
      <c r="H352" s="111"/>
      <c r="I352" s="110"/>
      <c r="J352" s="110"/>
      <c r="K352" s="134"/>
      <c r="L352" s="118"/>
      <c r="M352" s="112"/>
      <c r="N352" s="113"/>
      <c r="O352" s="114" t="s">
        <v>3682</v>
      </c>
    </row>
    <row r="353" spans="1:15" ht="16.149999999999999" customHeight="1">
      <c r="A353" s="130"/>
      <c r="B353" s="109"/>
      <c r="C353" s="118"/>
      <c r="D353" s="110"/>
      <c r="E353" s="110"/>
      <c r="F353" s="110"/>
      <c r="G353" s="110"/>
      <c r="H353" s="111"/>
      <c r="I353" s="791"/>
      <c r="J353" s="791"/>
      <c r="K353" s="118" t="s">
        <v>1164</v>
      </c>
      <c r="L353" s="118" t="s">
        <v>1582</v>
      </c>
      <c r="M353" s="112">
        <f>TRUNC(M350+M351+M352)</f>
        <v>27168</v>
      </c>
      <c r="N353" s="113" t="s">
        <v>975</v>
      </c>
      <c r="O353" s="114" t="s">
        <v>1115</v>
      </c>
    </row>
    <row r="354" spans="1:15" ht="18.600000000000001" customHeight="1">
      <c r="A354" s="130"/>
      <c r="B354" s="109"/>
      <c r="C354" s="118"/>
      <c r="D354" s="110"/>
      <c r="E354" s="110"/>
      <c r="F354" s="110"/>
      <c r="G354" s="110"/>
      <c r="H354" s="111"/>
      <c r="I354" s="118"/>
      <c r="J354" s="118"/>
      <c r="K354" s="118"/>
      <c r="L354" s="118"/>
      <c r="M354" s="112"/>
      <c r="N354" s="113"/>
      <c r="O354" s="114" t="s">
        <v>3682</v>
      </c>
    </row>
    <row r="355" spans="1:15" ht="18.600000000000001" customHeight="1">
      <c r="A355" s="135"/>
      <c r="B355" s="136"/>
      <c r="C355" s="137"/>
      <c r="D355" s="138"/>
      <c r="E355" s="138"/>
      <c r="F355" s="138"/>
      <c r="G355" s="138"/>
      <c r="H355" s="139"/>
      <c r="I355" s="137"/>
      <c r="J355" s="137"/>
      <c r="K355" s="137"/>
      <c r="L355" s="137"/>
      <c r="M355" s="140"/>
      <c r="N355" s="141"/>
      <c r="O355" s="114" t="s">
        <v>3682</v>
      </c>
    </row>
    <row r="356" spans="1:15" ht="16.149999999999999" customHeight="1">
      <c r="A356" s="124"/>
      <c r="B356" s="125" t="s">
        <v>1116</v>
      </c>
      <c r="C356" s="142"/>
      <c r="D356" s="126"/>
      <c r="E356" s="126"/>
      <c r="F356" s="126"/>
      <c r="G356" s="126"/>
      <c r="H356" s="127"/>
      <c r="I356" s="126"/>
      <c r="J356" s="126"/>
      <c r="K356" s="126"/>
      <c r="L356" s="126"/>
      <c r="M356" s="128"/>
      <c r="N356" s="129"/>
    </row>
    <row r="357" spans="1:15" ht="16.149999999999999" customHeight="1">
      <c r="A357" s="130"/>
      <c r="B357" s="109" t="s">
        <v>598</v>
      </c>
      <c r="C357" s="118" t="s">
        <v>1526</v>
      </c>
      <c r="D357" s="118">
        <v>11.3</v>
      </c>
      <c r="E357" s="110" t="s">
        <v>456</v>
      </c>
      <c r="F357" s="118" t="s">
        <v>972</v>
      </c>
      <c r="G357" s="110"/>
      <c r="H357" s="123">
        <f>중기기준!$G$35</f>
        <v>1114.9000000000001</v>
      </c>
      <c r="I357" s="110" t="s">
        <v>975</v>
      </c>
      <c r="J357" s="110"/>
      <c r="K357" s="110"/>
      <c r="L357" s="118" t="s">
        <v>1582</v>
      </c>
      <c r="M357" s="112">
        <f>TRUNC(D357*H357,2)</f>
        <v>12598.37</v>
      </c>
      <c r="N357" s="113" t="s">
        <v>975</v>
      </c>
    </row>
    <row r="358" spans="1:15" ht="16.149999999999999" customHeight="1">
      <c r="A358" s="130"/>
      <c r="B358" s="109" t="s">
        <v>1556</v>
      </c>
      <c r="C358" s="118" t="s">
        <v>1526</v>
      </c>
      <c r="D358" s="145">
        <v>0.21</v>
      </c>
      <c r="E358" s="110"/>
      <c r="F358" s="118" t="s">
        <v>972</v>
      </c>
      <c r="G358" s="110"/>
      <c r="H358" s="123">
        <f>M357</f>
        <v>12598.37</v>
      </c>
      <c r="I358" s="110" t="s">
        <v>975</v>
      </c>
      <c r="J358" s="110"/>
      <c r="K358" s="110"/>
      <c r="L358" s="118" t="s">
        <v>1582</v>
      </c>
      <c r="M358" s="112">
        <f>TRUNC(D358*H358,2)</f>
        <v>2645.65</v>
      </c>
      <c r="N358" s="113" t="s">
        <v>975</v>
      </c>
    </row>
    <row r="359" spans="1:15" ht="16.149999999999999" customHeight="1">
      <c r="A359" s="130"/>
      <c r="B359" s="109"/>
      <c r="C359" s="110"/>
      <c r="D359" s="110"/>
      <c r="E359" s="110"/>
      <c r="F359" s="110"/>
      <c r="G359" s="110"/>
      <c r="H359" s="111"/>
      <c r="I359" s="110"/>
      <c r="J359" s="110"/>
      <c r="K359" s="118" t="s">
        <v>1164</v>
      </c>
      <c r="L359" s="118" t="s">
        <v>1582</v>
      </c>
      <c r="M359" s="112">
        <f>TRUNC(SUM(M357:M358))</f>
        <v>15244</v>
      </c>
      <c r="N359" s="113" t="s">
        <v>975</v>
      </c>
    </row>
    <row r="360" spans="1:15" ht="18.600000000000001" customHeight="1">
      <c r="A360" s="135"/>
      <c r="B360" s="136"/>
      <c r="C360" s="138"/>
      <c r="D360" s="138"/>
      <c r="E360" s="138"/>
      <c r="F360" s="138"/>
      <c r="G360" s="138"/>
      <c r="H360" s="139"/>
      <c r="I360" s="138"/>
      <c r="J360" s="138"/>
      <c r="K360" s="137"/>
      <c r="L360" s="137"/>
      <c r="M360" s="140"/>
      <c r="N360" s="141"/>
      <c r="O360" s="114" t="s">
        <v>3682</v>
      </c>
    </row>
    <row r="361" spans="1:15" s="152" customFormat="1" ht="16.149999999999999" customHeight="1">
      <c r="A361" s="146"/>
      <c r="B361" s="147"/>
      <c r="C361" s="148"/>
      <c r="D361" s="148"/>
      <c r="E361" s="148"/>
      <c r="F361" s="148"/>
      <c r="G361" s="148"/>
      <c r="H361" s="149"/>
      <c r="I361" s="148"/>
      <c r="J361" s="148"/>
      <c r="K361" s="148" t="s">
        <v>1118</v>
      </c>
      <c r="L361" s="148" t="s">
        <v>1582</v>
      </c>
      <c r="M361" s="150">
        <f>M347+M353+M359</f>
        <v>67222</v>
      </c>
      <c r="N361" s="151"/>
    </row>
    <row r="362" spans="1:15" ht="16.149999999999999" customHeight="1">
      <c r="A362" s="155"/>
      <c r="B362" s="136"/>
      <c r="C362" s="155"/>
      <c r="D362" s="155"/>
      <c r="E362" s="155"/>
      <c r="F362" s="155"/>
      <c r="G362" s="155"/>
      <c r="H362" s="156"/>
      <c r="I362" s="155"/>
      <c r="J362" s="155"/>
      <c r="K362" s="155"/>
      <c r="L362" s="155"/>
      <c r="M362" s="140"/>
      <c r="N362" s="137"/>
    </row>
    <row r="363" spans="1:15" s="107" customFormat="1" ht="16.149999999999999" customHeight="1">
      <c r="A363" s="451">
        <f>A344+1</f>
        <v>20</v>
      </c>
      <c r="B363" s="99" t="s">
        <v>1100</v>
      </c>
      <c r="C363" s="100" t="s">
        <v>1526</v>
      </c>
      <c r="D363" s="101" t="s">
        <v>1387</v>
      </c>
      <c r="E363" s="102"/>
      <c r="F363" s="102"/>
      <c r="G363" s="100"/>
      <c r="H363" s="103" t="s">
        <v>1527</v>
      </c>
      <c r="I363" s="100" t="s">
        <v>1526</v>
      </c>
      <c r="J363" s="102" t="s">
        <v>609</v>
      </c>
      <c r="K363" s="104" t="s">
        <v>847</v>
      </c>
      <c r="L363" s="100" t="s">
        <v>1526</v>
      </c>
      <c r="M363" s="105" t="s">
        <v>610</v>
      </c>
      <c r="N363" s="106"/>
    </row>
    <row r="364" spans="1:15" ht="16.149999999999999" customHeight="1">
      <c r="A364" s="108"/>
      <c r="B364" s="109" t="s">
        <v>588</v>
      </c>
      <c r="C364" s="110" t="s">
        <v>1582</v>
      </c>
      <c r="D364" s="110" t="s">
        <v>589</v>
      </c>
      <c r="E364" s="110" t="s">
        <v>86</v>
      </c>
      <c r="F364" s="110" t="s">
        <v>590</v>
      </c>
      <c r="G364" s="110" t="s">
        <v>86</v>
      </c>
      <c r="H364" s="111" t="s">
        <v>2973</v>
      </c>
      <c r="I364" s="110"/>
      <c r="J364" s="110"/>
      <c r="K364" s="110"/>
      <c r="L364" s="110"/>
      <c r="M364" s="112"/>
      <c r="N364" s="113"/>
    </row>
    <row r="365" spans="1:15" ht="16.149999999999999" customHeight="1">
      <c r="A365" s="108"/>
      <c r="B365" s="109"/>
      <c r="C365" s="110"/>
      <c r="D365" s="110"/>
      <c r="E365" s="110"/>
      <c r="F365" s="110"/>
      <c r="G365" s="110"/>
      <c r="H365" s="111"/>
      <c r="I365" s="110"/>
      <c r="J365" s="110"/>
      <c r="K365" s="110"/>
      <c r="L365" s="110"/>
      <c r="M365" s="112"/>
      <c r="N365" s="113"/>
    </row>
    <row r="366" spans="1:15" ht="16.149999999999999" customHeight="1">
      <c r="A366" s="115"/>
      <c r="F366" s="117"/>
      <c r="G366" s="118"/>
      <c r="H366" s="119">
        <f>기계경비산출표!$E$47*1000</f>
        <v>130115000</v>
      </c>
      <c r="I366" s="110" t="s">
        <v>972</v>
      </c>
      <c r="J366" s="158">
        <v>2338</v>
      </c>
      <c r="K366" s="118" t="s">
        <v>2974</v>
      </c>
      <c r="L366" s="121" t="s">
        <v>1582</v>
      </c>
      <c r="M366" s="112">
        <f>TRUNC(H366*J366*(10^-7))</f>
        <v>30420</v>
      </c>
      <c r="N366" s="113" t="s">
        <v>975</v>
      </c>
    </row>
    <row r="367" spans="1:15" ht="16.149999999999999" customHeight="1">
      <c r="A367" s="115"/>
      <c r="B367" s="122"/>
      <c r="C367" s="118"/>
      <c r="D367" s="33"/>
      <c r="E367" s="110"/>
      <c r="F367" s="118"/>
      <c r="G367" s="118"/>
      <c r="H367" s="123"/>
      <c r="I367" s="118"/>
      <c r="J367" s="110"/>
      <c r="K367" s="110"/>
      <c r="L367" s="110"/>
      <c r="M367" s="112"/>
      <c r="N367" s="113"/>
    </row>
    <row r="368" spans="1:15" ht="16.149999999999999" customHeight="1">
      <c r="A368" s="124"/>
      <c r="B368" s="125" t="s">
        <v>1115</v>
      </c>
      <c r="C368" s="126"/>
      <c r="D368" s="126"/>
      <c r="E368" s="126"/>
      <c r="F368" s="126"/>
      <c r="G368" s="126"/>
      <c r="H368" s="127"/>
      <c r="I368" s="126"/>
      <c r="J368" s="126"/>
      <c r="K368" s="126"/>
      <c r="L368" s="126"/>
      <c r="M368" s="128"/>
      <c r="N368" s="129"/>
    </row>
    <row r="369" spans="1:15" ht="16.149999999999999" customHeight="1">
      <c r="A369" s="130"/>
      <c r="B369" s="131" t="s">
        <v>3185</v>
      </c>
      <c r="C369" s="118"/>
      <c r="D369" s="33">
        <f>SUMIF('노임(2015)'!$B$4:$B$87,B369,'노임(2015)'!$C$4:$C$87)+SUMIF('노임(2015)'!$E$4:$E$87,B369,'노임(2015)'!$F$4:$F$87)</f>
        <v>130411</v>
      </c>
      <c r="E369" s="110" t="s">
        <v>972</v>
      </c>
      <c r="F369" s="110" t="s">
        <v>973</v>
      </c>
      <c r="G369" s="132" t="s">
        <v>974</v>
      </c>
      <c r="H369" s="111"/>
      <c r="I369" s="110"/>
      <c r="J369" s="110"/>
      <c r="K369" s="133">
        <v>1</v>
      </c>
      <c r="L369" s="118" t="s">
        <v>1582</v>
      </c>
      <c r="M369" s="112">
        <f>TRUNC(D369*(1/8)*(16/12)*(25/20)*K369)</f>
        <v>27168</v>
      </c>
      <c r="N369" s="113" t="s">
        <v>975</v>
      </c>
    </row>
    <row r="370" spans="1:15" ht="16.149999999999999" customHeight="1">
      <c r="A370" s="130"/>
      <c r="B370" s="109"/>
      <c r="C370" s="118"/>
      <c r="D370" s="33"/>
      <c r="E370" s="110"/>
      <c r="F370" s="110"/>
      <c r="G370" s="132"/>
      <c r="H370" s="111"/>
      <c r="I370" s="110"/>
      <c r="J370" s="110"/>
      <c r="K370" s="134"/>
      <c r="L370" s="118"/>
      <c r="M370" s="112"/>
      <c r="N370" s="113"/>
    </row>
    <row r="371" spans="1:15" ht="18.600000000000001" customHeight="1">
      <c r="A371" s="130"/>
      <c r="B371" s="109"/>
      <c r="C371" s="118"/>
      <c r="D371" s="33"/>
      <c r="E371" s="110"/>
      <c r="F371" s="110"/>
      <c r="G371" s="132"/>
      <c r="H371" s="111"/>
      <c r="I371" s="110"/>
      <c r="J371" s="110"/>
      <c r="K371" s="134"/>
      <c r="L371" s="118"/>
      <c r="M371" s="112"/>
      <c r="N371" s="113"/>
      <c r="O371" s="114" t="s">
        <v>3682</v>
      </c>
    </row>
    <row r="372" spans="1:15" ht="16.149999999999999" customHeight="1">
      <c r="A372" s="130"/>
      <c r="B372" s="109"/>
      <c r="C372" s="118"/>
      <c r="D372" s="110"/>
      <c r="E372" s="110"/>
      <c r="F372" s="110"/>
      <c r="G372" s="110"/>
      <c r="H372" s="111"/>
      <c r="I372" s="791"/>
      <c r="J372" s="791"/>
      <c r="K372" s="118" t="s">
        <v>1164</v>
      </c>
      <c r="L372" s="118" t="s">
        <v>1582</v>
      </c>
      <c r="M372" s="112">
        <f>TRUNC(M369+M370+M371)</f>
        <v>27168</v>
      </c>
      <c r="N372" s="113" t="s">
        <v>975</v>
      </c>
      <c r="O372" s="114" t="s">
        <v>1115</v>
      </c>
    </row>
    <row r="373" spans="1:15" ht="18.600000000000001" customHeight="1">
      <c r="A373" s="130"/>
      <c r="B373" s="109"/>
      <c r="C373" s="118"/>
      <c r="D373" s="110"/>
      <c r="E373" s="110"/>
      <c r="F373" s="110"/>
      <c r="G373" s="110"/>
      <c r="H373" s="111"/>
      <c r="I373" s="118"/>
      <c r="J373" s="118"/>
      <c r="K373" s="118"/>
      <c r="L373" s="118"/>
      <c r="M373" s="112"/>
      <c r="N373" s="113"/>
      <c r="O373" s="114" t="s">
        <v>3682</v>
      </c>
    </row>
    <row r="374" spans="1:15" ht="18.600000000000001" customHeight="1">
      <c r="A374" s="135"/>
      <c r="B374" s="136"/>
      <c r="C374" s="137"/>
      <c r="D374" s="138"/>
      <c r="E374" s="138"/>
      <c r="F374" s="138"/>
      <c r="G374" s="138"/>
      <c r="H374" s="139"/>
      <c r="I374" s="137"/>
      <c r="J374" s="137"/>
      <c r="K374" s="137"/>
      <c r="L374" s="137"/>
      <c r="M374" s="140"/>
      <c r="N374" s="141"/>
      <c r="O374" s="114" t="s">
        <v>3682</v>
      </c>
    </row>
    <row r="375" spans="1:15" ht="16.149999999999999" customHeight="1">
      <c r="A375" s="124"/>
      <c r="B375" s="125" t="s">
        <v>1116</v>
      </c>
      <c r="C375" s="142"/>
      <c r="D375" s="126"/>
      <c r="E375" s="126"/>
      <c r="F375" s="126"/>
      <c r="G375" s="126"/>
      <c r="H375" s="127"/>
      <c r="I375" s="126"/>
      <c r="J375" s="126"/>
      <c r="K375" s="126"/>
      <c r="L375" s="126"/>
      <c r="M375" s="128"/>
      <c r="N375" s="129"/>
    </row>
    <row r="376" spans="1:15" ht="16.149999999999999" customHeight="1">
      <c r="A376" s="130"/>
      <c r="B376" s="109" t="s">
        <v>598</v>
      </c>
      <c r="C376" s="118" t="s">
        <v>1526</v>
      </c>
      <c r="D376" s="118">
        <v>14.6</v>
      </c>
      <c r="E376" s="110" t="s">
        <v>456</v>
      </c>
      <c r="F376" s="118" t="s">
        <v>972</v>
      </c>
      <c r="G376" s="110"/>
      <c r="H376" s="123">
        <f>중기기준!$G$35</f>
        <v>1114.9000000000001</v>
      </c>
      <c r="I376" s="110" t="s">
        <v>975</v>
      </c>
      <c r="J376" s="110"/>
      <c r="K376" s="110"/>
      <c r="L376" s="118" t="s">
        <v>1582</v>
      </c>
      <c r="M376" s="112">
        <f>TRUNC(D376*H376,2)</f>
        <v>16277.54</v>
      </c>
      <c r="N376" s="113" t="s">
        <v>975</v>
      </c>
    </row>
    <row r="377" spans="1:15" ht="16.149999999999999" customHeight="1">
      <c r="A377" s="130"/>
      <c r="B377" s="109" t="s">
        <v>1556</v>
      </c>
      <c r="C377" s="118" t="s">
        <v>1526</v>
      </c>
      <c r="D377" s="145">
        <v>0.21</v>
      </c>
      <c r="E377" s="110"/>
      <c r="F377" s="118" t="s">
        <v>972</v>
      </c>
      <c r="G377" s="110"/>
      <c r="H377" s="123">
        <f>M376</f>
        <v>16277.54</v>
      </c>
      <c r="I377" s="110" t="s">
        <v>975</v>
      </c>
      <c r="J377" s="110"/>
      <c r="K377" s="110"/>
      <c r="L377" s="118" t="s">
        <v>1582</v>
      </c>
      <c r="M377" s="112">
        <f>TRUNC(D377*H377,2)</f>
        <v>3418.28</v>
      </c>
      <c r="N377" s="113" t="s">
        <v>975</v>
      </c>
    </row>
    <row r="378" spans="1:15" ht="16.149999999999999" customHeight="1">
      <c r="A378" s="130"/>
      <c r="B378" s="109"/>
      <c r="C378" s="110"/>
      <c r="D378" s="110"/>
      <c r="E378" s="110"/>
      <c r="F378" s="110"/>
      <c r="G378" s="110"/>
      <c r="H378" s="111"/>
      <c r="I378" s="110"/>
      <c r="J378" s="110"/>
      <c r="K378" s="118" t="s">
        <v>1164</v>
      </c>
      <c r="L378" s="118" t="s">
        <v>1582</v>
      </c>
      <c r="M378" s="112">
        <f>TRUNC(SUM(M376:M377))</f>
        <v>19695</v>
      </c>
      <c r="N378" s="113" t="s">
        <v>975</v>
      </c>
    </row>
    <row r="379" spans="1:15" ht="18.600000000000001" customHeight="1">
      <c r="A379" s="135"/>
      <c r="B379" s="136"/>
      <c r="C379" s="138"/>
      <c r="D379" s="138"/>
      <c r="E379" s="138"/>
      <c r="F379" s="138"/>
      <c r="G379" s="138"/>
      <c r="H379" s="139"/>
      <c r="I379" s="138"/>
      <c r="J379" s="138"/>
      <c r="K379" s="137"/>
      <c r="L379" s="137"/>
      <c r="M379" s="140"/>
      <c r="N379" s="141"/>
      <c r="O379" s="114" t="s">
        <v>3682</v>
      </c>
    </row>
    <row r="380" spans="1:15" s="152" customFormat="1" ht="16.149999999999999" customHeight="1">
      <c r="A380" s="146"/>
      <c r="B380" s="147"/>
      <c r="C380" s="148"/>
      <c r="D380" s="148"/>
      <c r="E380" s="148"/>
      <c r="F380" s="148"/>
      <c r="G380" s="148"/>
      <c r="H380" s="149"/>
      <c r="I380" s="148"/>
      <c r="J380" s="148"/>
      <c r="K380" s="148" t="s">
        <v>1118</v>
      </c>
      <c r="L380" s="148" t="s">
        <v>1582</v>
      </c>
      <c r="M380" s="150">
        <f>M366+M372+M378</f>
        <v>77283</v>
      </c>
      <c r="N380" s="151"/>
    </row>
    <row r="381" spans="1:15" s="152" customFormat="1" ht="16.149999999999999" customHeight="1">
      <c r="A381" s="169"/>
      <c r="B381" s="163"/>
      <c r="C381" s="169"/>
      <c r="D381" s="169"/>
      <c r="E381" s="169"/>
      <c r="F381" s="169"/>
      <c r="G381" s="169"/>
      <c r="H381" s="170"/>
      <c r="I381" s="169"/>
      <c r="J381" s="169"/>
      <c r="K381" s="169"/>
      <c r="L381" s="169"/>
      <c r="M381" s="166"/>
      <c r="N381" s="165"/>
      <c r="O381" s="114"/>
    </row>
    <row r="382" spans="1:15" s="107" customFormat="1" ht="16.149999999999999" customHeight="1">
      <c r="A382" s="451">
        <f>A363+1</f>
        <v>21</v>
      </c>
      <c r="B382" s="99" t="s">
        <v>1100</v>
      </c>
      <c r="C382" s="100" t="s">
        <v>1526</v>
      </c>
      <c r="D382" s="101" t="s">
        <v>1388</v>
      </c>
      <c r="E382" s="102"/>
      <c r="F382" s="102"/>
      <c r="G382" s="100"/>
      <c r="H382" s="103" t="s">
        <v>1527</v>
      </c>
      <c r="I382" s="100" t="s">
        <v>1526</v>
      </c>
      <c r="J382" s="167" t="s">
        <v>611</v>
      </c>
      <c r="K382" s="104" t="s">
        <v>847</v>
      </c>
      <c r="L382" s="100" t="s">
        <v>1526</v>
      </c>
      <c r="M382" s="105" t="s">
        <v>507</v>
      </c>
      <c r="N382" s="106"/>
    </row>
    <row r="383" spans="1:15" ht="16.149999999999999" customHeight="1">
      <c r="A383" s="108"/>
      <c r="B383" s="109" t="s">
        <v>588</v>
      </c>
      <c r="C383" s="110" t="s">
        <v>1582</v>
      </c>
      <c r="D383" s="110" t="s">
        <v>589</v>
      </c>
      <c r="E383" s="110" t="s">
        <v>86</v>
      </c>
      <c r="F383" s="110" t="s">
        <v>590</v>
      </c>
      <c r="G383" s="110" t="s">
        <v>86</v>
      </c>
      <c r="H383" s="111" t="s">
        <v>2973</v>
      </c>
      <c r="I383" s="110"/>
      <c r="J383" s="110"/>
      <c r="K383" s="110"/>
      <c r="L383" s="110"/>
      <c r="M383" s="112"/>
      <c r="N383" s="113"/>
    </row>
    <row r="384" spans="1:15" ht="16.149999999999999" customHeight="1">
      <c r="A384" s="108"/>
      <c r="B384" s="109"/>
      <c r="C384" s="110"/>
      <c r="D384" s="110"/>
      <c r="E384" s="110"/>
      <c r="F384" s="110"/>
      <c r="G384" s="110"/>
      <c r="H384" s="111"/>
      <c r="I384" s="110"/>
      <c r="J384" s="791"/>
      <c r="K384" s="791"/>
      <c r="L384" s="110"/>
      <c r="M384" s="112"/>
      <c r="N384" s="113"/>
    </row>
    <row r="385" spans="1:15" ht="16.149999999999999" customHeight="1">
      <c r="A385" s="115"/>
      <c r="F385" s="117"/>
      <c r="G385" s="118"/>
      <c r="H385" s="119">
        <f>기계경비산출표!$E$49*1000</f>
        <v>28300000</v>
      </c>
      <c r="I385" s="110" t="s">
        <v>972</v>
      </c>
      <c r="J385" s="158">
        <v>2038</v>
      </c>
      <c r="K385" s="118" t="s">
        <v>2974</v>
      </c>
      <c r="L385" s="121" t="s">
        <v>1582</v>
      </c>
      <c r="M385" s="112">
        <f>TRUNC(H385*J385*(10^-7))</f>
        <v>5767</v>
      </c>
      <c r="N385" s="113" t="s">
        <v>975</v>
      </c>
    </row>
    <row r="386" spans="1:15" ht="16.149999999999999" customHeight="1">
      <c r="A386" s="115"/>
      <c r="B386" s="122"/>
      <c r="C386" s="118"/>
      <c r="D386" s="33"/>
      <c r="E386" s="110"/>
      <c r="F386" s="118"/>
      <c r="G386" s="118"/>
      <c r="H386" s="123"/>
      <c r="I386" s="118"/>
      <c r="J386" s="110"/>
      <c r="K386" s="110"/>
      <c r="L386" s="110"/>
      <c r="M386" s="112"/>
      <c r="N386" s="113"/>
    </row>
    <row r="387" spans="1:15" ht="16.149999999999999" customHeight="1">
      <c r="A387" s="124"/>
      <c r="B387" s="125" t="s">
        <v>1115</v>
      </c>
      <c r="C387" s="126"/>
      <c r="D387" s="126"/>
      <c r="E387" s="126"/>
      <c r="F387" s="126"/>
      <c r="G387" s="126"/>
      <c r="H387" s="127"/>
      <c r="I387" s="126"/>
      <c r="J387" s="126"/>
      <c r="K387" s="126"/>
      <c r="L387" s="126"/>
      <c r="M387" s="128"/>
      <c r="N387" s="129"/>
    </row>
    <row r="388" spans="1:15" ht="16.149999999999999" customHeight="1">
      <c r="A388" s="130"/>
      <c r="B388" s="131" t="s">
        <v>3185</v>
      </c>
      <c r="C388" s="118"/>
      <c r="D388" s="33">
        <f>SUMIF('노임(2015)'!$B$4:$B$87,B388,'노임(2015)'!$C$4:$C$87)+SUMIF('노임(2015)'!$E$4:$E$87,B388,'노임(2015)'!$F$4:$F$87)</f>
        <v>130411</v>
      </c>
      <c r="E388" s="110" t="s">
        <v>972</v>
      </c>
      <c r="F388" s="110" t="s">
        <v>973</v>
      </c>
      <c r="G388" s="132" t="s">
        <v>974</v>
      </c>
      <c r="H388" s="111"/>
      <c r="I388" s="110"/>
      <c r="J388" s="110"/>
      <c r="K388" s="133">
        <v>1</v>
      </c>
      <c r="L388" s="118" t="s">
        <v>1582</v>
      </c>
      <c r="M388" s="112">
        <f>TRUNC(D388*(1/8)*(16/12)*(25/20)*K388)</f>
        <v>27168</v>
      </c>
      <c r="N388" s="113" t="s">
        <v>975</v>
      </c>
    </row>
    <row r="389" spans="1:15" ht="16.149999999999999" customHeight="1">
      <c r="A389" s="130"/>
      <c r="B389" s="109"/>
      <c r="C389" s="118"/>
      <c r="D389" s="33"/>
      <c r="E389" s="110"/>
      <c r="F389" s="110"/>
      <c r="G389" s="132"/>
      <c r="H389" s="111"/>
      <c r="I389" s="110"/>
      <c r="J389" s="110"/>
      <c r="K389" s="134"/>
      <c r="L389" s="118"/>
      <c r="M389" s="112"/>
      <c r="N389" s="113"/>
    </row>
    <row r="390" spans="1:15" ht="18.600000000000001" customHeight="1">
      <c r="A390" s="130"/>
      <c r="B390" s="109"/>
      <c r="C390" s="118"/>
      <c r="D390" s="33"/>
      <c r="E390" s="110"/>
      <c r="F390" s="110"/>
      <c r="G390" s="132"/>
      <c r="H390" s="111"/>
      <c r="I390" s="110"/>
      <c r="J390" s="110"/>
      <c r="K390" s="134"/>
      <c r="L390" s="118"/>
      <c r="M390" s="112"/>
      <c r="N390" s="113"/>
      <c r="O390" s="114" t="s">
        <v>3682</v>
      </c>
    </row>
    <row r="391" spans="1:15" ht="16.149999999999999" customHeight="1">
      <c r="A391" s="130"/>
      <c r="B391" s="109"/>
      <c r="C391" s="118"/>
      <c r="D391" s="110"/>
      <c r="E391" s="110"/>
      <c r="F391" s="110"/>
      <c r="G391" s="110"/>
      <c r="H391" s="111"/>
      <c r="I391" s="791"/>
      <c r="J391" s="791"/>
      <c r="K391" s="118" t="s">
        <v>1164</v>
      </c>
      <c r="L391" s="118" t="s">
        <v>1582</v>
      </c>
      <c r="M391" s="112">
        <f>TRUNC(M388+M389+M390)</f>
        <v>27168</v>
      </c>
      <c r="N391" s="113" t="s">
        <v>975</v>
      </c>
      <c r="O391" s="114" t="s">
        <v>1115</v>
      </c>
    </row>
    <row r="392" spans="1:15" ht="18.600000000000001" customHeight="1">
      <c r="A392" s="130"/>
      <c r="B392" s="109"/>
      <c r="C392" s="118"/>
      <c r="D392" s="110"/>
      <c r="E392" s="110"/>
      <c r="F392" s="110"/>
      <c r="G392" s="110"/>
      <c r="H392" s="111"/>
      <c r="I392" s="118"/>
      <c r="J392" s="118"/>
      <c r="K392" s="118"/>
      <c r="L392" s="118"/>
      <c r="M392" s="112"/>
      <c r="N392" s="113"/>
      <c r="O392" s="114" t="s">
        <v>3682</v>
      </c>
    </row>
    <row r="393" spans="1:15" ht="18.600000000000001" customHeight="1">
      <c r="A393" s="135"/>
      <c r="B393" s="136"/>
      <c r="C393" s="137"/>
      <c r="D393" s="138"/>
      <c r="E393" s="138"/>
      <c r="F393" s="138"/>
      <c r="G393" s="138"/>
      <c r="H393" s="139"/>
      <c r="I393" s="137"/>
      <c r="J393" s="137"/>
      <c r="K393" s="137"/>
      <c r="L393" s="137"/>
      <c r="M393" s="140"/>
      <c r="N393" s="141"/>
      <c r="O393" s="114" t="s">
        <v>3682</v>
      </c>
    </row>
    <row r="394" spans="1:15" ht="16.149999999999999" customHeight="1">
      <c r="A394" s="124"/>
      <c r="B394" s="125" t="s">
        <v>1116</v>
      </c>
      <c r="C394" s="142"/>
      <c r="D394" s="126"/>
      <c r="E394" s="126"/>
      <c r="F394" s="126"/>
      <c r="G394" s="126"/>
      <c r="H394" s="127"/>
      <c r="I394" s="126"/>
      <c r="J394" s="126"/>
      <c r="K394" s="126"/>
      <c r="L394" s="126"/>
      <c r="M394" s="128"/>
      <c r="N394" s="129"/>
    </row>
    <row r="395" spans="1:15" ht="16.149999999999999" customHeight="1">
      <c r="A395" s="130"/>
      <c r="B395" s="109" t="s">
        <v>598</v>
      </c>
      <c r="C395" s="118" t="s">
        <v>1526</v>
      </c>
      <c r="D395" s="118">
        <v>3.5</v>
      </c>
      <c r="E395" s="110" t="s">
        <v>456</v>
      </c>
      <c r="F395" s="118" t="s">
        <v>972</v>
      </c>
      <c r="G395" s="110"/>
      <c r="H395" s="123">
        <f>중기기준!$G$35</f>
        <v>1114.9000000000001</v>
      </c>
      <c r="I395" s="110" t="s">
        <v>975</v>
      </c>
      <c r="J395" s="110"/>
      <c r="K395" s="110"/>
      <c r="L395" s="118" t="s">
        <v>1582</v>
      </c>
      <c r="M395" s="112">
        <f>TRUNC(D395*H395,2)</f>
        <v>3902.15</v>
      </c>
      <c r="N395" s="113" t="s">
        <v>975</v>
      </c>
    </row>
    <row r="396" spans="1:15" ht="16.149999999999999" customHeight="1">
      <c r="A396" s="130"/>
      <c r="B396" s="109" t="s">
        <v>1556</v>
      </c>
      <c r="C396" s="118" t="s">
        <v>1526</v>
      </c>
      <c r="D396" s="145">
        <v>0.44</v>
      </c>
      <c r="E396" s="110"/>
      <c r="F396" s="118" t="s">
        <v>972</v>
      </c>
      <c r="G396" s="110"/>
      <c r="H396" s="123">
        <f>M395</f>
        <v>3902.15</v>
      </c>
      <c r="I396" s="110" t="s">
        <v>975</v>
      </c>
      <c r="J396" s="110"/>
      <c r="K396" s="110"/>
      <c r="L396" s="118" t="s">
        <v>1582</v>
      </c>
      <c r="M396" s="112">
        <f>TRUNC(D396*H396,2)</f>
        <v>1716.94</v>
      </c>
      <c r="N396" s="113" t="s">
        <v>975</v>
      </c>
    </row>
    <row r="397" spans="1:15" ht="16.149999999999999" customHeight="1">
      <c r="A397" s="130"/>
      <c r="B397" s="109"/>
      <c r="C397" s="110"/>
      <c r="D397" s="110"/>
      <c r="E397" s="110"/>
      <c r="F397" s="110"/>
      <c r="G397" s="110"/>
      <c r="H397" s="111"/>
      <c r="I397" s="110"/>
      <c r="J397" s="110"/>
      <c r="K397" s="118" t="s">
        <v>1164</v>
      </c>
      <c r="L397" s="118" t="s">
        <v>1582</v>
      </c>
      <c r="M397" s="112">
        <f>TRUNC(SUM(M395:M396))</f>
        <v>5619</v>
      </c>
      <c r="N397" s="113" t="s">
        <v>975</v>
      </c>
    </row>
    <row r="398" spans="1:15" ht="18.600000000000001" customHeight="1">
      <c r="A398" s="135"/>
      <c r="B398" s="136"/>
      <c r="C398" s="138"/>
      <c r="D398" s="138"/>
      <c r="E398" s="138"/>
      <c r="F398" s="138"/>
      <c r="G398" s="138"/>
      <c r="H398" s="139"/>
      <c r="I398" s="138"/>
      <c r="J398" s="138"/>
      <c r="K398" s="137"/>
      <c r="L398" s="137"/>
      <c r="M398" s="140"/>
      <c r="N398" s="141"/>
      <c r="O398" s="114" t="s">
        <v>3682</v>
      </c>
    </row>
    <row r="399" spans="1:15" s="152" customFormat="1" ht="16.149999999999999" customHeight="1">
      <c r="A399" s="146"/>
      <c r="B399" s="147"/>
      <c r="C399" s="148"/>
      <c r="D399" s="148"/>
      <c r="E399" s="148"/>
      <c r="F399" s="148"/>
      <c r="G399" s="148"/>
      <c r="H399" s="149"/>
      <c r="I399" s="148"/>
      <c r="J399" s="148"/>
      <c r="K399" s="148" t="s">
        <v>1118</v>
      </c>
      <c r="L399" s="148" t="s">
        <v>1582</v>
      </c>
      <c r="M399" s="150">
        <f>M385+M391+M397</f>
        <v>38554</v>
      </c>
      <c r="N399" s="151"/>
    </row>
    <row r="400" spans="1:15" ht="16.149999999999999" customHeight="1">
      <c r="A400" s="155"/>
      <c r="B400" s="136"/>
      <c r="C400" s="155"/>
      <c r="D400" s="155"/>
      <c r="E400" s="155"/>
      <c r="F400" s="155"/>
      <c r="G400" s="155"/>
      <c r="H400" s="156"/>
      <c r="I400" s="155"/>
      <c r="J400" s="155"/>
      <c r="K400" s="155"/>
      <c r="L400" s="155"/>
      <c r="M400" s="140"/>
      <c r="N400" s="137"/>
    </row>
    <row r="401" spans="1:15" s="107" customFormat="1" ht="16.149999999999999" customHeight="1">
      <c r="A401" s="451">
        <f>A382+1</f>
        <v>22</v>
      </c>
      <c r="B401" s="99" t="s">
        <v>1100</v>
      </c>
      <c r="C401" s="100" t="s">
        <v>1526</v>
      </c>
      <c r="D401" s="101" t="s">
        <v>1388</v>
      </c>
      <c r="E401" s="102"/>
      <c r="F401" s="102"/>
      <c r="G401" s="100"/>
      <c r="H401" s="103" t="s">
        <v>1527</v>
      </c>
      <c r="I401" s="100" t="s">
        <v>1526</v>
      </c>
      <c r="J401" s="167" t="s">
        <v>607</v>
      </c>
      <c r="K401" s="104" t="s">
        <v>847</v>
      </c>
      <c r="L401" s="100" t="s">
        <v>1526</v>
      </c>
      <c r="M401" s="105" t="s">
        <v>508</v>
      </c>
      <c r="N401" s="106"/>
    </row>
    <row r="402" spans="1:15" ht="16.149999999999999" customHeight="1">
      <c r="A402" s="108"/>
      <c r="B402" s="109" t="s">
        <v>588</v>
      </c>
      <c r="C402" s="110" t="s">
        <v>1582</v>
      </c>
      <c r="D402" s="110" t="s">
        <v>589</v>
      </c>
      <c r="E402" s="110" t="s">
        <v>86</v>
      </c>
      <c r="F402" s="110" t="s">
        <v>590</v>
      </c>
      <c r="G402" s="110" t="s">
        <v>86</v>
      </c>
      <c r="H402" s="111" t="s">
        <v>2973</v>
      </c>
      <c r="I402" s="110"/>
      <c r="J402" s="110"/>
      <c r="K402" s="110"/>
      <c r="L402" s="110"/>
      <c r="M402" s="112"/>
      <c r="N402" s="113"/>
    </row>
    <row r="403" spans="1:15" ht="16.149999999999999" customHeight="1">
      <c r="A403" s="108"/>
      <c r="B403" s="109"/>
      <c r="C403" s="110"/>
      <c r="D403" s="110"/>
      <c r="E403" s="110"/>
      <c r="F403" s="110"/>
      <c r="G403" s="110"/>
      <c r="H403" s="111"/>
      <c r="I403" s="110"/>
      <c r="J403" s="110"/>
      <c r="K403" s="110"/>
      <c r="L403" s="110"/>
      <c r="M403" s="112"/>
      <c r="N403" s="113"/>
    </row>
    <row r="404" spans="1:15" ht="16.149999999999999" customHeight="1">
      <c r="A404" s="115"/>
      <c r="F404" s="117"/>
      <c r="G404" s="118"/>
      <c r="H404" s="119">
        <f>기계경비산출표!$E$51*1000</f>
        <v>74680000</v>
      </c>
      <c r="I404" s="110" t="s">
        <v>972</v>
      </c>
      <c r="J404" s="158">
        <v>2038</v>
      </c>
      <c r="K404" s="118" t="s">
        <v>2974</v>
      </c>
      <c r="L404" s="121" t="s">
        <v>1582</v>
      </c>
      <c r="M404" s="112">
        <f>TRUNC(H404*J404*(10^-7))</f>
        <v>15219</v>
      </c>
      <c r="N404" s="113" t="s">
        <v>975</v>
      </c>
    </row>
    <row r="405" spans="1:15" ht="16.149999999999999" customHeight="1">
      <c r="A405" s="115"/>
      <c r="B405" s="122"/>
      <c r="C405" s="118"/>
      <c r="D405" s="33"/>
      <c r="E405" s="110"/>
      <c r="F405" s="118"/>
      <c r="G405" s="118"/>
      <c r="H405" s="123"/>
      <c r="I405" s="118"/>
      <c r="J405" s="110"/>
      <c r="K405" s="110"/>
      <c r="L405" s="110"/>
      <c r="M405" s="112"/>
      <c r="N405" s="113"/>
    </row>
    <row r="406" spans="1:15" ht="16.149999999999999" customHeight="1">
      <c r="A406" s="124"/>
      <c r="B406" s="125" t="s">
        <v>1115</v>
      </c>
      <c r="C406" s="126"/>
      <c r="D406" s="126"/>
      <c r="E406" s="126"/>
      <c r="F406" s="126"/>
      <c r="G406" s="126"/>
      <c r="H406" s="127"/>
      <c r="I406" s="126"/>
      <c r="J406" s="126"/>
      <c r="K406" s="126"/>
      <c r="L406" s="126"/>
      <c r="M406" s="128"/>
      <c r="N406" s="129"/>
    </row>
    <row r="407" spans="1:15" ht="16.149999999999999" customHeight="1">
      <c r="A407" s="130"/>
      <c r="B407" s="131" t="s">
        <v>3185</v>
      </c>
      <c r="C407" s="118"/>
      <c r="D407" s="33">
        <f>SUMIF('노임(2015)'!$B$4:$B$87,B407,'노임(2015)'!$C$4:$C$87)+SUMIF('노임(2015)'!$E$4:$E$87,B407,'노임(2015)'!$F$4:$F$87)</f>
        <v>130411</v>
      </c>
      <c r="E407" s="110" t="s">
        <v>972</v>
      </c>
      <c r="F407" s="110" t="s">
        <v>973</v>
      </c>
      <c r="G407" s="132" t="s">
        <v>974</v>
      </c>
      <c r="H407" s="111"/>
      <c r="I407" s="110"/>
      <c r="J407" s="110"/>
      <c r="K407" s="133">
        <v>1</v>
      </c>
      <c r="L407" s="118" t="s">
        <v>1582</v>
      </c>
      <c r="M407" s="112">
        <f>TRUNC(D407*(1/8)*(16/12)*(25/20)*K407)</f>
        <v>27168</v>
      </c>
      <c r="N407" s="113" t="s">
        <v>975</v>
      </c>
    </row>
    <row r="408" spans="1:15" ht="16.149999999999999" customHeight="1">
      <c r="A408" s="130"/>
      <c r="B408" s="109"/>
      <c r="C408" s="118"/>
      <c r="D408" s="33"/>
      <c r="E408" s="110"/>
      <c r="F408" s="110"/>
      <c r="G408" s="132"/>
      <c r="H408" s="111"/>
      <c r="I408" s="110"/>
      <c r="J408" s="110"/>
      <c r="K408" s="134"/>
      <c r="L408" s="118"/>
      <c r="M408" s="112"/>
      <c r="N408" s="113"/>
    </row>
    <row r="409" spans="1:15" ht="18.600000000000001" customHeight="1">
      <c r="A409" s="130"/>
      <c r="B409" s="109"/>
      <c r="C409" s="118"/>
      <c r="D409" s="33"/>
      <c r="E409" s="110"/>
      <c r="F409" s="110"/>
      <c r="G409" s="132"/>
      <c r="H409" s="111"/>
      <c r="I409" s="110"/>
      <c r="J409" s="110"/>
      <c r="K409" s="134"/>
      <c r="L409" s="118"/>
      <c r="M409" s="112"/>
      <c r="N409" s="113"/>
      <c r="O409" s="114" t="s">
        <v>3682</v>
      </c>
    </row>
    <row r="410" spans="1:15" ht="16.149999999999999" customHeight="1">
      <c r="A410" s="130"/>
      <c r="B410" s="109"/>
      <c r="C410" s="118"/>
      <c r="D410" s="110"/>
      <c r="E410" s="110"/>
      <c r="F410" s="110"/>
      <c r="G410" s="110"/>
      <c r="H410" s="111"/>
      <c r="I410" s="791"/>
      <c r="J410" s="791"/>
      <c r="K410" s="118" t="s">
        <v>1164</v>
      </c>
      <c r="L410" s="118" t="s">
        <v>1582</v>
      </c>
      <c r="M410" s="112">
        <f>TRUNC(M407+M408+M409)</f>
        <v>27168</v>
      </c>
      <c r="N410" s="113" t="s">
        <v>975</v>
      </c>
      <c r="O410" s="114" t="s">
        <v>1115</v>
      </c>
    </row>
    <row r="411" spans="1:15" ht="18.600000000000001" customHeight="1">
      <c r="A411" s="130"/>
      <c r="B411" s="109"/>
      <c r="C411" s="118"/>
      <c r="D411" s="110"/>
      <c r="E411" s="110"/>
      <c r="F411" s="110"/>
      <c r="G411" s="110"/>
      <c r="H411" s="111"/>
      <c r="I411" s="118"/>
      <c r="J411" s="118"/>
      <c r="K411" s="118"/>
      <c r="L411" s="118"/>
      <c r="M411" s="112"/>
      <c r="N411" s="113"/>
      <c r="O411" s="114" t="s">
        <v>3682</v>
      </c>
    </row>
    <row r="412" spans="1:15" ht="18.600000000000001" customHeight="1">
      <c r="A412" s="135"/>
      <c r="B412" s="136"/>
      <c r="C412" s="137"/>
      <c r="D412" s="138"/>
      <c r="E412" s="138"/>
      <c r="F412" s="138"/>
      <c r="G412" s="138"/>
      <c r="H412" s="139"/>
      <c r="I412" s="137"/>
      <c r="J412" s="137"/>
      <c r="K412" s="137"/>
      <c r="L412" s="137"/>
      <c r="M412" s="140"/>
      <c r="N412" s="141"/>
      <c r="O412" s="114" t="s">
        <v>3682</v>
      </c>
    </row>
    <row r="413" spans="1:15" ht="16.149999999999999" customHeight="1">
      <c r="A413" s="124"/>
      <c r="B413" s="125" t="s">
        <v>1116</v>
      </c>
      <c r="C413" s="142"/>
      <c r="D413" s="126"/>
      <c r="E413" s="126"/>
      <c r="F413" s="126"/>
      <c r="G413" s="126"/>
      <c r="H413" s="127"/>
      <c r="I413" s="126"/>
      <c r="J413" s="126"/>
      <c r="K413" s="126"/>
      <c r="L413" s="126"/>
      <c r="M413" s="128"/>
      <c r="N413" s="129"/>
    </row>
    <row r="414" spans="1:15" ht="16.149999999999999" customHeight="1">
      <c r="A414" s="130"/>
      <c r="B414" s="109" t="s">
        <v>598</v>
      </c>
      <c r="C414" s="118" t="s">
        <v>1526</v>
      </c>
      <c r="D414" s="118">
        <v>7.7</v>
      </c>
      <c r="E414" s="110" t="s">
        <v>456</v>
      </c>
      <c r="F414" s="118" t="s">
        <v>972</v>
      </c>
      <c r="G414" s="110"/>
      <c r="H414" s="123">
        <f>중기기준!$G$35</f>
        <v>1114.9000000000001</v>
      </c>
      <c r="I414" s="110" t="s">
        <v>975</v>
      </c>
      <c r="J414" s="110"/>
      <c r="K414" s="110"/>
      <c r="L414" s="118" t="s">
        <v>1582</v>
      </c>
      <c r="M414" s="112">
        <f>TRUNC(D414*H414,2)</f>
        <v>8584.73</v>
      </c>
      <c r="N414" s="113" t="s">
        <v>975</v>
      </c>
    </row>
    <row r="415" spans="1:15" ht="16.149999999999999" customHeight="1">
      <c r="A415" s="130"/>
      <c r="B415" s="109" t="s">
        <v>1556</v>
      </c>
      <c r="C415" s="118" t="s">
        <v>1526</v>
      </c>
      <c r="D415" s="145">
        <v>0.44</v>
      </c>
      <c r="E415" s="110"/>
      <c r="F415" s="118" t="s">
        <v>972</v>
      </c>
      <c r="G415" s="110"/>
      <c r="H415" s="123">
        <f>M414</f>
        <v>8584.73</v>
      </c>
      <c r="I415" s="110" t="s">
        <v>975</v>
      </c>
      <c r="J415" s="110"/>
      <c r="K415" s="110"/>
      <c r="L415" s="118" t="s">
        <v>1582</v>
      </c>
      <c r="M415" s="112">
        <f>TRUNC(D415*H415,2)</f>
        <v>3777.28</v>
      </c>
      <c r="N415" s="113" t="s">
        <v>975</v>
      </c>
    </row>
    <row r="416" spans="1:15" ht="16.149999999999999" customHeight="1">
      <c r="A416" s="130"/>
      <c r="B416" s="109"/>
      <c r="C416" s="110"/>
      <c r="D416" s="110"/>
      <c r="E416" s="110"/>
      <c r="F416" s="110"/>
      <c r="G416" s="110"/>
      <c r="H416" s="111"/>
      <c r="I416" s="110"/>
      <c r="J416" s="110"/>
      <c r="K416" s="118" t="s">
        <v>1164</v>
      </c>
      <c r="L416" s="118" t="s">
        <v>1582</v>
      </c>
      <c r="M416" s="112">
        <f>TRUNC(SUM(M414:M415))</f>
        <v>12362</v>
      </c>
      <c r="N416" s="113" t="s">
        <v>975</v>
      </c>
    </row>
    <row r="417" spans="1:15" ht="18.600000000000001" customHeight="1">
      <c r="A417" s="135"/>
      <c r="B417" s="136"/>
      <c r="C417" s="138"/>
      <c r="D417" s="138"/>
      <c r="E417" s="138"/>
      <c r="F417" s="138"/>
      <c r="G417" s="138"/>
      <c r="H417" s="139"/>
      <c r="I417" s="138"/>
      <c r="J417" s="138"/>
      <c r="K417" s="137"/>
      <c r="L417" s="137"/>
      <c r="M417" s="140"/>
      <c r="N417" s="141"/>
      <c r="O417" s="114" t="s">
        <v>3682</v>
      </c>
    </row>
    <row r="418" spans="1:15" s="152" customFormat="1" ht="16.149999999999999" customHeight="1">
      <c r="A418" s="146"/>
      <c r="B418" s="147"/>
      <c r="C418" s="148"/>
      <c r="D418" s="148"/>
      <c r="E418" s="148"/>
      <c r="F418" s="148"/>
      <c r="G418" s="148"/>
      <c r="H418" s="149"/>
      <c r="I418" s="148"/>
      <c r="J418" s="148"/>
      <c r="K418" s="148" t="s">
        <v>1118</v>
      </c>
      <c r="L418" s="148" t="s">
        <v>1582</v>
      </c>
      <c r="M418" s="150">
        <f>M404+M410+M416</f>
        <v>54749</v>
      </c>
      <c r="N418" s="151"/>
    </row>
    <row r="419" spans="1:15" s="152" customFormat="1" ht="16.149999999999999" customHeight="1">
      <c r="A419" s="169"/>
      <c r="B419" s="163"/>
      <c r="C419" s="169"/>
      <c r="D419" s="169"/>
      <c r="E419" s="169"/>
      <c r="F419" s="169"/>
      <c r="G419" s="169"/>
      <c r="H419" s="170"/>
      <c r="I419" s="169"/>
      <c r="J419" s="169"/>
      <c r="K419" s="169"/>
      <c r="L419" s="169"/>
      <c r="M419" s="166"/>
      <c r="N419" s="165"/>
      <c r="O419" s="114"/>
    </row>
    <row r="420" spans="1:15" s="107" customFormat="1" ht="16.149999999999999" customHeight="1">
      <c r="A420" s="451">
        <f>A401+1</f>
        <v>23</v>
      </c>
      <c r="B420" s="99" t="s">
        <v>1100</v>
      </c>
      <c r="C420" s="100" t="s">
        <v>1526</v>
      </c>
      <c r="D420" s="101" t="s">
        <v>1388</v>
      </c>
      <c r="E420" s="102"/>
      <c r="F420" s="102"/>
      <c r="G420" s="100"/>
      <c r="H420" s="103" t="s">
        <v>1527</v>
      </c>
      <c r="I420" s="100" t="s">
        <v>1526</v>
      </c>
      <c r="J420" s="167" t="s">
        <v>609</v>
      </c>
      <c r="K420" s="104" t="s">
        <v>847</v>
      </c>
      <c r="L420" s="100" t="s">
        <v>1526</v>
      </c>
      <c r="M420" s="105" t="s">
        <v>509</v>
      </c>
      <c r="N420" s="106"/>
    </row>
    <row r="421" spans="1:15" ht="16.149999999999999" customHeight="1">
      <c r="A421" s="108"/>
      <c r="B421" s="109" t="s">
        <v>588</v>
      </c>
      <c r="C421" s="110" t="s">
        <v>1582</v>
      </c>
      <c r="D421" s="110" t="s">
        <v>589</v>
      </c>
      <c r="E421" s="110" t="s">
        <v>86</v>
      </c>
      <c r="F421" s="110" t="s">
        <v>590</v>
      </c>
      <c r="G421" s="110" t="s">
        <v>86</v>
      </c>
      <c r="H421" s="111" t="s">
        <v>2973</v>
      </c>
      <c r="I421" s="110"/>
      <c r="J421" s="110"/>
      <c r="K421" s="110"/>
      <c r="L421" s="110"/>
      <c r="M421" s="112"/>
      <c r="N421" s="113"/>
    </row>
    <row r="422" spans="1:15" ht="16.149999999999999" customHeight="1">
      <c r="A422" s="108"/>
      <c r="B422" s="109"/>
      <c r="C422" s="110"/>
      <c r="D422" s="110"/>
      <c r="E422" s="110"/>
      <c r="F422" s="110"/>
      <c r="G422" s="110"/>
      <c r="H422" s="111"/>
      <c r="I422" s="110"/>
      <c r="J422" s="110"/>
      <c r="K422" s="110"/>
      <c r="L422" s="110"/>
      <c r="M422" s="112"/>
      <c r="N422" s="113"/>
    </row>
    <row r="423" spans="1:15" ht="16.149999999999999" customHeight="1">
      <c r="A423" s="115"/>
      <c r="F423" s="117"/>
      <c r="G423" s="118"/>
      <c r="H423" s="119">
        <f>기계경비산출표!$E$52*1000</f>
        <v>95229000</v>
      </c>
      <c r="I423" s="110" t="s">
        <v>972</v>
      </c>
      <c r="J423" s="158">
        <v>2038</v>
      </c>
      <c r="K423" s="118" t="s">
        <v>2974</v>
      </c>
      <c r="L423" s="121" t="s">
        <v>1582</v>
      </c>
      <c r="M423" s="112">
        <f>TRUNC(H423*J423*(10^-7))</f>
        <v>19407</v>
      </c>
      <c r="N423" s="113" t="s">
        <v>975</v>
      </c>
    </row>
    <row r="424" spans="1:15" ht="16.149999999999999" customHeight="1">
      <c r="A424" s="115"/>
      <c r="B424" s="122"/>
      <c r="C424" s="118"/>
      <c r="D424" s="33"/>
      <c r="E424" s="110"/>
      <c r="F424" s="118"/>
      <c r="G424" s="118"/>
      <c r="H424" s="123"/>
      <c r="I424" s="118"/>
      <c r="J424" s="110"/>
      <c r="K424" s="110"/>
      <c r="L424" s="110"/>
      <c r="M424" s="112"/>
      <c r="N424" s="113"/>
    </row>
    <row r="425" spans="1:15" ht="16.149999999999999" customHeight="1">
      <c r="A425" s="124"/>
      <c r="B425" s="125" t="s">
        <v>1115</v>
      </c>
      <c r="C425" s="126"/>
      <c r="D425" s="126"/>
      <c r="E425" s="126"/>
      <c r="F425" s="126"/>
      <c r="G425" s="126"/>
      <c r="H425" s="127"/>
      <c r="I425" s="126"/>
      <c r="J425" s="126"/>
      <c r="K425" s="126"/>
      <c r="L425" s="126"/>
      <c r="M425" s="128"/>
      <c r="N425" s="129"/>
    </row>
    <row r="426" spans="1:15" ht="16.149999999999999" customHeight="1">
      <c r="A426" s="130"/>
      <c r="B426" s="131" t="s">
        <v>3185</v>
      </c>
      <c r="C426" s="118"/>
      <c r="D426" s="33">
        <f>SUMIF('노임(2015)'!$B$4:$B$87,B426,'노임(2015)'!$C$4:$C$87)+SUMIF('노임(2015)'!$E$4:$E$87,B426,'노임(2015)'!$F$4:$F$87)</f>
        <v>130411</v>
      </c>
      <c r="E426" s="110" t="s">
        <v>972</v>
      </c>
      <c r="F426" s="110" t="s">
        <v>973</v>
      </c>
      <c r="G426" s="132" t="s">
        <v>974</v>
      </c>
      <c r="H426" s="111"/>
      <c r="I426" s="110"/>
      <c r="J426" s="110"/>
      <c r="K426" s="133">
        <v>1</v>
      </c>
      <c r="L426" s="118" t="s">
        <v>1582</v>
      </c>
      <c r="M426" s="112">
        <f>TRUNC(D426*(1/8)*(16/12)*(25/20)*K426)</f>
        <v>27168</v>
      </c>
      <c r="N426" s="113" t="s">
        <v>975</v>
      </c>
    </row>
    <row r="427" spans="1:15" ht="16.149999999999999" customHeight="1">
      <c r="A427" s="130"/>
      <c r="B427" s="109"/>
      <c r="C427" s="118"/>
      <c r="D427" s="33"/>
      <c r="E427" s="110"/>
      <c r="F427" s="110"/>
      <c r="G427" s="132"/>
      <c r="H427" s="111"/>
      <c r="I427" s="110"/>
      <c r="J427" s="110"/>
      <c r="K427" s="134"/>
      <c r="L427" s="118"/>
      <c r="M427" s="112"/>
      <c r="N427" s="113"/>
    </row>
    <row r="428" spans="1:15" ht="18.600000000000001" customHeight="1">
      <c r="A428" s="130"/>
      <c r="B428" s="109"/>
      <c r="C428" s="118"/>
      <c r="D428" s="33"/>
      <c r="E428" s="110"/>
      <c r="F428" s="110"/>
      <c r="G428" s="132"/>
      <c r="H428" s="111"/>
      <c r="I428" s="110"/>
      <c r="J428" s="110"/>
      <c r="K428" s="134"/>
      <c r="L428" s="118"/>
      <c r="M428" s="112"/>
      <c r="N428" s="113"/>
      <c r="O428" s="114" t="s">
        <v>3682</v>
      </c>
    </row>
    <row r="429" spans="1:15" ht="16.149999999999999" customHeight="1">
      <c r="A429" s="130"/>
      <c r="B429" s="109"/>
      <c r="C429" s="118"/>
      <c r="D429" s="110"/>
      <c r="E429" s="110"/>
      <c r="F429" s="110"/>
      <c r="G429" s="110"/>
      <c r="H429" s="111"/>
      <c r="I429" s="791"/>
      <c r="J429" s="791"/>
      <c r="K429" s="118" t="s">
        <v>1164</v>
      </c>
      <c r="L429" s="118" t="s">
        <v>1582</v>
      </c>
      <c r="M429" s="112">
        <f>TRUNC(M426+M427+M428)</f>
        <v>27168</v>
      </c>
      <c r="N429" s="113" t="s">
        <v>975</v>
      </c>
      <c r="O429" s="114" t="s">
        <v>1115</v>
      </c>
    </row>
    <row r="430" spans="1:15" ht="18.600000000000001" customHeight="1">
      <c r="A430" s="130"/>
      <c r="B430" s="109"/>
      <c r="C430" s="118"/>
      <c r="D430" s="110"/>
      <c r="E430" s="110"/>
      <c r="F430" s="110"/>
      <c r="G430" s="110"/>
      <c r="H430" s="111"/>
      <c r="I430" s="118"/>
      <c r="J430" s="118"/>
      <c r="K430" s="118"/>
      <c r="L430" s="118"/>
      <c r="M430" s="112"/>
      <c r="N430" s="113"/>
      <c r="O430" s="114" t="s">
        <v>3682</v>
      </c>
    </row>
    <row r="431" spans="1:15" ht="18.600000000000001" customHeight="1">
      <c r="A431" s="135"/>
      <c r="B431" s="136"/>
      <c r="C431" s="137"/>
      <c r="D431" s="138"/>
      <c r="E431" s="138"/>
      <c r="F431" s="138"/>
      <c r="G431" s="138"/>
      <c r="H431" s="139"/>
      <c r="I431" s="137"/>
      <c r="J431" s="137"/>
      <c r="K431" s="137"/>
      <c r="L431" s="137"/>
      <c r="M431" s="140"/>
      <c r="N431" s="141"/>
      <c r="O431" s="114" t="s">
        <v>3682</v>
      </c>
    </row>
    <row r="432" spans="1:15" ht="16.149999999999999" customHeight="1">
      <c r="A432" s="124"/>
      <c r="B432" s="125" t="s">
        <v>1116</v>
      </c>
      <c r="C432" s="142"/>
      <c r="D432" s="126"/>
      <c r="E432" s="126"/>
      <c r="F432" s="126"/>
      <c r="G432" s="126"/>
      <c r="H432" s="127"/>
      <c r="I432" s="126"/>
      <c r="J432" s="126"/>
      <c r="K432" s="126"/>
      <c r="L432" s="126"/>
      <c r="M432" s="128"/>
      <c r="N432" s="129"/>
    </row>
    <row r="433" spans="1:15" ht="16.149999999999999" customHeight="1">
      <c r="A433" s="130"/>
      <c r="B433" s="109" t="s">
        <v>598</v>
      </c>
      <c r="C433" s="118" t="s">
        <v>1526</v>
      </c>
      <c r="D433" s="118">
        <v>9.8000000000000007</v>
      </c>
      <c r="E433" s="110" t="s">
        <v>456</v>
      </c>
      <c r="F433" s="118" t="s">
        <v>972</v>
      </c>
      <c r="G433" s="110"/>
      <c r="H433" s="123">
        <f>중기기준!$G$35</f>
        <v>1114.9000000000001</v>
      </c>
      <c r="I433" s="110" t="s">
        <v>975</v>
      </c>
      <c r="J433" s="110"/>
      <c r="K433" s="110"/>
      <c r="L433" s="118" t="s">
        <v>1582</v>
      </c>
      <c r="M433" s="112">
        <f>TRUNC(D433*H433,2)</f>
        <v>10926.02</v>
      </c>
      <c r="N433" s="113" t="s">
        <v>975</v>
      </c>
    </row>
    <row r="434" spans="1:15" ht="16.149999999999999" customHeight="1">
      <c r="A434" s="130"/>
      <c r="B434" s="109" t="s">
        <v>1556</v>
      </c>
      <c r="C434" s="118" t="s">
        <v>1526</v>
      </c>
      <c r="D434" s="145">
        <v>0.44</v>
      </c>
      <c r="E434" s="110"/>
      <c r="F434" s="118" t="s">
        <v>972</v>
      </c>
      <c r="G434" s="110"/>
      <c r="H434" s="123">
        <f>M433</f>
        <v>10926.02</v>
      </c>
      <c r="I434" s="110" t="s">
        <v>975</v>
      </c>
      <c r="J434" s="110"/>
      <c r="K434" s="110"/>
      <c r="L434" s="118" t="s">
        <v>1582</v>
      </c>
      <c r="M434" s="112">
        <f>TRUNC(D434*H434,2)</f>
        <v>4807.4399999999996</v>
      </c>
      <c r="N434" s="113" t="s">
        <v>975</v>
      </c>
    </row>
    <row r="435" spans="1:15" ht="16.149999999999999" customHeight="1">
      <c r="A435" s="130"/>
      <c r="B435" s="109"/>
      <c r="C435" s="110"/>
      <c r="D435" s="110"/>
      <c r="E435" s="110"/>
      <c r="F435" s="110"/>
      <c r="G435" s="110"/>
      <c r="H435" s="111"/>
      <c r="I435" s="110"/>
      <c r="J435" s="110"/>
      <c r="K435" s="118" t="s">
        <v>1164</v>
      </c>
      <c r="L435" s="118" t="s">
        <v>1582</v>
      </c>
      <c r="M435" s="112">
        <f>TRUNC(SUM(M433:M434))</f>
        <v>15733</v>
      </c>
      <c r="N435" s="113" t="s">
        <v>975</v>
      </c>
    </row>
    <row r="436" spans="1:15" ht="18.600000000000001" customHeight="1">
      <c r="A436" s="135"/>
      <c r="B436" s="136"/>
      <c r="C436" s="138"/>
      <c r="D436" s="138"/>
      <c r="E436" s="138"/>
      <c r="F436" s="138"/>
      <c r="G436" s="138"/>
      <c r="H436" s="139"/>
      <c r="I436" s="138"/>
      <c r="J436" s="138"/>
      <c r="K436" s="137"/>
      <c r="L436" s="137"/>
      <c r="M436" s="140"/>
      <c r="N436" s="141"/>
      <c r="O436" s="114" t="s">
        <v>3682</v>
      </c>
    </row>
    <row r="437" spans="1:15" s="152" customFormat="1" ht="16.149999999999999" customHeight="1">
      <c r="A437" s="146"/>
      <c r="B437" s="147"/>
      <c r="C437" s="148"/>
      <c r="D437" s="148"/>
      <c r="E437" s="148"/>
      <c r="F437" s="148"/>
      <c r="G437" s="148"/>
      <c r="H437" s="149"/>
      <c r="I437" s="148"/>
      <c r="J437" s="148"/>
      <c r="K437" s="148" t="s">
        <v>1118</v>
      </c>
      <c r="L437" s="148" t="s">
        <v>1582</v>
      </c>
      <c r="M437" s="150">
        <f>M423+M429+M435</f>
        <v>62308</v>
      </c>
      <c r="N437" s="151"/>
    </row>
    <row r="438" spans="1:15" ht="16.149999999999999" customHeight="1">
      <c r="A438" s="153"/>
      <c r="B438" s="125"/>
      <c r="C438" s="153"/>
      <c r="D438" s="153"/>
      <c r="E438" s="153"/>
      <c r="F438" s="153"/>
      <c r="G438" s="153"/>
      <c r="H438" s="154"/>
      <c r="I438" s="153"/>
      <c r="J438" s="153"/>
      <c r="K438" s="153"/>
      <c r="L438" s="153"/>
      <c r="M438" s="128"/>
      <c r="N438" s="142"/>
    </row>
    <row r="439" spans="1:15" s="107" customFormat="1" ht="16.149999999999999" customHeight="1">
      <c r="A439" s="451">
        <f>A420+1</f>
        <v>24</v>
      </c>
      <c r="B439" s="99" t="s">
        <v>1100</v>
      </c>
      <c r="C439" s="100" t="s">
        <v>1526</v>
      </c>
      <c r="D439" s="101" t="s">
        <v>510</v>
      </c>
      <c r="E439" s="102"/>
      <c r="F439" s="102"/>
      <c r="G439" s="100"/>
      <c r="H439" s="103" t="s">
        <v>1527</v>
      </c>
      <c r="I439" s="100" t="s">
        <v>1526</v>
      </c>
      <c r="J439" s="102" t="s">
        <v>1318</v>
      </c>
      <c r="K439" s="104" t="s">
        <v>847</v>
      </c>
      <c r="L439" s="100" t="s">
        <v>1526</v>
      </c>
      <c r="M439" s="105" t="s">
        <v>511</v>
      </c>
      <c r="N439" s="106"/>
    </row>
    <row r="440" spans="1:15" ht="16.149999999999999" customHeight="1">
      <c r="A440" s="108"/>
      <c r="B440" s="109" t="s">
        <v>588</v>
      </c>
      <c r="C440" s="110" t="s">
        <v>1582</v>
      </c>
      <c r="D440" s="110" t="s">
        <v>589</v>
      </c>
      <c r="E440" s="110" t="s">
        <v>86</v>
      </c>
      <c r="F440" s="110" t="s">
        <v>590</v>
      </c>
      <c r="G440" s="110" t="s">
        <v>86</v>
      </c>
      <c r="H440" s="111" t="s">
        <v>2973</v>
      </c>
      <c r="I440" s="110"/>
      <c r="J440" s="110"/>
      <c r="K440" s="110"/>
      <c r="L440" s="110"/>
      <c r="M440" s="112"/>
      <c r="N440" s="113"/>
    </row>
    <row r="441" spans="1:15" ht="16.149999999999999" customHeight="1">
      <c r="A441" s="108"/>
      <c r="B441" s="109"/>
      <c r="C441" s="110"/>
      <c r="D441" s="110"/>
      <c r="E441" s="110"/>
      <c r="F441" s="110"/>
      <c r="G441" s="110"/>
      <c r="H441" s="111"/>
      <c r="I441" s="110"/>
      <c r="J441" s="792"/>
      <c r="K441" s="792"/>
      <c r="L441" s="110"/>
      <c r="M441" s="112"/>
      <c r="N441" s="113"/>
    </row>
    <row r="442" spans="1:15" ht="16.149999999999999" customHeight="1">
      <c r="A442" s="115"/>
      <c r="F442" s="117"/>
      <c r="G442" s="118"/>
      <c r="H442" s="119">
        <f>기계경비산출표!$E$66*1000</f>
        <v>232010000</v>
      </c>
      <c r="I442" s="110" t="s">
        <v>972</v>
      </c>
      <c r="J442" s="120">
        <v>1461</v>
      </c>
      <c r="K442" s="118" t="s">
        <v>2974</v>
      </c>
      <c r="L442" s="121" t="s">
        <v>1582</v>
      </c>
      <c r="M442" s="112">
        <f>TRUNC(H442*J442*(10^-7))</f>
        <v>33896</v>
      </c>
      <c r="N442" s="113" t="s">
        <v>975</v>
      </c>
    </row>
    <row r="443" spans="1:15" ht="16.149999999999999" customHeight="1">
      <c r="A443" s="115"/>
      <c r="B443" s="122"/>
      <c r="C443" s="118"/>
      <c r="D443" s="33"/>
      <c r="E443" s="110"/>
      <c r="F443" s="118"/>
      <c r="G443" s="118"/>
      <c r="H443" s="123"/>
      <c r="I443" s="118"/>
      <c r="J443" s="110"/>
      <c r="K443" s="110"/>
      <c r="L443" s="110"/>
      <c r="M443" s="112"/>
      <c r="N443" s="113"/>
    </row>
    <row r="444" spans="1:15" ht="16.149999999999999" customHeight="1">
      <c r="A444" s="124"/>
      <c r="B444" s="125" t="s">
        <v>1115</v>
      </c>
      <c r="C444" s="126"/>
      <c r="D444" s="126"/>
      <c r="E444" s="126"/>
      <c r="F444" s="126"/>
      <c r="G444" s="126"/>
      <c r="H444" s="127"/>
      <c r="I444" s="126"/>
      <c r="J444" s="126"/>
      <c r="K444" s="126"/>
      <c r="L444" s="126"/>
      <c r="M444" s="128"/>
      <c r="N444" s="129"/>
    </row>
    <row r="445" spans="1:15" ht="16.149999999999999" customHeight="1">
      <c r="A445" s="130"/>
      <c r="B445" s="131" t="s">
        <v>3185</v>
      </c>
      <c r="C445" s="118"/>
      <c r="D445" s="33">
        <f>SUMIF('노임(2015)'!$B$4:$B$87,B445,'노임(2015)'!$C$4:$C$87)+SUMIF('노임(2015)'!$E$4:$E$87,B445,'노임(2015)'!$F$4:$F$87)</f>
        <v>130411</v>
      </c>
      <c r="E445" s="110" t="s">
        <v>972</v>
      </c>
      <c r="F445" s="110" t="s">
        <v>973</v>
      </c>
      <c r="G445" s="132" t="s">
        <v>974</v>
      </c>
      <c r="H445" s="111"/>
      <c r="I445" s="110"/>
      <c r="J445" s="110"/>
      <c r="K445" s="133">
        <v>1</v>
      </c>
      <c r="L445" s="118" t="s">
        <v>1582</v>
      </c>
      <c r="M445" s="112">
        <f>TRUNC(D445*(1/8)*(16/12)*(25/20)*K445)</f>
        <v>27168</v>
      </c>
      <c r="N445" s="113" t="s">
        <v>975</v>
      </c>
    </row>
    <row r="446" spans="1:15" ht="16.149999999999999" customHeight="1">
      <c r="A446" s="130"/>
      <c r="B446" s="109"/>
      <c r="C446" s="118"/>
      <c r="D446" s="33"/>
      <c r="E446" s="110"/>
      <c r="F446" s="110"/>
      <c r="G446" s="132"/>
      <c r="H446" s="111"/>
      <c r="I446" s="110"/>
      <c r="J446" s="110"/>
      <c r="K446" s="134"/>
      <c r="L446" s="118"/>
      <c r="M446" s="112"/>
      <c r="N446" s="113"/>
    </row>
    <row r="447" spans="1:15" ht="18.600000000000001" customHeight="1">
      <c r="A447" s="130"/>
      <c r="B447" s="109"/>
      <c r="C447" s="118"/>
      <c r="D447" s="33"/>
      <c r="E447" s="110"/>
      <c r="F447" s="110"/>
      <c r="G447" s="132"/>
      <c r="H447" s="111"/>
      <c r="I447" s="110"/>
      <c r="J447" s="110"/>
      <c r="K447" s="134"/>
      <c r="L447" s="118"/>
      <c r="M447" s="112"/>
      <c r="N447" s="113"/>
      <c r="O447" s="114" t="s">
        <v>3682</v>
      </c>
    </row>
    <row r="448" spans="1:15" ht="16.149999999999999" customHeight="1">
      <c r="A448" s="130"/>
      <c r="B448" s="109"/>
      <c r="C448" s="118"/>
      <c r="D448" s="110"/>
      <c r="E448" s="110"/>
      <c r="F448" s="110"/>
      <c r="G448" s="110"/>
      <c r="H448" s="111"/>
      <c r="I448" s="791"/>
      <c r="J448" s="791"/>
      <c r="K448" s="118" t="s">
        <v>1164</v>
      </c>
      <c r="L448" s="118" t="s">
        <v>1582</v>
      </c>
      <c r="M448" s="112">
        <f>(M445+M446+M447)</f>
        <v>27168</v>
      </c>
      <c r="N448" s="113" t="s">
        <v>975</v>
      </c>
      <c r="O448" s="114" t="s">
        <v>1115</v>
      </c>
    </row>
    <row r="449" spans="1:15" ht="18.600000000000001" customHeight="1">
      <c r="A449" s="130"/>
      <c r="B449" s="109"/>
      <c r="C449" s="118"/>
      <c r="D449" s="110"/>
      <c r="E449" s="110"/>
      <c r="F449" s="110"/>
      <c r="G449" s="110"/>
      <c r="H449" s="111"/>
      <c r="I449" s="118"/>
      <c r="J449" s="118"/>
      <c r="K449" s="118"/>
      <c r="L449" s="118"/>
      <c r="M449" s="112"/>
      <c r="N449" s="113"/>
      <c r="O449" s="114" t="s">
        <v>3682</v>
      </c>
    </row>
    <row r="450" spans="1:15" ht="18.600000000000001" customHeight="1">
      <c r="A450" s="135"/>
      <c r="B450" s="136"/>
      <c r="C450" s="137"/>
      <c r="D450" s="138"/>
      <c r="E450" s="138"/>
      <c r="F450" s="138"/>
      <c r="G450" s="138"/>
      <c r="H450" s="139"/>
      <c r="I450" s="137"/>
      <c r="J450" s="137"/>
      <c r="K450" s="137"/>
      <c r="L450" s="137"/>
      <c r="M450" s="140"/>
      <c r="N450" s="141"/>
      <c r="O450" s="114" t="s">
        <v>3682</v>
      </c>
    </row>
    <row r="451" spans="1:15" ht="16.149999999999999" customHeight="1">
      <c r="A451" s="124"/>
      <c r="B451" s="125" t="s">
        <v>1116</v>
      </c>
      <c r="C451" s="142"/>
      <c r="D451" s="126"/>
      <c r="E451" s="126"/>
      <c r="F451" s="126"/>
      <c r="G451" s="126"/>
      <c r="H451" s="127"/>
      <c r="I451" s="126"/>
      <c r="J451" s="126"/>
      <c r="K451" s="126"/>
      <c r="L451" s="126"/>
      <c r="M451" s="128"/>
      <c r="N451" s="129"/>
    </row>
    <row r="452" spans="1:15" ht="16.149999999999999" customHeight="1">
      <c r="A452" s="130"/>
      <c r="B452" s="131" t="s">
        <v>2461</v>
      </c>
      <c r="C452" s="118" t="s">
        <v>1526</v>
      </c>
      <c r="D452" s="118">
        <v>16.2</v>
      </c>
      <c r="E452" s="110" t="s">
        <v>456</v>
      </c>
      <c r="F452" s="118" t="s">
        <v>972</v>
      </c>
      <c r="G452" s="110"/>
      <c r="H452" s="123">
        <f>중기기준!$G$35</f>
        <v>1114.9000000000001</v>
      </c>
      <c r="I452" s="110" t="s">
        <v>975</v>
      </c>
      <c r="J452" s="110"/>
      <c r="K452" s="110"/>
      <c r="L452" s="118" t="s">
        <v>1582</v>
      </c>
      <c r="M452" s="112">
        <f>TRUNC(D452*H452,2)</f>
        <v>18061.38</v>
      </c>
      <c r="N452" s="113" t="s">
        <v>975</v>
      </c>
    </row>
    <row r="453" spans="1:15" ht="16.149999999999999" customHeight="1">
      <c r="A453" s="130"/>
      <c r="B453" s="109" t="s">
        <v>1556</v>
      </c>
      <c r="C453" s="118" t="s">
        <v>1526</v>
      </c>
      <c r="D453" s="145">
        <v>0.39</v>
      </c>
      <c r="E453" s="110"/>
      <c r="F453" s="118" t="s">
        <v>972</v>
      </c>
      <c r="G453" s="110"/>
      <c r="H453" s="123">
        <f>M452</f>
        <v>18061.38</v>
      </c>
      <c r="I453" s="110" t="s">
        <v>975</v>
      </c>
      <c r="J453" s="110"/>
      <c r="K453" s="110"/>
      <c r="L453" s="118" t="s">
        <v>1582</v>
      </c>
      <c r="M453" s="112">
        <f>TRUNC((D453*H453),2)</f>
        <v>7043.93</v>
      </c>
      <c r="N453" s="113" t="s">
        <v>975</v>
      </c>
    </row>
    <row r="454" spans="1:15" ht="16.149999999999999" customHeight="1">
      <c r="A454" s="130"/>
      <c r="B454" s="109"/>
      <c r="C454" s="110"/>
      <c r="D454" s="110"/>
      <c r="E454" s="110"/>
      <c r="F454" s="110"/>
      <c r="G454" s="110"/>
      <c r="H454" s="111"/>
      <c r="I454" s="110"/>
      <c r="J454" s="110"/>
      <c r="K454" s="118" t="s">
        <v>1164</v>
      </c>
      <c r="L454" s="118" t="s">
        <v>1582</v>
      </c>
      <c r="M454" s="112">
        <f>TRUNC(SUM(M452:M453))</f>
        <v>25105</v>
      </c>
      <c r="N454" s="113" t="s">
        <v>975</v>
      </c>
    </row>
    <row r="455" spans="1:15" ht="18.600000000000001" customHeight="1">
      <c r="A455" s="135"/>
      <c r="B455" s="136"/>
      <c r="C455" s="138"/>
      <c r="D455" s="138"/>
      <c r="E455" s="138"/>
      <c r="F455" s="138"/>
      <c r="G455" s="138"/>
      <c r="H455" s="139"/>
      <c r="I455" s="138"/>
      <c r="J455" s="138"/>
      <c r="K455" s="137"/>
      <c r="L455" s="137"/>
      <c r="M455" s="140"/>
      <c r="N455" s="141"/>
      <c r="O455" s="114" t="s">
        <v>3682</v>
      </c>
    </row>
    <row r="456" spans="1:15" s="152" customFormat="1" ht="16.149999999999999" customHeight="1">
      <c r="A456" s="146"/>
      <c r="B456" s="147"/>
      <c r="C456" s="148"/>
      <c r="D456" s="148"/>
      <c r="E456" s="148"/>
      <c r="F456" s="148"/>
      <c r="G456" s="148"/>
      <c r="H456" s="149"/>
      <c r="I456" s="148"/>
      <c r="J456" s="148"/>
      <c r="K456" s="148" t="s">
        <v>1118</v>
      </c>
      <c r="L456" s="148" t="s">
        <v>1582</v>
      </c>
      <c r="M456" s="150">
        <f>M442+M448+M454</f>
        <v>86169</v>
      </c>
      <c r="N456" s="151"/>
    </row>
    <row r="457" spans="1:15" s="152" customFormat="1" ht="16.149999999999999" customHeight="1">
      <c r="A457" s="169"/>
      <c r="B457" s="163"/>
      <c r="C457" s="169"/>
      <c r="D457" s="169"/>
      <c r="E457" s="169"/>
      <c r="F457" s="169"/>
      <c r="G457" s="169"/>
      <c r="H457" s="170"/>
      <c r="I457" s="169"/>
      <c r="J457" s="169"/>
      <c r="K457" s="169"/>
      <c r="L457" s="169"/>
      <c r="M457" s="166"/>
      <c r="N457" s="165"/>
      <c r="O457" s="114"/>
    </row>
    <row r="458" spans="1:15" s="107" customFormat="1" ht="16.149999999999999" customHeight="1">
      <c r="A458" s="451">
        <f>A439+1</f>
        <v>25</v>
      </c>
      <c r="B458" s="99" t="s">
        <v>1100</v>
      </c>
      <c r="C458" s="100" t="s">
        <v>1526</v>
      </c>
      <c r="D458" s="101" t="s">
        <v>1389</v>
      </c>
      <c r="E458" s="102"/>
      <c r="F458" s="102"/>
      <c r="G458" s="100"/>
      <c r="H458" s="103" t="s">
        <v>1527</v>
      </c>
      <c r="I458" s="100" t="s">
        <v>1526</v>
      </c>
      <c r="J458" s="102" t="s">
        <v>1390</v>
      </c>
      <c r="K458" s="104" t="s">
        <v>847</v>
      </c>
      <c r="L458" s="100" t="s">
        <v>1526</v>
      </c>
      <c r="M458" s="105" t="s">
        <v>512</v>
      </c>
      <c r="N458" s="106"/>
    </row>
    <row r="459" spans="1:15" ht="16.149999999999999" customHeight="1">
      <c r="A459" s="108"/>
      <c r="B459" s="109" t="s">
        <v>588</v>
      </c>
      <c r="C459" s="110" t="s">
        <v>1582</v>
      </c>
      <c r="D459" s="110" t="s">
        <v>589</v>
      </c>
      <c r="E459" s="110" t="s">
        <v>86</v>
      </c>
      <c r="F459" s="110" t="s">
        <v>590</v>
      </c>
      <c r="G459" s="110" t="s">
        <v>86</v>
      </c>
      <c r="H459" s="111" t="s">
        <v>513</v>
      </c>
      <c r="I459" s="110"/>
      <c r="J459" s="110"/>
      <c r="K459" s="110"/>
      <c r="L459" s="110"/>
      <c r="M459" s="112"/>
      <c r="N459" s="113"/>
    </row>
    <row r="460" spans="1:15" ht="16.149999999999999" customHeight="1">
      <c r="A460" s="108"/>
      <c r="B460" s="109"/>
      <c r="C460" s="110"/>
      <c r="D460" s="110"/>
      <c r="E460" s="110"/>
      <c r="F460" s="110"/>
      <c r="G460" s="110"/>
      <c r="H460" s="111"/>
      <c r="I460" s="110"/>
      <c r="J460" s="792"/>
      <c r="K460" s="792"/>
      <c r="L460" s="110"/>
      <c r="M460" s="112"/>
      <c r="N460" s="113"/>
    </row>
    <row r="461" spans="1:15" ht="16.149999999999999" customHeight="1">
      <c r="A461" s="115"/>
      <c r="F461" s="117"/>
      <c r="G461" s="118"/>
      <c r="H461" s="119">
        <f>기계경비산출표!$E$68*1000</f>
        <v>19192000</v>
      </c>
      <c r="I461" s="110" t="s">
        <v>972</v>
      </c>
      <c r="J461" s="120">
        <v>2901</v>
      </c>
      <c r="K461" s="118" t="s">
        <v>514</v>
      </c>
      <c r="L461" s="121" t="s">
        <v>1582</v>
      </c>
      <c r="M461" s="112">
        <f>TRUNC(H461*J461*(10^-7))</f>
        <v>5567</v>
      </c>
      <c r="N461" s="113" t="s">
        <v>975</v>
      </c>
    </row>
    <row r="462" spans="1:15" ht="16.149999999999999" customHeight="1">
      <c r="A462" s="115"/>
      <c r="B462" s="122"/>
      <c r="C462" s="118"/>
      <c r="D462" s="33"/>
      <c r="E462" s="110"/>
      <c r="F462" s="118"/>
      <c r="G462" s="118"/>
      <c r="H462" s="123"/>
      <c r="I462" s="118"/>
      <c r="J462" s="110"/>
      <c r="K462" s="110"/>
      <c r="L462" s="110"/>
      <c r="M462" s="112"/>
      <c r="N462" s="113"/>
    </row>
    <row r="463" spans="1:15" ht="16.149999999999999" customHeight="1">
      <c r="A463" s="124"/>
      <c r="B463" s="125" t="s">
        <v>1115</v>
      </c>
      <c r="C463" s="126"/>
      <c r="D463" s="126"/>
      <c r="E463" s="126"/>
      <c r="F463" s="126"/>
      <c r="G463" s="126"/>
      <c r="H463" s="127"/>
      <c r="I463" s="126"/>
      <c r="J463" s="126"/>
      <c r="K463" s="126"/>
      <c r="L463" s="126"/>
      <c r="M463" s="128"/>
      <c r="N463" s="129"/>
    </row>
    <row r="464" spans="1:15" ht="16.149999999999999" customHeight="1">
      <c r="A464" s="130"/>
      <c r="B464" s="131" t="s">
        <v>3186</v>
      </c>
      <c r="C464" s="118"/>
      <c r="D464" s="33">
        <f>SUMIF('노임(2015)'!$B$4:$B$87,B464,'노임(2015)'!$C$4:$C$87)+SUMIF('노임(2015)'!$E$4:$E$87,B464,'노임(2015)'!$F$4:$F$87)</f>
        <v>117523</v>
      </c>
      <c r="E464" s="110" t="s">
        <v>972</v>
      </c>
      <c r="F464" s="110" t="s">
        <v>973</v>
      </c>
      <c r="G464" s="132" t="s">
        <v>974</v>
      </c>
      <c r="H464" s="111"/>
      <c r="I464" s="110"/>
      <c r="J464" s="110"/>
      <c r="K464" s="133">
        <v>1</v>
      </c>
      <c r="L464" s="118" t="s">
        <v>1582</v>
      </c>
      <c r="M464" s="112">
        <f>TRUNC(D464*(1/8)*(16/12)*(25/20)*K464)</f>
        <v>24483</v>
      </c>
      <c r="N464" s="113" t="s">
        <v>975</v>
      </c>
    </row>
    <row r="465" spans="1:15" ht="16.149999999999999" customHeight="1">
      <c r="A465" s="130"/>
      <c r="B465" s="131"/>
      <c r="C465" s="118"/>
      <c r="D465" s="33">
        <f>SUMIF('노임(2015)'!$B$4:$B$87,B465,'노임(2015)'!$C$4:$C$87)+SUMIF('노임(2015)'!$E$4:$E$87,B465,'노임(2015)'!$F$4:$F$87)</f>
        <v>0</v>
      </c>
      <c r="E465" s="110"/>
      <c r="F465" s="110"/>
      <c r="G465" s="132"/>
      <c r="H465" s="111"/>
      <c r="I465" s="110"/>
      <c r="J465" s="110"/>
      <c r="K465" s="134"/>
      <c r="L465" s="118"/>
      <c r="M465" s="112"/>
      <c r="N465" s="113"/>
    </row>
    <row r="466" spans="1:15" ht="18.600000000000001" customHeight="1">
      <c r="A466" s="130"/>
      <c r="B466" s="109"/>
      <c r="C466" s="118"/>
      <c r="D466" s="33"/>
      <c r="E466" s="110"/>
      <c r="F466" s="110"/>
      <c r="G466" s="132"/>
      <c r="H466" s="111"/>
      <c r="I466" s="110"/>
      <c r="J466" s="110"/>
      <c r="K466" s="134"/>
      <c r="L466" s="118"/>
      <c r="M466" s="112"/>
      <c r="N466" s="113"/>
      <c r="O466" s="114" t="s">
        <v>3682</v>
      </c>
    </row>
    <row r="467" spans="1:15" ht="16.149999999999999" customHeight="1">
      <c r="A467" s="130"/>
      <c r="B467" s="109"/>
      <c r="C467" s="118"/>
      <c r="D467" s="110"/>
      <c r="E467" s="110"/>
      <c r="F467" s="110"/>
      <c r="G467" s="110"/>
      <c r="H467" s="111"/>
      <c r="I467" s="791"/>
      <c r="J467" s="791"/>
      <c r="K467" s="118" t="s">
        <v>1164</v>
      </c>
      <c r="L467" s="118" t="s">
        <v>1582</v>
      </c>
      <c r="M467" s="112">
        <f>TRUNC(M464+M465+M466)</f>
        <v>24483</v>
      </c>
      <c r="N467" s="113" t="s">
        <v>975</v>
      </c>
      <c r="O467" s="114" t="s">
        <v>1115</v>
      </c>
    </row>
    <row r="468" spans="1:15" ht="18.600000000000001" customHeight="1">
      <c r="A468" s="130"/>
      <c r="B468" s="109"/>
      <c r="C468" s="118"/>
      <c r="D468" s="110"/>
      <c r="E468" s="110"/>
      <c r="F468" s="110"/>
      <c r="G468" s="110"/>
      <c r="H468" s="111"/>
      <c r="I468" s="118"/>
      <c r="J468" s="118"/>
      <c r="K468" s="118"/>
      <c r="L468" s="118"/>
      <c r="M468" s="112"/>
      <c r="N468" s="113"/>
      <c r="O468" s="114" t="s">
        <v>3682</v>
      </c>
    </row>
    <row r="469" spans="1:15" ht="18.600000000000001" customHeight="1">
      <c r="A469" s="135"/>
      <c r="B469" s="136"/>
      <c r="C469" s="137"/>
      <c r="D469" s="138"/>
      <c r="E469" s="138"/>
      <c r="F469" s="138"/>
      <c r="G469" s="138"/>
      <c r="H469" s="139"/>
      <c r="I469" s="137"/>
      <c r="J469" s="137"/>
      <c r="K469" s="137"/>
      <c r="L469" s="137"/>
      <c r="M469" s="140"/>
      <c r="N469" s="141"/>
      <c r="O469" s="114" t="s">
        <v>3682</v>
      </c>
    </row>
    <row r="470" spans="1:15" ht="16.149999999999999" customHeight="1">
      <c r="A470" s="124"/>
      <c r="B470" s="125" t="s">
        <v>1116</v>
      </c>
      <c r="C470" s="142"/>
      <c r="D470" s="126"/>
      <c r="E470" s="126"/>
      <c r="F470" s="126"/>
      <c r="G470" s="126"/>
      <c r="H470" s="127"/>
      <c r="I470" s="126"/>
      <c r="J470" s="126"/>
      <c r="K470" s="126"/>
      <c r="L470" s="126"/>
      <c r="M470" s="128"/>
      <c r="N470" s="129"/>
    </row>
    <row r="471" spans="1:15" ht="16.149999999999999" customHeight="1">
      <c r="A471" s="130"/>
      <c r="B471" s="131" t="s">
        <v>2461</v>
      </c>
      <c r="C471" s="118" t="s">
        <v>1526</v>
      </c>
      <c r="D471" s="118">
        <v>2.9</v>
      </c>
      <c r="E471" s="110" t="s">
        <v>456</v>
      </c>
      <c r="F471" s="118" t="s">
        <v>972</v>
      </c>
      <c r="G471" s="110"/>
      <c r="H471" s="123">
        <f>중기기준!$G$35</f>
        <v>1114.9000000000001</v>
      </c>
      <c r="I471" s="110" t="s">
        <v>975</v>
      </c>
      <c r="J471" s="110"/>
      <c r="K471" s="110"/>
      <c r="L471" s="118" t="s">
        <v>1582</v>
      </c>
      <c r="M471" s="112">
        <f>TRUNC(D471*H471,2)</f>
        <v>3233.21</v>
      </c>
      <c r="N471" s="113" t="s">
        <v>975</v>
      </c>
    </row>
    <row r="472" spans="1:15" ht="16.149999999999999" customHeight="1">
      <c r="A472" s="130"/>
      <c r="B472" s="109" t="s">
        <v>1556</v>
      </c>
      <c r="C472" s="118" t="s">
        <v>1526</v>
      </c>
      <c r="D472" s="145">
        <v>0.38</v>
      </c>
      <c r="E472" s="110"/>
      <c r="F472" s="118" t="s">
        <v>972</v>
      </c>
      <c r="G472" s="110"/>
      <c r="H472" s="123">
        <f>M471</f>
        <v>3233.21</v>
      </c>
      <c r="I472" s="110" t="s">
        <v>975</v>
      </c>
      <c r="J472" s="110"/>
      <c r="K472" s="110"/>
      <c r="L472" s="118" t="s">
        <v>1582</v>
      </c>
      <c r="M472" s="112">
        <f>TRUNC((D472*H472),2)</f>
        <v>1228.6099999999999</v>
      </c>
      <c r="N472" s="113" t="s">
        <v>975</v>
      </c>
    </row>
    <row r="473" spans="1:15" ht="16.149999999999999" customHeight="1">
      <c r="A473" s="130"/>
      <c r="B473" s="109"/>
      <c r="C473" s="110"/>
      <c r="D473" s="110"/>
      <c r="E473" s="110"/>
      <c r="F473" s="110"/>
      <c r="G473" s="110"/>
      <c r="H473" s="111"/>
      <c r="I473" s="110"/>
      <c r="J473" s="110"/>
      <c r="K473" s="118" t="s">
        <v>1164</v>
      </c>
      <c r="L473" s="118" t="s">
        <v>1582</v>
      </c>
      <c r="M473" s="112">
        <f>TRUNC(SUM(M471:M472))</f>
        <v>4461</v>
      </c>
      <c r="N473" s="113" t="s">
        <v>975</v>
      </c>
    </row>
    <row r="474" spans="1:15" ht="18.600000000000001" customHeight="1">
      <c r="A474" s="135"/>
      <c r="B474" s="136"/>
      <c r="C474" s="138"/>
      <c r="D474" s="138"/>
      <c r="E474" s="138"/>
      <c r="F474" s="138"/>
      <c r="G474" s="138"/>
      <c r="H474" s="139"/>
      <c r="I474" s="138"/>
      <c r="J474" s="138"/>
      <c r="K474" s="137"/>
      <c r="L474" s="137"/>
      <c r="M474" s="140"/>
      <c r="N474" s="141"/>
      <c r="O474" s="114" t="s">
        <v>3682</v>
      </c>
    </row>
    <row r="475" spans="1:15" s="152" customFormat="1" ht="16.149999999999999" customHeight="1">
      <c r="A475" s="146"/>
      <c r="B475" s="147"/>
      <c r="C475" s="148"/>
      <c r="D475" s="148"/>
      <c r="E475" s="148"/>
      <c r="F475" s="148"/>
      <c r="G475" s="148"/>
      <c r="H475" s="149"/>
      <c r="I475" s="148"/>
      <c r="J475" s="148"/>
      <c r="K475" s="148" t="s">
        <v>1118</v>
      </c>
      <c r="L475" s="148" t="s">
        <v>1582</v>
      </c>
      <c r="M475" s="150">
        <f>M461+M467+M473</f>
        <v>34511</v>
      </c>
      <c r="N475" s="151"/>
    </row>
    <row r="476" spans="1:15" ht="16.149999999999999" customHeight="1">
      <c r="A476" s="155"/>
      <c r="B476" s="136"/>
      <c r="C476" s="155"/>
      <c r="D476" s="155"/>
      <c r="E476" s="155"/>
      <c r="F476" s="155"/>
      <c r="G476" s="155"/>
      <c r="H476" s="156"/>
      <c r="I476" s="155"/>
      <c r="J476" s="155"/>
      <c r="K476" s="155"/>
      <c r="L476" s="155"/>
      <c r="M476" s="140"/>
      <c r="N476" s="137"/>
    </row>
    <row r="477" spans="1:15" s="107" customFormat="1" ht="16.149999999999999" customHeight="1">
      <c r="A477" s="451">
        <f>A458+1</f>
        <v>26</v>
      </c>
      <c r="B477" s="99" t="s">
        <v>1100</v>
      </c>
      <c r="C477" s="100" t="s">
        <v>1526</v>
      </c>
      <c r="D477" s="101" t="s">
        <v>1389</v>
      </c>
      <c r="E477" s="102"/>
      <c r="F477" s="102"/>
      <c r="G477" s="100"/>
      <c r="H477" s="103" t="s">
        <v>1527</v>
      </c>
      <c r="I477" s="100" t="s">
        <v>1526</v>
      </c>
      <c r="J477" s="102" t="s">
        <v>90</v>
      </c>
      <c r="K477" s="104" t="s">
        <v>847</v>
      </c>
      <c r="L477" s="100" t="s">
        <v>1526</v>
      </c>
      <c r="M477" s="105" t="s">
        <v>515</v>
      </c>
      <c r="N477" s="106"/>
    </row>
    <row r="478" spans="1:15" ht="16.149999999999999" customHeight="1">
      <c r="A478" s="108"/>
      <c r="B478" s="109" t="s">
        <v>588</v>
      </c>
      <c r="C478" s="110" t="s">
        <v>1582</v>
      </c>
      <c r="D478" s="110" t="s">
        <v>589</v>
      </c>
      <c r="E478" s="110" t="s">
        <v>86</v>
      </c>
      <c r="F478" s="110" t="s">
        <v>590</v>
      </c>
      <c r="G478" s="110" t="s">
        <v>86</v>
      </c>
      <c r="H478" s="111" t="s">
        <v>513</v>
      </c>
      <c r="I478" s="110"/>
      <c r="J478" s="110"/>
      <c r="K478" s="110"/>
      <c r="L478" s="110"/>
      <c r="M478" s="112"/>
      <c r="N478" s="113"/>
    </row>
    <row r="479" spans="1:15" ht="16.149999999999999" customHeight="1">
      <c r="A479" s="108"/>
      <c r="B479" s="109"/>
      <c r="C479" s="110"/>
      <c r="D479" s="110"/>
      <c r="E479" s="110"/>
      <c r="F479" s="110"/>
      <c r="G479" s="110"/>
      <c r="H479" s="111"/>
      <c r="I479" s="110"/>
      <c r="J479" s="792"/>
      <c r="K479" s="792"/>
      <c r="L479" s="110"/>
      <c r="M479" s="112"/>
      <c r="N479" s="113"/>
    </row>
    <row r="480" spans="1:15" ht="16.149999999999999" customHeight="1">
      <c r="A480" s="115"/>
      <c r="F480" s="117"/>
      <c r="G480" s="118"/>
      <c r="H480" s="119">
        <f>기계경비산출표!$E$69*1000</f>
        <v>22406000</v>
      </c>
      <c r="I480" s="110" t="s">
        <v>972</v>
      </c>
      <c r="J480" s="120">
        <v>2901</v>
      </c>
      <c r="K480" s="118" t="s">
        <v>514</v>
      </c>
      <c r="L480" s="121" t="s">
        <v>1582</v>
      </c>
      <c r="M480" s="112">
        <f>TRUNC(H480*J480*(10^-7))</f>
        <v>6499</v>
      </c>
      <c r="N480" s="113" t="s">
        <v>975</v>
      </c>
    </row>
    <row r="481" spans="1:15" ht="16.149999999999999" customHeight="1">
      <c r="A481" s="115"/>
      <c r="B481" s="122"/>
      <c r="C481" s="118"/>
      <c r="D481" s="33"/>
      <c r="E481" s="110"/>
      <c r="F481" s="118"/>
      <c r="G481" s="118"/>
      <c r="H481" s="123"/>
      <c r="I481" s="118"/>
      <c r="J481" s="110"/>
      <c r="K481" s="110"/>
      <c r="L481" s="110"/>
      <c r="M481" s="112"/>
      <c r="N481" s="113"/>
    </row>
    <row r="482" spans="1:15" ht="16.149999999999999" customHeight="1">
      <c r="A482" s="124"/>
      <c r="B482" s="125" t="s">
        <v>1115</v>
      </c>
      <c r="C482" s="126"/>
      <c r="D482" s="126"/>
      <c r="E482" s="126"/>
      <c r="F482" s="126"/>
      <c r="G482" s="126"/>
      <c r="H482" s="127"/>
      <c r="I482" s="126"/>
      <c r="J482" s="126"/>
      <c r="K482" s="126"/>
      <c r="L482" s="126"/>
      <c r="M482" s="128"/>
      <c r="N482" s="129"/>
    </row>
    <row r="483" spans="1:15" ht="16.149999999999999" customHeight="1">
      <c r="A483" s="130"/>
      <c r="B483" s="131" t="s">
        <v>3186</v>
      </c>
      <c r="C483" s="118"/>
      <c r="D483" s="33">
        <f>SUMIF('노임(2015)'!$B$4:$B$87,B483,'노임(2015)'!$C$4:$C$87)+SUMIF('노임(2015)'!$E$4:$E$87,B483,'노임(2015)'!$F$4:$F$87)</f>
        <v>117523</v>
      </c>
      <c r="E483" s="110" t="s">
        <v>972</v>
      </c>
      <c r="F483" s="110" t="s">
        <v>973</v>
      </c>
      <c r="G483" s="132" t="s">
        <v>974</v>
      </c>
      <c r="H483" s="111"/>
      <c r="I483" s="110"/>
      <c r="J483" s="110"/>
      <c r="K483" s="133">
        <v>1</v>
      </c>
      <c r="L483" s="118" t="s">
        <v>1582</v>
      </c>
      <c r="M483" s="112">
        <f>TRUNC(D483*(1/8)*(16/12)*(25/20)*K483)</f>
        <v>24483</v>
      </c>
      <c r="N483" s="113" t="s">
        <v>975</v>
      </c>
    </row>
    <row r="484" spans="1:15" ht="16.149999999999999" customHeight="1">
      <c r="A484" s="130"/>
      <c r="B484" s="131"/>
      <c r="C484" s="118"/>
      <c r="D484" s="33">
        <f>SUMIF('노임(2015)'!$B$4:$B$87,B484,'노임(2015)'!$C$4:$C$87)+SUMIF('노임(2015)'!$E$4:$E$87,B484,'노임(2015)'!$F$4:$F$87)</f>
        <v>0</v>
      </c>
      <c r="E484" s="110"/>
      <c r="F484" s="110"/>
      <c r="G484" s="132"/>
      <c r="H484" s="111"/>
      <c r="I484" s="110"/>
      <c r="J484" s="110"/>
      <c r="K484" s="134"/>
      <c r="L484" s="118"/>
      <c r="M484" s="112"/>
      <c r="N484" s="113"/>
    </row>
    <row r="485" spans="1:15" ht="18.600000000000001" customHeight="1">
      <c r="A485" s="130"/>
      <c r="B485" s="109"/>
      <c r="C485" s="118"/>
      <c r="D485" s="33"/>
      <c r="E485" s="110"/>
      <c r="F485" s="110"/>
      <c r="G485" s="132"/>
      <c r="H485" s="111"/>
      <c r="I485" s="110"/>
      <c r="J485" s="110"/>
      <c r="K485" s="134"/>
      <c r="L485" s="118"/>
      <c r="M485" s="112"/>
      <c r="N485" s="113"/>
      <c r="O485" s="114" t="s">
        <v>3682</v>
      </c>
    </row>
    <row r="486" spans="1:15" ht="16.149999999999999" customHeight="1">
      <c r="A486" s="130"/>
      <c r="B486" s="109"/>
      <c r="C486" s="118"/>
      <c r="D486" s="110"/>
      <c r="E486" s="110"/>
      <c r="F486" s="110"/>
      <c r="G486" s="110"/>
      <c r="H486" s="111"/>
      <c r="I486" s="791"/>
      <c r="J486" s="791"/>
      <c r="K486" s="118" t="s">
        <v>1164</v>
      </c>
      <c r="L486" s="118" t="s">
        <v>1582</v>
      </c>
      <c r="M486" s="112">
        <f>TRUNC(M483+M484+M485)</f>
        <v>24483</v>
      </c>
      <c r="N486" s="113" t="s">
        <v>975</v>
      </c>
      <c r="O486" s="114" t="s">
        <v>1115</v>
      </c>
    </row>
    <row r="487" spans="1:15" ht="18.600000000000001" customHeight="1">
      <c r="A487" s="130"/>
      <c r="B487" s="109"/>
      <c r="C487" s="118"/>
      <c r="D487" s="110"/>
      <c r="E487" s="110"/>
      <c r="F487" s="110"/>
      <c r="G487" s="110"/>
      <c r="H487" s="111"/>
      <c r="I487" s="118"/>
      <c r="J487" s="118"/>
      <c r="K487" s="118"/>
      <c r="L487" s="118"/>
      <c r="M487" s="112"/>
      <c r="N487" s="113"/>
      <c r="O487" s="114" t="s">
        <v>3682</v>
      </c>
    </row>
    <row r="488" spans="1:15" ht="18.600000000000001" customHeight="1">
      <c r="A488" s="135"/>
      <c r="B488" s="136"/>
      <c r="C488" s="137"/>
      <c r="D488" s="138"/>
      <c r="E488" s="138"/>
      <c r="F488" s="138"/>
      <c r="G488" s="138"/>
      <c r="H488" s="139"/>
      <c r="I488" s="137"/>
      <c r="J488" s="137"/>
      <c r="K488" s="137"/>
      <c r="L488" s="137"/>
      <c r="M488" s="140"/>
      <c r="N488" s="141"/>
      <c r="O488" s="114" t="s">
        <v>3682</v>
      </c>
    </row>
    <row r="489" spans="1:15" ht="16.149999999999999" customHeight="1">
      <c r="A489" s="124"/>
      <c r="B489" s="125" t="s">
        <v>1116</v>
      </c>
      <c r="C489" s="142"/>
      <c r="D489" s="126"/>
      <c r="E489" s="126"/>
      <c r="F489" s="126"/>
      <c r="G489" s="126"/>
      <c r="H489" s="127"/>
      <c r="I489" s="126"/>
      <c r="J489" s="126"/>
      <c r="K489" s="126"/>
      <c r="L489" s="126"/>
      <c r="M489" s="128"/>
      <c r="N489" s="129"/>
    </row>
    <row r="490" spans="1:15" ht="16.149999999999999" customHeight="1">
      <c r="A490" s="130"/>
      <c r="B490" s="131" t="s">
        <v>2461</v>
      </c>
      <c r="C490" s="118" t="s">
        <v>1526</v>
      </c>
      <c r="D490" s="118">
        <v>5</v>
      </c>
      <c r="E490" s="110" t="s">
        <v>456</v>
      </c>
      <c r="F490" s="118" t="s">
        <v>972</v>
      </c>
      <c r="G490" s="110"/>
      <c r="H490" s="123">
        <f>중기기준!$G$35</f>
        <v>1114.9000000000001</v>
      </c>
      <c r="I490" s="110" t="s">
        <v>975</v>
      </c>
      <c r="J490" s="110"/>
      <c r="K490" s="110"/>
      <c r="L490" s="118" t="s">
        <v>1582</v>
      </c>
      <c r="M490" s="112">
        <f>TRUNC(D490*H490,2)</f>
        <v>5574.5</v>
      </c>
      <c r="N490" s="113" t="s">
        <v>975</v>
      </c>
    </row>
    <row r="491" spans="1:15" ht="16.149999999999999" customHeight="1">
      <c r="A491" s="130"/>
      <c r="B491" s="109" t="s">
        <v>1556</v>
      </c>
      <c r="C491" s="118" t="s">
        <v>1526</v>
      </c>
      <c r="D491" s="145">
        <v>0.38</v>
      </c>
      <c r="E491" s="110"/>
      <c r="F491" s="118" t="s">
        <v>972</v>
      </c>
      <c r="G491" s="110"/>
      <c r="H491" s="123">
        <f>M490</f>
        <v>5574.5</v>
      </c>
      <c r="I491" s="110" t="s">
        <v>975</v>
      </c>
      <c r="J491" s="110"/>
      <c r="K491" s="110"/>
      <c r="L491" s="118" t="s">
        <v>1582</v>
      </c>
      <c r="M491" s="112">
        <f>TRUNC((D491*H491),2)</f>
        <v>2118.31</v>
      </c>
      <c r="N491" s="113" t="s">
        <v>975</v>
      </c>
    </row>
    <row r="492" spans="1:15" ht="16.149999999999999" customHeight="1">
      <c r="A492" s="130"/>
      <c r="B492" s="109"/>
      <c r="C492" s="110"/>
      <c r="D492" s="110"/>
      <c r="E492" s="110"/>
      <c r="F492" s="110"/>
      <c r="G492" s="110"/>
      <c r="H492" s="111"/>
      <c r="I492" s="110"/>
      <c r="J492" s="110"/>
      <c r="K492" s="118" t="s">
        <v>1164</v>
      </c>
      <c r="L492" s="118" t="s">
        <v>1582</v>
      </c>
      <c r="M492" s="112">
        <f>TRUNC(SUM(M490:M491))</f>
        <v>7692</v>
      </c>
      <c r="N492" s="113" t="s">
        <v>975</v>
      </c>
    </row>
    <row r="493" spans="1:15" ht="18.600000000000001" customHeight="1">
      <c r="A493" s="135"/>
      <c r="B493" s="136"/>
      <c r="C493" s="138"/>
      <c r="D493" s="138"/>
      <c r="E493" s="138"/>
      <c r="F493" s="138"/>
      <c r="G493" s="138"/>
      <c r="H493" s="139"/>
      <c r="I493" s="138"/>
      <c r="J493" s="138"/>
      <c r="K493" s="137"/>
      <c r="L493" s="137"/>
      <c r="M493" s="140"/>
      <c r="N493" s="141"/>
      <c r="O493" s="114" t="s">
        <v>3682</v>
      </c>
    </row>
    <row r="494" spans="1:15" s="152" customFormat="1" ht="16.149999999999999" customHeight="1">
      <c r="A494" s="146"/>
      <c r="B494" s="147"/>
      <c r="C494" s="148"/>
      <c r="D494" s="148"/>
      <c r="E494" s="148"/>
      <c r="F494" s="148"/>
      <c r="G494" s="148"/>
      <c r="H494" s="149"/>
      <c r="I494" s="148"/>
      <c r="J494" s="148"/>
      <c r="K494" s="148" t="s">
        <v>1118</v>
      </c>
      <c r="L494" s="148" t="s">
        <v>1582</v>
      </c>
      <c r="M494" s="150">
        <f>M480+M486+M492</f>
        <v>38674</v>
      </c>
      <c r="N494" s="151"/>
    </row>
    <row r="495" spans="1:15" s="152" customFormat="1" ht="16.149999999999999" customHeight="1">
      <c r="A495" s="169"/>
      <c r="B495" s="163"/>
      <c r="C495" s="169"/>
      <c r="D495" s="169"/>
      <c r="E495" s="169"/>
      <c r="F495" s="169"/>
      <c r="G495" s="169"/>
      <c r="H495" s="170"/>
      <c r="I495" s="169"/>
      <c r="J495" s="169"/>
      <c r="K495" s="169"/>
      <c r="L495" s="169"/>
      <c r="M495" s="166"/>
      <c r="N495" s="165"/>
      <c r="O495" s="114"/>
    </row>
    <row r="496" spans="1:15" s="107" customFormat="1" ht="16.149999999999999" customHeight="1">
      <c r="A496" s="451">
        <f>A477+1</f>
        <v>27</v>
      </c>
      <c r="B496" s="99" t="s">
        <v>1100</v>
      </c>
      <c r="C496" s="100" t="s">
        <v>1526</v>
      </c>
      <c r="D496" s="101" t="s">
        <v>1389</v>
      </c>
      <c r="E496" s="102"/>
      <c r="F496" s="102"/>
      <c r="G496" s="100"/>
      <c r="H496" s="103" t="s">
        <v>1527</v>
      </c>
      <c r="I496" s="100" t="s">
        <v>1526</v>
      </c>
      <c r="J496" s="102" t="s">
        <v>1391</v>
      </c>
      <c r="K496" s="104" t="s">
        <v>847</v>
      </c>
      <c r="L496" s="100" t="s">
        <v>1526</v>
      </c>
      <c r="M496" s="105" t="s">
        <v>516</v>
      </c>
      <c r="N496" s="106"/>
    </row>
    <row r="497" spans="1:15" ht="16.149999999999999" customHeight="1">
      <c r="A497" s="108"/>
      <c r="B497" s="109" t="s">
        <v>588</v>
      </c>
      <c r="C497" s="110" t="s">
        <v>1582</v>
      </c>
      <c r="D497" s="110" t="s">
        <v>589</v>
      </c>
      <c r="E497" s="110" t="s">
        <v>86</v>
      </c>
      <c r="F497" s="110" t="s">
        <v>590</v>
      </c>
      <c r="G497" s="110" t="s">
        <v>86</v>
      </c>
      <c r="H497" s="111" t="s">
        <v>513</v>
      </c>
      <c r="I497" s="110"/>
      <c r="J497" s="110"/>
      <c r="K497" s="110"/>
      <c r="L497" s="110"/>
      <c r="M497" s="112"/>
      <c r="N497" s="113"/>
    </row>
    <row r="498" spans="1:15" ht="16.149999999999999" customHeight="1">
      <c r="A498" s="108"/>
      <c r="B498" s="109"/>
      <c r="C498" s="110"/>
      <c r="D498" s="110"/>
      <c r="E498" s="110"/>
      <c r="F498" s="110"/>
      <c r="G498" s="110"/>
      <c r="H498" s="111"/>
      <c r="I498" s="110"/>
      <c r="J498" s="792"/>
      <c r="K498" s="792"/>
      <c r="L498" s="110"/>
      <c r="M498" s="112"/>
      <c r="N498" s="113"/>
    </row>
    <row r="499" spans="1:15" ht="16.149999999999999" customHeight="1">
      <c r="A499" s="115"/>
      <c r="F499" s="117"/>
      <c r="G499" s="118"/>
      <c r="H499" s="119">
        <f>기계경비산출표!$E$71*1000</f>
        <v>32646000</v>
      </c>
      <c r="I499" s="110" t="s">
        <v>972</v>
      </c>
      <c r="J499" s="120">
        <v>2754</v>
      </c>
      <c r="K499" s="118" t="s">
        <v>514</v>
      </c>
      <c r="L499" s="121" t="s">
        <v>1582</v>
      </c>
      <c r="M499" s="112">
        <f>TRUNC(H499*J499*(10^-7))</f>
        <v>8990</v>
      </c>
      <c r="N499" s="113" t="s">
        <v>975</v>
      </c>
    </row>
    <row r="500" spans="1:15" ht="16.149999999999999" customHeight="1">
      <c r="A500" s="115"/>
      <c r="B500" s="122"/>
      <c r="C500" s="118"/>
      <c r="D500" s="33"/>
      <c r="E500" s="110"/>
      <c r="F500" s="118"/>
      <c r="G500" s="118"/>
      <c r="H500" s="123"/>
      <c r="I500" s="118"/>
      <c r="J500" s="110"/>
      <c r="K500" s="110"/>
      <c r="L500" s="110"/>
      <c r="M500" s="112"/>
      <c r="N500" s="113"/>
    </row>
    <row r="501" spans="1:15" ht="16.149999999999999" customHeight="1">
      <c r="A501" s="124"/>
      <c r="B501" s="125" t="s">
        <v>1115</v>
      </c>
      <c r="C501" s="126"/>
      <c r="D501" s="126"/>
      <c r="E501" s="126"/>
      <c r="F501" s="126"/>
      <c r="G501" s="126"/>
      <c r="H501" s="127"/>
      <c r="I501" s="126"/>
      <c r="J501" s="126"/>
      <c r="K501" s="126"/>
      <c r="L501" s="126"/>
      <c r="M501" s="128"/>
      <c r="N501" s="129"/>
    </row>
    <row r="502" spans="1:15" ht="16.149999999999999" customHeight="1">
      <c r="A502" s="130"/>
      <c r="B502" s="131" t="s">
        <v>3186</v>
      </c>
      <c r="C502" s="118"/>
      <c r="D502" s="33">
        <f>SUMIF('노임(2015)'!$B$4:$B$87,B502,'노임(2015)'!$C$4:$C$87)+SUMIF('노임(2015)'!$E$4:$E$87,B502,'노임(2015)'!$F$4:$F$87)</f>
        <v>117523</v>
      </c>
      <c r="E502" s="110" t="s">
        <v>972</v>
      </c>
      <c r="F502" s="110" t="s">
        <v>973</v>
      </c>
      <c r="G502" s="132" t="s">
        <v>974</v>
      </c>
      <c r="H502" s="111"/>
      <c r="I502" s="110"/>
      <c r="J502" s="110"/>
      <c r="K502" s="133">
        <v>1</v>
      </c>
      <c r="L502" s="118" t="s">
        <v>1582</v>
      </c>
      <c r="M502" s="112">
        <f>TRUNC(D502*(1/8)*(16/12)*(25/20)*K502)</f>
        <v>24483</v>
      </c>
      <c r="N502" s="113" t="s">
        <v>975</v>
      </c>
    </row>
    <row r="503" spans="1:15" ht="16.149999999999999" customHeight="1">
      <c r="A503" s="130"/>
      <c r="B503" s="131"/>
      <c r="C503" s="118"/>
      <c r="D503" s="33">
        <f>SUMIF('노임(2015)'!$B$4:$B$87,B503,'노임(2015)'!$C$4:$C$87)+SUMIF('노임(2015)'!$E$4:$E$87,B503,'노임(2015)'!$F$4:$F$87)</f>
        <v>0</v>
      </c>
      <c r="E503" s="110"/>
      <c r="F503" s="110"/>
      <c r="G503" s="132"/>
      <c r="H503" s="111"/>
      <c r="I503" s="110"/>
      <c r="J503" s="110"/>
      <c r="K503" s="134"/>
      <c r="L503" s="118"/>
      <c r="M503" s="112"/>
      <c r="N503" s="113"/>
    </row>
    <row r="504" spans="1:15" ht="18.600000000000001" customHeight="1">
      <c r="A504" s="130"/>
      <c r="B504" s="109"/>
      <c r="C504" s="118"/>
      <c r="D504" s="33"/>
      <c r="E504" s="110"/>
      <c r="F504" s="110"/>
      <c r="G504" s="132"/>
      <c r="H504" s="111"/>
      <c r="I504" s="110"/>
      <c r="J504" s="110"/>
      <c r="K504" s="134"/>
      <c r="L504" s="118"/>
      <c r="M504" s="112"/>
      <c r="N504" s="113"/>
      <c r="O504" s="114" t="s">
        <v>3682</v>
      </c>
    </row>
    <row r="505" spans="1:15" ht="16.149999999999999" customHeight="1">
      <c r="A505" s="130"/>
      <c r="B505" s="109"/>
      <c r="C505" s="118"/>
      <c r="D505" s="110"/>
      <c r="E505" s="110"/>
      <c r="F505" s="110"/>
      <c r="G505" s="110"/>
      <c r="H505" s="111"/>
      <c r="I505" s="791"/>
      <c r="J505" s="791"/>
      <c r="K505" s="118" t="s">
        <v>1164</v>
      </c>
      <c r="L505" s="118" t="s">
        <v>1582</v>
      </c>
      <c r="M505" s="112">
        <f>TRUNC(M502+M503+M504)</f>
        <v>24483</v>
      </c>
      <c r="N505" s="113" t="s">
        <v>975</v>
      </c>
      <c r="O505" s="114" t="s">
        <v>1115</v>
      </c>
    </row>
    <row r="506" spans="1:15" ht="18.600000000000001" customHeight="1">
      <c r="A506" s="130"/>
      <c r="B506" s="109"/>
      <c r="C506" s="118"/>
      <c r="D506" s="110"/>
      <c r="E506" s="110"/>
      <c r="F506" s="110"/>
      <c r="G506" s="110"/>
      <c r="H506" s="111"/>
      <c r="I506" s="118"/>
      <c r="J506" s="118"/>
      <c r="K506" s="118"/>
      <c r="L506" s="118"/>
      <c r="M506" s="112"/>
      <c r="N506" s="113"/>
      <c r="O506" s="114" t="s">
        <v>3682</v>
      </c>
    </row>
    <row r="507" spans="1:15" ht="18.600000000000001" customHeight="1">
      <c r="A507" s="135"/>
      <c r="B507" s="136"/>
      <c r="C507" s="137"/>
      <c r="D507" s="138"/>
      <c r="E507" s="138"/>
      <c r="F507" s="138"/>
      <c r="G507" s="138"/>
      <c r="H507" s="139"/>
      <c r="I507" s="137"/>
      <c r="J507" s="137"/>
      <c r="K507" s="137"/>
      <c r="L507" s="137"/>
      <c r="M507" s="140"/>
      <c r="N507" s="141"/>
      <c r="O507" s="114" t="s">
        <v>3682</v>
      </c>
    </row>
    <row r="508" spans="1:15" ht="16.149999999999999" customHeight="1">
      <c r="A508" s="124"/>
      <c r="B508" s="125" t="s">
        <v>1116</v>
      </c>
      <c r="C508" s="142"/>
      <c r="D508" s="126"/>
      <c r="E508" s="126"/>
      <c r="F508" s="126"/>
      <c r="G508" s="126"/>
      <c r="H508" s="127"/>
      <c r="I508" s="126"/>
      <c r="J508" s="126"/>
      <c r="K508" s="126"/>
      <c r="L508" s="126"/>
      <c r="M508" s="128"/>
      <c r="N508" s="129"/>
    </row>
    <row r="509" spans="1:15" ht="16.149999999999999" customHeight="1">
      <c r="A509" s="130"/>
      <c r="B509" s="131" t="s">
        <v>2461</v>
      </c>
      <c r="C509" s="118" t="s">
        <v>1526</v>
      </c>
      <c r="D509" s="118">
        <v>9.3000000000000007</v>
      </c>
      <c r="E509" s="110" t="s">
        <v>456</v>
      </c>
      <c r="F509" s="118" t="s">
        <v>972</v>
      </c>
      <c r="G509" s="110"/>
      <c r="H509" s="123">
        <f>중기기준!$G$35</f>
        <v>1114.9000000000001</v>
      </c>
      <c r="I509" s="110" t="s">
        <v>975</v>
      </c>
      <c r="J509" s="110"/>
      <c r="K509" s="110"/>
      <c r="L509" s="118" t="s">
        <v>1582</v>
      </c>
      <c r="M509" s="112">
        <f>TRUNC(D509*H509,2)</f>
        <v>10368.57</v>
      </c>
      <c r="N509" s="113" t="s">
        <v>975</v>
      </c>
    </row>
    <row r="510" spans="1:15" ht="16.149999999999999" customHeight="1">
      <c r="A510" s="130"/>
      <c r="B510" s="109" t="s">
        <v>1556</v>
      </c>
      <c r="C510" s="118" t="s">
        <v>1526</v>
      </c>
      <c r="D510" s="145">
        <v>0.38</v>
      </c>
      <c r="E510" s="110"/>
      <c r="F510" s="118" t="s">
        <v>972</v>
      </c>
      <c r="G510" s="110"/>
      <c r="H510" s="123">
        <f>M509</f>
        <v>10368.57</v>
      </c>
      <c r="I510" s="110" t="s">
        <v>975</v>
      </c>
      <c r="J510" s="110"/>
      <c r="K510" s="110"/>
      <c r="L510" s="118" t="s">
        <v>1582</v>
      </c>
      <c r="M510" s="112">
        <f>TRUNC((D510*H510),2)</f>
        <v>3940.05</v>
      </c>
      <c r="N510" s="113" t="s">
        <v>975</v>
      </c>
    </row>
    <row r="511" spans="1:15" ht="16.149999999999999" customHeight="1">
      <c r="A511" s="130"/>
      <c r="B511" s="109"/>
      <c r="C511" s="110"/>
      <c r="D511" s="110"/>
      <c r="E511" s="110"/>
      <c r="F511" s="110"/>
      <c r="G511" s="110"/>
      <c r="H511" s="111"/>
      <c r="I511" s="110"/>
      <c r="J511" s="110"/>
      <c r="K511" s="118" t="s">
        <v>1164</v>
      </c>
      <c r="L511" s="118" t="s">
        <v>1582</v>
      </c>
      <c r="M511" s="112">
        <f>TRUNC(SUM(M509:M510))</f>
        <v>14308</v>
      </c>
      <c r="N511" s="113" t="s">
        <v>975</v>
      </c>
    </row>
    <row r="512" spans="1:15" ht="18.600000000000001" customHeight="1">
      <c r="A512" s="135"/>
      <c r="B512" s="136"/>
      <c r="C512" s="138"/>
      <c r="D512" s="138"/>
      <c r="E512" s="138"/>
      <c r="F512" s="138"/>
      <c r="G512" s="138"/>
      <c r="H512" s="139"/>
      <c r="I512" s="138"/>
      <c r="J512" s="138"/>
      <c r="K512" s="137"/>
      <c r="L512" s="137"/>
      <c r="M512" s="140"/>
      <c r="N512" s="141"/>
      <c r="O512" s="114" t="s">
        <v>3682</v>
      </c>
    </row>
    <row r="513" spans="1:15" s="152" customFormat="1" ht="16.149999999999999" customHeight="1">
      <c r="A513" s="146"/>
      <c r="B513" s="147"/>
      <c r="C513" s="148"/>
      <c r="D513" s="148"/>
      <c r="E513" s="148"/>
      <c r="F513" s="148"/>
      <c r="G513" s="148"/>
      <c r="H513" s="149"/>
      <c r="I513" s="148"/>
      <c r="J513" s="148"/>
      <c r="K513" s="148" t="s">
        <v>1118</v>
      </c>
      <c r="L513" s="148" t="s">
        <v>1582</v>
      </c>
      <c r="M513" s="150">
        <f>M499+M505+M511</f>
        <v>47781</v>
      </c>
      <c r="N513" s="151"/>
    </row>
    <row r="514" spans="1:15" s="152" customFormat="1" ht="16.149999999999999" customHeight="1">
      <c r="A514" s="169"/>
      <c r="B514" s="163"/>
      <c r="C514" s="169"/>
      <c r="D514" s="169"/>
      <c r="E514" s="169"/>
      <c r="F514" s="169"/>
      <c r="G514" s="169"/>
      <c r="H514" s="170"/>
      <c r="I514" s="169"/>
      <c r="J514" s="169"/>
      <c r="K514" s="169"/>
      <c r="L514" s="169"/>
      <c r="M514" s="166"/>
      <c r="N514" s="165"/>
      <c r="O514" s="114"/>
    </row>
    <row r="515" spans="1:15" s="107" customFormat="1" ht="16.149999999999999" customHeight="1">
      <c r="A515" s="451">
        <f>A496+1</f>
        <v>28</v>
      </c>
      <c r="B515" s="99" t="s">
        <v>1100</v>
      </c>
      <c r="C515" s="100" t="s">
        <v>1526</v>
      </c>
      <c r="D515" s="101" t="s">
        <v>1389</v>
      </c>
      <c r="E515" s="102"/>
      <c r="F515" s="102"/>
      <c r="G515" s="100"/>
      <c r="H515" s="103" t="s">
        <v>1527</v>
      </c>
      <c r="I515" s="100" t="s">
        <v>1526</v>
      </c>
      <c r="J515" s="102" t="s">
        <v>1392</v>
      </c>
      <c r="K515" s="104" t="s">
        <v>847</v>
      </c>
      <c r="L515" s="100" t="s">
        <v>1526</v>
      </c>
      <c r="M515" s="105" t="s">
        <v>517</v>
      </c>
      <c r="N515" s="106"/>
    </row>
    <row r="516" spans="1:15" ht="16.149999999999999" customHeight="1">
      <c r="A516" s="108"/>
      <c r="B516" s="109" t="s">
        <v>588</v>
      </c>
      <c r="C516" s="110" t="s">
        <v>1582</v>
      </c>
      <c r="D516" s="110" t="s">
        <v>589</v>
      </c>
      <c r="E516" s="110" t="s">
        <v>86</v>
      </c>
      <c r="F516" s="110" t="s">
        <v>590</v>
      </c>
      <c r="G516" s="110" t="s">
        <v>86</v>
      </c>
      <c r="H516" s="111" t="s">
        <v>513</v>
      </c>
      <c r="I516" s="110"/>
      <c r="J516" s="110"/>
      <c r="K516" s="110"/>
      <c r="L516" s="110"/>
      <c r="M516" s="112"/>
      <c r="N516" s="113"/>
    </row>
    <row r="517" spans="1:15" ht="16.149999999999999" customHeight="1">
      <c r="A517" s="108"/>
      <c r="B517" s="109"/>
      <c r="C517" s="110"/>
      <c r="D517" s="110"/>
      <c r="E517" s="110"/>
      <c r="F517" s="110" t="s">
        <v>1811</v>
      </c>
      <c r="G517" s="110"/>
      <c r="H517" s="119">
        <f>기계경비산출표!$E$77*1000</f>
        <v>1250000</v>
      </c>
      <c r="I517" s="110" t="s">
        <v>972</v>
      </c>
      <c r="J517" s="120">
        <v>2637</v>
      </c>
      <c r="K517" s="118" t="s">
        <v>514</v>
      </c>
      <c r="L517" s="121" t="s">
        <v>1582</v>
      </c>
      <c r="M517" s="112">
        <f>TRUNC(H517*J517*(10^-7))</f>
        <v>329</v>
      </c>
      <c r="N517" s="113" t="s">
        <v>975</v>
      </c>
    </row>
    <row r="518" spans="1:15" ht="16.149999999999999" customHeight="1">
      <c r="A518" s="115"/>
      <c r="F518" s="117" t="s">
        <v>1812</v>
      </c>
      <c r="G518" s="118"/>
      <c r="H518" s="119">
        <f>기계경비산출표!$E$73*1000</f>
        <v>78101000</v>
      </c>
      <c r="I518" s="110" t="s">
        <v>972</v>
      </c>
      <c r="J518" s="120">
        <v>2213</v>
      </c>
      <c r="K518" s="118" t="s">
        <v>514</v>
      </c>
      <c r="L518" s="121" t="s">
        <v>1582</v>
      </c>
      <c r="M518" s="112">
        <f>TRUNC(H518*J518*(10^-7))+M517</f>
        <v>17612</v>
      </c>
      <c r="N518" s="113" t="s">
        <v>975</v>
      </c>
    </row>
    <row r="519" spans="1:15" ht="16.149999999999999" customHeight="1">
      <c r="A519" s="115"/>
      <c r="B519" s="122"/>
      <c r="C519" s="118"/>
      <c r="D519" s="33"/>
      <c r="E519" s="110"/>
      <c r="F519" s="118"/>
      <c r="G519" s="118"/>
      <c r="H519" s="123"/>
      <c r="I519" s="118"/>
      <c r="J519" s="110"/>
      <c r="K519" s="110"/>
      <c r="L519" s="110"/>
      <c r="M519" s="112"/>
      <c r="N519" s="113"/>
    </row>
    <row r="520" spans="1:15" ht="16.149999999999999" customHeight="1">
      <c r="A520" s="124"/>
      <c r="B520" s="125" t="s">
        <v>1115</v>
      </c>
      <c r="C520" s="126"/>
      <c r="D520" s="126"/>
      <c r="E520" s="126"/>
      <c r="F520" s="126"/>
      <c r="G520" s="126"/>
      <c r="H520" s="127"/>
      <c r="I520" s="126"/>
      <c r="J520" s="126"/>
      <c r="K520" s="126"/>
      <c r="L520" s="126"/>
      <c r="M520" s="128"/>
      <c r="N520" s="129"/>
    </row>
    <row r="521" spans="1:15" ht="16.149999999999999" customHeight="1">
      <c r="A521" s="130"/>
      <c r="B521" s="131" t="s">
        <v>3185</v>
      </c>
      <c r="C521" s="118"/>
      <c r="D521" s="33">
        <f>SUMIF('노임(2015)'!$B$4:$B$87,B521,'노임(2015)'!$C$4:$C$87)+SUMIF('노임(2015)'!$E$4:$E$87,B521,'노임(2015)'!$F$4:$F$87)</f>
        <v>130411</v>
      </c>
      <c r="E521" s="110" t="s">
        <v>972</v>
      </c>
      <c r="F521" s="110" t="s">
        <v>973</v>
      </c>
      <c r="G521" s="132" t="s">
        <v>974</v>
      </c>
      <c r="H521" s="111"/>
      <c r="I521" s="110"/>
      <c r="J521" s="110"/>
      <c r="K521" s="133">
        <v>1</v>
      </c>
      <c r="L521" s="118" t="s">
        <v>1582</v>
      </c>
      <c r="M521" s="112">
        <f>TRUNC(D521*(1/8)*(16/12)*(25/20)*K521)</f>
        <v>27168</v>
      </c>
      <c r="N521" s="113" t="s">
        <v>975</v>
      </c>
    </row>
    <row r="522" spans="1:15" ht="16.149999999999999" customHeight="1">
      <c r="A522" s="130"/>
      <c r="B522" s="131"/>
      <c r="C522" s="118"/>
      <c r="D522" s="33">
        <f>SUMIF('노임(2015)'!$B$4:$B$87,B522,'노임(2015)'!$C$4:$C$87)+SUMIF('노임(2015)'!$E$4:$E$87,B522,'노임(2015)'!$F$4:$F$87)</f>
        <v>0</v>
      </c>
      <c r="E522" s="110"/>
      <c r="F522" s="110"/>
      <c r="G522" s="132"/>
      <c r="H522" s="111"/>
      <c r="I522" s="110"/>
      <c r="J522" s="110"/>
      <c r="K522" s="134"/>
      <c r="L522" s="118"/>
      <c r="M522" s="112"/>
      <c r="N522" s="113"/>
    </row>
    <row r="523" spans="1:15" ht="18.600000000000001" customHeight="1">
      <c r="A523" s="130"/>
      <c r="B523" s="109"/>
      <c r="C523" s="118"/>
      <c r="D523" s="33"/>
      <c r="E523" s="110"/>
      <c r="F523" s="110"/>
      <c r="G523" s="132"/>
      <c r="H523" s="111"/>
      <c r="I523" s="110"/>
      <c r="J523" s="110"/>
      <c r="K523" s="134"/>
      <c r="L523" s="118"/>
      <c r="M523" s="112"/>
      <c r="N523" s="113"/>
      <c r="O523" s="114" t="s">
        <v>3682</v>
      </c>
    </row>
    <row r="524" spans="1:15" ht="16.149999999999999" customHeight="1">
      <c r="A524" s="130"/>
      <c r="B524" s="109"/>
      <c r="C524" s="118"/>
      <c r="D524" s="110"/>
      <c r="E524" s="110"/>
      <c r="F524" s="110"/>
      <c r="G524" s="110"/>
      <c r="H524" s="111"/>
      <c r="I524" s="791"/>
      <c r="J524" s="791"/>
      <c r="K524" s="118" t="s">
        <v>1164</v>
      </c>
      <c r="L524" s="118" t="s">
        <v>1582</v>
      </c>
      <c r="M524" s="112">
        <f>TRUNC(M521+M522+M523)</f>
        <v>27168</v>
      </c>
      <c r="N524" s="113" t="s">
        <v>975</v>
      </c>
      <c r="O524" s="114" t="s">
        <v>1115</v>
      </c>
    </row>
    <row r="525" spans="1:15" ht="18.600000000000001" customHeight="1">
      <c r="A525" s="130"/>
      <c r="B525" s="109"/>
      <c r="C525" s="118"/>
      <c r="D525" s="110"/>
      <c r="E525" s="110"/>
      <c r="F525" s="110"/>
      <c r="G525" s="110"/>
      <c r="H525" s="111"/>
      <c r="I525" s="118"/>
      <c r="J525" s="118"/>
      <c r="K525" s="118"/>
      <c r="L525" s="118"/>
      <c r="M525" s="112"/>
      <c r="N525" s="113"/>
      <c r="O525" s="114" t="s">
        <v>3682</v>
      </c>
    </row>
    <row r="526" spans="1:15" ht="18.600000000000001" customHeight="1">
      <c r="A526" s="135"/>
      <c r="B526" s="136"/>
      <c r="C526" s="137"/>
      <c r="D526" s="138"/>
      <c r="E526" s="138"/>
      <c r="F526" s="138"/>
      <c r="G526" s="138"/>
      <c r="H526" s="139"/>
      <c r="I526" s="137"/>
      <c r="J526" s="137"/>
      <c r="K526" s="137"/>
      <c r="L526" s="137"/>
      <c r="M526" s="140"/>
      <c r="N526" s="141"/>
      <c r="O526" s="114" t="s">
        <v>3682</v>
      </c>
    </row>
    <row r="527" spans="1:15" ht="16.149999999999999" customHeight="1">
      <c r="A527" s="124"/>
      <c r="B527" s="125" t="s">
        <v>1116</v>
      </c>
      <c r="C527" s="142"/>
      <c r="D527" s="126"/>
      <c r="E527" s="126"/>
      <c r="F527" s="126"/>
      <c r="G527" s="126"/>
      <c r="H527" s="127"/>
      <c r="I527" s="126"/>
      <c r="J527" s="126"/>
      <c r="K527" s="126"/>
      <c r="L527" s="126"/>
      <c r="M527" s="128"/>
      <c r="N527" s="129"/>
    </row>
    <row r="528" spans="1:15" ht="16.149999999999999" customHeight="1">
      <c r="A528" s="130"/>
      <c r="B528" s="131" t="s">
        <v>2461</v>
      </c>
      <c r="C528" s="118" t="s">
        <v>1526</v>
      </c>
      <c r="D528" s="118">
        <v>15.9</v>
      </c>
      <c r="E528" s="110" t="s">
        <v>456</v>
      </c>
      <c r="F528" s="118" t="s">
        <v>972</v>
      </c>
      <c r="G528" s="110"/>
      <c r="H528" s="123">
        <f>중기기준!$G$35</f>
        <v>1114.9000000000001</v>
      </c>
      <c r="I528" s="110" t="s">
        <v>975</v>
      </c>
      <c r="J528" s="110"/>
      <c r="K528" s="110"/>
      <c r="L528" s="118" t="s">
        <v>1582</v>
      </c>
      <c r="M528" s="112">
        <f>TRUNC(D528*H528,2)</f>
        <v>17726.91</v>
      </c>
      <c r="N528" s="113" t="s">
        <v>975</v>
      </c>
    </row>
    <row r="529" spans="1:15" ht="16.149999999999999" customHeight="1">
      <c r="A529" s="130"/>
      <c r="B529" s="109" t="s">
        <v>1556</v>
      </c>
      <c r="C529" s="118" t="s">
        <v>1526</v>
      </c>
      <c r="D529" s="145">
        <v>0.38</v>
      </c>
      <c r="E529" s="110"/>
      <c r="F529" s="118" t="s">
        <v>972</v>
      </c>
      <c r="G529" s="110"/>
      <c r="H529" s="123">
        <f>M528</f>
        <v>17726.91</v>
      </c>
      <c r="I529" s="110" t="s">
        <v>975</v>
      </c>
      <c r="J529" s="110"/>
      <c r="K529" s="110"/>
      <c r="L529" s="118" t="s">
        <v>1582</v>
      </c>
      <c r="M529" s="112">
        <f>TRUNC((D529*H529),2)</f>
        <v>6736.22</v>
      </c>
      <c r="N529" s="113" t="s">
        <v>975</v>
      </c>
    </row>
    <row r="530" spans="1:15" ht="16.149999999999999" customHeight="1">
      <c r="A530" s="130"/>
      <c r="B530" s="109"/>
      <c r="C530" s="110"/>
      <c r="D530" s="110"/>
      <c r="E530" s="110"/>
      <c r="F530" s="110"/>
      <c r="G530" s="110"/>
      <c r="H530" s="111"/>
      <c r="I530" s="110"/>
      <c r="J530" s="110"/>
      <c r="K530" s="118" t="s">
        <v>1164</v>
      </c>
      <c r="L530" s="118" t="s">
        <v>1582</v>
      </c>
      <c r="M530" s="112">
        <f>TRUNC(SUM(M528:M529))</f>
        <v>24463</v>
      </c>
      <c r="N530" s="113" t="s">
        <v>975</v>
      </c>
    </row>
    <row r="531" spans="1:15" ht="18.600000000000001" customHeight="1">
      <c r="A531" s="135"/>
      <c r="B531" s="136"/>
      <c r="C531" s="138"/>
      <c r="D531" s="138"/>
      <c r="E531" s="138"/>
      <c r="F531" s="138"/>
      <c r="G531" s="138"/>
      <c r="H531" s="139"/>
      <c r="I531" s="138"/>
      <c r="J531" s="138"/>
      <c r="K531" s="137"/>
      <c r="L531" s="137"/>
      <c r="M531" s="140"/>
      <c r="N531" s="141"/>
      <c r="O531" s="114" t="s">
        <v>3682</v>
      </c>
    </row>
    <row r="532" spans="1:15" s="152" customFormat="1" ht="16.149999999999999" customHeight="1">
      <c r="A532" s="146"/>
      <c r="B532" s="147"/>
      <c r="C532" s="148"/>
      <c r="D532" s="148"/>
      <c r="E532" s="148"/>
      <c r="F532" s="148"/>
      <c r="G532" s="148"/>
      <c r="H532" s="149"/>
      <c r="I532" s="148"/>
      <c r="J532" s="148"/>
      <c r="K532" s="148" t="s">
        <v>1118</v>
      </c>
      <c r="L532" s="148" t="s">
        <v>1582</v>
      </c>
      <c r="M532" s="150">
        <f>M518+M524+M530</f>
        <v>69243</v>
      </c>
      <c r="N532" s="151"/>
    </row>
    <row r="533" spans="1:15" s="152" customFormat="1" ht="16.149999999999999" customHeight="1">
      <c r="A533" s="169"/>
      <c r="B533" s="163"/>
      <c r="C533" s="169"/>
      <c r="D533" s="169"/>
      <c r="E533" s="169"/>
      <c r="F533" s="169"/>
      <c r="G533" s="169"/>
      <c r="H533" s="170"/>
      <c r="I533" s="169"/>
      <c r="J533" s="169"/>
      <c r="K533" s="169"/>
      <c r="L533" s="169"/>
      <c r="M533" s="166"/>
      <c r="N533" s="165"/>
      <c r="O533" s="114"/>
    </row>
    <row r="534" spans="1:15" s="107" customFormat="1" ht="16.149999999999999" customHeight="1">
      <c r="A534" s="451">
        <f>A515+1</f>
        <v>29</v>
      </c>
      <c r="B534" s="99" t="s">
        <v>1100</v>
      </c>
      <c r="C534" s="100" t="s">
        <v>1526</v>
      </c>
      <c r="D534" s="101" t="s">
        <v>1389</v>
      </c>
      <c r="E534" s="102"/>
      <c r="F534" s="102"/>
      <c r="G534" s="100"/>
      <c r="H534" s="103" t="s">
        <v>1527</v>
      </c>
      <c r="I534" s="100" t="s">
        <v>1526</v>
      </c>
      <c r="J534" s="102" t="s">
        <v>1196</v>
      </c>
      <c r="K534" s="104" t="s">
        <v>847</v>
      </c>
      <c r="L534" s="100" t="s">
        <v>1526</v>
      </c>
      <c r="M534" s="168" t="s">
        <v>1864</v>
      </c>
      <c r="N534" s="106"/>
    </row>
    <row r="535" spans="1:15" ht="16.149999999999999" customHeight="1">
      <c r="A535" s="108"/>
      <c r="B535" s="109" t="s">
        <v>588</v>
      </c>
      <c r="C535" s="110" t="s">
        <v>1582</v>
      </c>
      <c r="D535" s="110" t="s">
        <v>589</v>
      </c>
      <c r="E535" s="110" t="s">
        <v>86</v>
      </c>
      <c r="F535" s="110" t="s">
        <v>590</v>
      </c>
      <c r="G535" s="110" t="s">
        <v>86</v>
      </c>
      <c r="H535" s="111" t="s">
        <v>513</v>
      </c>
      <c r="I535" s="110"/>
      <c r="J535" s="110"/>
      <c r="K535" s="110"/>
      <c r="L535" s="110"/>
      <c r="M535" s="112"/>
      <c r="N535" s="113"/>
    </row>
    <row r="536" spans="1:15" ht="16.149999999999999" customHeight="1">
      <c r="A536" s="108"/>
      <c r="B536" s="109"/>
      <c r="C536" s="110"/>
      <c r="D536" s="110"/>
      <c r="E536" s="110"/>
      <c r="F536" s="110" t="s">
        <v>1811</v>
      </c>
      <c r="G536" s="110"/>
      <c r="H536" s="119">
        <f>기계경비산출표!$E$78*1000</f>
        <v>1350000</v>
      </c>
      <c r="I536" s="110" t="s">
        <v>972</v>
      </c>
      <c r="J536" s="120">
        <v>2637</v>
      </c>
      <c r="K536" s="118" t="s">
        <v>514</v>
      </c>
      <c r="L536" s="121" t="s">
        <v>1582</v>
      </c>
      <c r="M536" s="112">
        <f>TRUNC(H536*J536*(10^-7))</f>
        <v>355</v>
      </c>
      <c r="N536" s="113" t="s">
        <v>975</v>
      </c>
    </row>
    <row r="537" spans="1:15" ht="16.149999999999999" customHeight="1">
      <c r="A537" s="115"/>
      <c r="F537" s="117" t="s">
        <v>1812</v>
      </c>
      <c r="G537" s="118"/>
      <c r="H537" s="119">
        <f>기계경비산출표!$E$74*1000</f>
        <v>111177000</v>
      </c>
      <c r="I537" s="110" t="s">
        <v>972</v>
      </c>
      <c r="J537" s="120">
        <v>2163</v>
      </c>
      <c r="K537" s="118" t="s">
        <v>514</v>
      </c>
      <c r="L537" s="121" t="s">
        <v>1582</v>
      </c>
      <c r="M537" s="112">
        <f>TRUNC(H537*J537*(10^-7))+M536</f>
        <v>24402</v>
      </c>
      <c r="N537" s="113" t="s">
        <v>975</v>
      </c>
    </row>
    <row r="538" spans="1:15" ht="16.149999999999999" customHeight="1">
      <c r="A538" s="115"/>
      <c r="B538" s="122"/>
      <c r="C538" s="118"/>
      <c r="D538" s="33"/>
      <c r="E538" s="110"/>
      <c r="F538" s="118"/>
      <c r="G538" s="118"/>
      <c r="H538" s="123"/>
      <c r="I538" s="118"/>
      <c r="J538" s="110"/>
      <c r="K538" s="110"/>
      <c r="L538" s="110"/>
      <c r="M538" s="112"/>
      <c r="N538" s="113"/>
    </row>
    <row r="539" spans="1:15" ht="16.149999999999999" customHeight="1">
      <c r="A539" s="124"/>
      <c r="B539" s="125" t="s">
        <v>1115</v>
      </c>
      <c r="C539" s="126"/>
      <c r="D539" s="126"/>
      <c r="E539" s="126"/>
      <c r="F539" s="126"/>
      <c r="G539" s="126"/>
      <c r="H539" s="127"/>
      <c r="I539" s="126"/>
      <c r="J539" s="126"/>
      <c r="K539" s="126"/>
      <c r="L539" s="126"/>
      <c r="M539" s="128"/>
      <c r="N539" s="129"/>
    </row>
    <row r="540" spans="1:15" ht="16.149999999999999" customHeight="1">
      <c r="A540" s="130"/>
      <c r="B540" s="131" t="s">
        <v>3185</v>
      </c>
      <c r="C540" s="118"/>
      <c r="D540" s="33">
        <f>SUMIF('노임(2015)'!$B$4:$B$87,B540,'노임(2015)'!$C$4:$C$87)+SUMIF('노임(2015)'!$E$4:$E$87,B540,'노임(2015)'!$F$4:$F$87)</f>
        <v>130411</v>
      </c>
      <c r="E540" s="110" t="s">
        <v>972</v>
      </c>
      <c r="F540" s="110" t="s">
        <v>973</v>
      </c>
      <c r="G540" s="132" t="s">
        <v>974</v>
      </c>
      <c r="H540" s="111"/>
      <c r="I540" s="110"/>
      <c r="J540" s="110"/>
      <c r="K540" s="133">
        <v>1</v>
      </c>
      <c r="L540" s="118" t="s">
        <v>1582</v>
      </c>
      <c r="M540" s="112">
        <f>TRUNC(D540*(1/8)*(16/12)*(25/20)*K540)</f>
        <v>27168</v>
      </c>
      <c r="N540" s="113" t="s">
        <v>975</v>
      </c>
    </row>
    <row r="541" spans="1:15" ht="16.149999999999999" customHeight="1">
      <c r="A541" s="130"/>
      <c r="B541" s="131"/>
      <c r="C541" s="118"/>
      <c r="D541" s="33">
        <f>SUMIF('노임(2015)'!$B$4:$B$87,B541,'노임(2015)'!$C$4:$C$87)+SUMIF('노임(2015)'!$E$4:$E$87,B541,'노임(2015)'!$F$4:$F$87)</f>
        <v>0</v>
      </c>
      <c r="E541" s="110"/>
      <c r="F541" s="110"/>
      <c r="G541" s="132"/>
      <c r="H541" s="111"/>
      <c r="I541" s="110"/>
      <c r="J541" s="110"/>
      <c r="K541" s="134"/>
      <c r="L541" s="118"/>
      <c r="M541" s="112"/>
      <c r="N541" s="113"/>
    </row>
    <row r="542" spans="1:15" ht="18.600000000000001" customHeight="1">
      <c r="A542" s="130"/>
      <c r="B542" s="109"/>
      <c r="C542" s="118"/>
      <c r="D542" s="33"/>
      <c r="E542" s="110"/>
      <c r="F542" s="110"/>
      <c r="G542" s="132"/>
      <c r="H542" s="111"/>
      <c r="I542" s="110"/>
      <c r="J542" s="110"/>
      <c r="K542" s="134"/>
      <c r="L542" s="118"/>
      <c r="M542" s="112"/>
      <c r="N542" s="113"/>
      <c r="O542" s="114" t="s">
        <v>3682</v>
      </c>
    </row>
    <row r="543" spans="1:15" ht="16.149999999999999" customHeight="1">
      <c r="A543" s="130"/>
      <c r="B543" s="109"/>
      <c r="C543" s="118"/>
      <c r="D543" s="110"/>
      <c r="E543" s="110"/>
      <c r="F543" s="110"/>
      <c r="G543" s="110"/>
      <c r="H543" s="111"/>
      <c r="I543" s="791"/>
      <c r="J543" s="791"/>
      <c r="K543" s="118" t="s">
        <v>1164</v>
      </c>
      <c r="L543" s="118" t="s">
        <v>1582</v>
      </c>
      <c r="M543" s="112">
        <f>TRUNC(M540+M541+M542)</f>
        <v>27168</v>
      </c>
      <c r="N543" s="113" t="s">
        <v>975</v>
      </c>
      <c r="O543" s="114" t="s">
        <v>1115</v>
      </c>
    </row>
    <row r="544" spans="1:15" ht="18.600000000000001" customHeight="1">
      <c r="A544" s="130"/>
      <c r="B544" s="109"/>
      <c r="C544" s="118"/>
      <c r="D544" s="110"/>
      <c r="E544" s="110"/>
      <c r="F544" s="110"/>
      <c r="G544" s="110"/>
      <c r="H544" s="111"/>
      <c r="I544" s="118"/>
      <c r="J544" s="118"/>
      <c r="K544" s="118"/>
      <c r="L544" s="118"/>
      <c r="M544" s="112"/>
      <c r="N544" s="113"/>
      <c r="O544" s="114" t="s">
        <v>3682</v>
      </c>
    </row>
    <row r="545" spans="1:15" ht="18.600000000000001" customHeight="1">
      <c r="A545" s="135"/>
      <c r="B545" s="136"/>
      <c r="C545" s="137"/>
      <c r="D545" s="138"/>
      <c r="E545" s="138"/>
      <c r="F545" s="138"/>
      <c r="G545" s="138"/>
      <c r="H545" s="139"/>
      <c r="I545" s="137"/>
      <c r="J545" s="137"/>
      <c r="K545" s="137"/>
      <c r="L545" s="137"/>
      <c r="M545" s="140"/>
      <c r="N545" s="141"/>
      <c r="O545" s="114" t="s">
        <v>3682</v>
      </c>
    </row>
    <row r="546" spans="1:15" ht="16.149999999999999" customHeight="1">
      <c r="A546" s="124"/>
      <c r="B546" s="125" t="s">
        <v>1116</v>
      </c>
      <c r="C546" s="142"/>
      <c r="D546" s="126"/>
      <c r="E546" s="126"/>
      <c r="F546" s="126"/>
      <c r="G546" s="126"/>
      <c r="H546" s="127"/>
      <c r="I546" s="126"/>
      <c r="J546" s="126"/>
      <c r="K546" s="126"/>
      <c r="L546" s="126"/>
      <c r="M546" s="128"/>
      <c r="N546" s="129"/>
    </row>
    <row r="547" spans="1:15" ht="16.149999999999999" customHeight="1">
      <c r="A547" s="130"/>
      <c r="B547" s="131" t="s">
        <v>2461</v>
      </c>
      <c r="C547" s="118" t="s">
        <v>1526</v>
      </c>
      <c r="D547" s="118">
        <v>20</v>
      </c>
      <c r="E547" s="110" t="s">
        <v>456</v>
      </c>
      <c r="F547" s="118" t="s">
        <v>972</v>
      </c>
      <c r="G547" s="110"/>
      <c r="H547" s="123">
        <f>중기기준!$G$35</f>
        <v>1114.9000000000001</v>
      </c>
      <c r="I547" s="110" t="s">
        <v>975</v>
      </c>
      <c r="J547" s="110"/>
      <c r="K547" s="110"/>
      <c r="L547" s="118" t="s">
        <v>1582</v>
      </c>
      <c r="M547" s="112">
        <f>TRUNC(D547*H547,2)</f>
        <v>22298</v>
      </c>
      <c r="N547" s="113" t="s">
        <v>975</v>
      </c>
    </row>
    <row r="548" spans="1:15" ht="16.149999999999999" customHeight="1">
      <c r="A548" s="130"/>
      <c r="B548" s="109" t="s">
        <v>1556</v>
      </c>
      <c r="C548" s="118" t="s">
        <v>1526</v>
      </c>
      <c r="D548" s="145">
        <v>0.38</v>
      </c>
      <c r="E548" s="110"/>
      <c r="F548" s="118" t="s">
        <v>972</v>
      </c>
      <c r="G548" s="110"/>
      <c r="H548" s="123">
        <f>M547</f>
        <v>22298</v>
      </c>
      <c r="I548" s="110" t="s">
        <v>975</v>
      </c>
      <c r="J548" s="110"/>
      <c r="K548" s="110"/>
      <c r="L548" s="118" t="s">
        <v>1582</v>
      </c>
      <c r="M548" s="112">
        <f>TRUNC((D548*H548),2)</f>
        <v>8473.24</v>
      </c>
      <c r="N548" s="113" t="s">
        <v>975</v>
      </c>
    </row>
    <row r="549" spans="1:15" ht="16.149999999999999" customHeight="1">
      <c r="A549" s="130"/>
      <c r="B549" s="109"/>
      <c r="C549" s="110"/>
      <c r="D549" s="110"/>
      <c r="E549" s="110"/>
      <c r="F549" s="110"/>
      <c r="G549" s="110"/>
      <c r="H549" s="111"/>
      <c r="I549" s="110"/>
      <c r="J549" s="110"/>
      <c r="K549" s="118" t="s">
        <v>1164</v>
      </c>
      <c r="L549" s="118" t="s">
        <v>1582</v>
      </c>
      <c r="M549" s="112">
        <f>TRUNC(SUM(M547:M548))</f>
        <v>30771</v>
      </c>
      <c r="N549" s="113" t="s">
        <v>975</v>
      </c>
    </row>
    <row r="550" spans="1:15" ht="18.600000000000001" customHeight="1">
      <c r="A550" s="135"/>
      <c r="B550" s="136"/>
      <c r="C550" s="138"/>
      <c r="D550" s="138"/>
      <c r="E550" s="138"/>
      <c r="F550" s="138"/>
      <c r="G550" s="138"/>
      <c r="H550" s="139"/>
      <c r="I550" s="138"/>
      <c r="J550" s="138"/>
      <c r="K550" s="137"/>
      <c r="L550" s="137"/>
      <c r="M550" s="140"/>
      <c r="N550" s="141"/>
      <c r="O550" s="114" t="s">
        <v>3682</v>
      </c>
    </row>
    <row r="551" spans="1:15" s="152" customFormat="1" ht="16.149999999999999" customHeight="1">
      <c r="A551" s="146"/>
      <c r="B551" s="147"/>
      <c r="C551" s="148"/>
      <c r="D551" s="148"/>
      <c r="E551" s="148"/>
      <c r="F551" s="148"/>
      <c r="G551" s="148"/>
      <c r="H551" s="149"/>
      <c r="I551" s="148"/>
      <c r="J551" s="148"/>
      <c r="K551" s="148" t="s">
        <v>1118</v>
      </c>
      <c r="L551" s="148" t="s">
        <v>1582</v>
      </c>
      <c r="M551" s="150">
        <f>M537+M543+M549</f>
        <v>82341</v>
      </c>
      <c r="N551" s="151"/>
    </row>
    <row r="552" spans="1:15" s="152" customFormat="1" ht="16.149999999999999" customHeight="1">
      <c r="A552" s="169"/>
      <c r="B552" s="163"/>
      <c r="C552" s="169"/>
      <c r="D552" s="169"/>
      <c r="E552" s="169"/>
      <c r="F552" s="169"/>
      <c r="G552" s="169"/>
      <c r="H552" s="170"/>
      <c r="I552" s="169"/>
      <c r="J552" s="169"/>
      <c r="K552" s="169"/>
      <c r="L552" s="169"/>
      <c r="M552" s="166"/>
      <c r="N552" s="165"/>
      <c r="O552" s="114"/>
    </row>
    <row r="553" spans="1:15" s="107" customFormat="1" ht="16.149999999999999" customHeight="1">
      <c r="A553" s="451">
        <f>A534+1</f>
        <v>30</v>
      </c>
      <c r="B553" s="99" t="s">
        <v>1100</v>
      </c>
      <c r="C553" s="100" t="s">
        <v>1526</v>
      </c>
      <c r="D553" s="101" t="s">
        <v>1389</v>
      </c>
      <c r="E553" s="102"/>
      <c r="F553" s="102"/>
      <c r="G553" s="100"/>
      <c r="H553" s="103" t="s">
        <v>1527</v>
      </c>
      <c r="I553" s="100" t="s">
        <v>1526</v>
      </c>
      <c r="J553" s="102" t="s">
        <v>1810</v>
      </c>
      <c r="K553" s="104" t="s">
        <v>847</v>
      </c>
      <c r="L553" s="100" t="s">
        <v>1526</v>
      </c>
      <c r="M553" s="168" t="s">
        <v>1865</v>
      </c>
      <c r="N553" s="106"/>
    </row>
    <row r="554" spans="1:15" ht="16.149999999999999" customHeight="1">
      <c r="A554" s="108"/>
      <c r="B554" s="109" t="s">
        <v>588</v>
      </c>
      <c r="C554" s="110" t="s">
        <v>1582</v>
      </c>
      <c r="D554" s="110" t="s">
        <v>589</v>
      </c>
      <c r="E554" s="110" t="s">
        <v>86</v>
      </c>
      <c r="F554" s="110" t="s">
        <v>590</v>
      </c>
      <c r="G554" s="110" t="s">
        <v>86</v>
      </c>
      <c r="H554" s="111" t="s">
        <v>513</v>
      </c>
      <c r="I554" s="110"/>
      <c r="J554" s="110"/>
      <c r="K554" s="110"/>
      <c r="L554" s="110"/>
      <c r="M554" s="112"/>
      <c r="N554" s="113"/>
    </row>
    <row r="555" spans="1:15" ht="16.149999999999999" customHeight="1">
      <c r="A555" s="108"/>
      <c r="B555" s="109"/>
      <c r="C555" s="110"/>
      <c r="D555" s="110"/>
      <c r="E555" s="110"/>
      <c r="F555" s="110" t="s">
        <v>1811</v>
      </c>
      <c r="G555" s="110"/>
      <c r="H555" s="119">
        <f>기계경비산출표!$E$79*1000</f>
        <v>1450000</v>
      </c>
      <c r="I555" s="110" t="s">
        <v>972</v>
      </c>
      <c r="J555" s="120">
        <v>2637</v>
      </c>
      <c r="K555" s="118" t="s">
        <v>514</v>
      </c>
      <c r="L555" s="121" t="s">
        <v>1582</v>
      </c>
      <c r="M555" s="112">
        <f>TRUNC(H555*J555*(10^-7))</f>
        <v>382</v>
      </c>
      <c r="N555" s="113" t="s">
        <v>975</v>
      </c>
    </row>
    <row r="556" spans="1:15" ht="16.149999999999999" customHeight="1">
      <c r="A556" s="115"/>
      <c r="F556" s="117" t="s">
        <v>1812</v>
      </c>
      <c r="G556" s="118"/>
      <c r="H556" s="119">
        <f>기계경비산출표!$E$75*1000</f>
        <v>130937000</v>
      </c>
      <c r="I556" s="110" t="s">
        <v>972</v>
      </c>
      <c r="J556" s="120">
        <v>2163</v>
      </c>
      <c r="K556" s="118" t="s">
        <v>514</v>
      </c>
      <c r="L556" s="121" t="s">
        <v>1582</v>
      </c>
      <c r="M556" s="112">
        <f>TRUNC(H556*J556*(10^-7))+M555</f>
        <v>28703</v>
      </c>
      <c r="N556" s="113" t="s">
        <v>975</v>
      </c>
    </row>
    <row r="557" spans="1:15" ht="16.149999999999999" customHeight="1">
      <c r="A557" s="115"/>
      <c r="B557" s="122"/>
      <c r="C557" s="118"/>
      <c r="D557" s="33"/>
      <c r="E557" s="110"/>
      <c r="F557" s="118"/>
      <c r="G557" s="118"/>
      <c r="H557" s="123"/>
      <c r="I557" s="118"/>
      <c r="J557" s="110"/>
      <c r="K557" s="110"/>
      <c r="L557" s="110"/>
      <c r="M557" s="112"/>
      <c r="N557" s="113"/>
    </row>
    <row r="558" spans="1:15" ht="16.149999999999999" customHeight="1">
      <c r="A558" s="124"/>
      <c r="B558" s="125" t="s">
        <v>1115</v>
      </c>
      <c r="C558" s="126"/>
      <c r="D558" s="126"/>
      <c r="E558" s="126"/>
      <c r="F558" s="126"/>
      <c r="G558" s="126"/>
      <c r="H558" s="127"/>
      <c r="I558" s="126"/>
      <c r="J558" s="126"/>
      <c r="K558" s="126"/>
      <c r="L558" s="126"/>
      <c r="M558" s="128"/>
      <c r="N558" s="129"/>
    </row>
    <row r="559" spans="1:15" ht="16.149999999999999" customHeight="1">
      <c r="A559" s="130"/>
      <c r="B559" s="131" t="s">
        <v>3185</v>
      </c>
      <c r="C559" s="118"/>
      <c r="D559" s="33">
        <f>SUMIF('노임(2015)'!$B$4:$B$87,B559,'노임(2015)'!$C$4:$C$87)+SUMIF('노임(2015)'!$E$4:$E$87,B559,'노임(2015)'!$F$4:$F$87)</f>
        <v>130411</v>
      </c>
      <c r="E559" s="110" t="s">
        <v>972</v>
      </c>
      <c r="F559" s="110" t="s">
        <v>973</v>
      </c>
      <c r="G559" s="132" t="s">
        <v>974</v>
      </c>
      <c r="H559" s="111"/>
      <c r="I559" s="110"/>
      <c r="J559" s="110"/>
      <c r="K559" s="133">
        <v>1</v>
      </c>
      <c r="L559" s="118" t="s">
        <v>1582</v>
      </c>
      <c r="M559" s="112">
        <f>TRUNC(D559*(1/8)*(16/12)*(25/20)*K559)</f>
        <v>27168</v>
      </c>
      <c r="N559" s="113" t="s">
        <v>975</v>
      </c>
    </row>
    <row r="560" spans="1:15" ht="16.149999999999999" customHeight="1">
      <c r="A560" s="130"/>
      <c r="B560" s="131"/>
      <c r="C560" s="118"/>
      <c r="D560" s="33">
        <f>SUMIF('노임(2015)'!$B$4:$B$87,B560,'노임(2015)'!$C$4:$C$87)+SUMIF('노임(2015)'!$E$4:$E$87,B560,'노임(2015)'!$F$4:$F$87)</f>
        <v>0</v>
      </c>
      <c r="E560" s="110"/>
      <c r="F560" s="110"/>
      <c r="G560" s="132"/>
      <c r="H560" s="111"/>
      <c r="I560" s="110"/>
      <c r="J560" s="110"/>
      <c r="K560" s="134"/>
      <c r="L560" s="118"/>
      <c r="M560" s="112"/>
      <c r="N560" s="113"/>
    </row>
    <row r="561" spans="1:15" ht="18.600000000000001" customHeight="1">
      <c r="A561" s="130"/>
      <c r="B561" s="109"/>
      <c r="C561" s="118"/>
      <c r="D561" s="33"/>
      <c r="E561" s="110"/>
      <c r="F561" s="110"/>
      <c r="G561" s="132"/>
      <c r="H561" s="111"/>
      <c r="I561" s="110"/>
      <c r="J561" s="110"/>
      <c r="K561" s="134"/>
      <c r="L561" s="118"/>
      <c r="M561" s="112"/>
      <c r="N561" s="113"/>
      <c r="O561" s="114" t="s">
        <v>3682</v>
      </c>
    </row>
    <row r="562" spans="1:15" ht="16.149999999999999" customHeight="1">
      <c r="A562" s="130"/>
      <c r="B562" s="109"/>
      <c r="C562" s="118"/>
      <c r="D562" s="110"/>
      <c r="E562" s="110"/>
      <c r="F562" s="110"/>
      <c r="G562" s="110"/>
      <c r="H562" s="111"/>
      <c r="I562" s="791"/>
      <c r="J562" s="791"/>
      <c r="K562" s="118" t="s">
        <v>1164</v>
      </c>
      <c r="L562" s="118" t="s">
        <v>1582</v>
      </c>
      <c r="M562" s="112">
        <f>TRUNC(M559+M560+M561)</f>
        <v>27168</v>
      </c>
      <c r="N562" s="113" t="s">
        <v>975</v>
      </c>
      <c r="O562" s="114" t="s">
        <v>1115</v>
      </c>
    </row>
    <row r="563" spans="1:15" ht="18.600000000000001" customHeight="1">
      <c r="A563" s="130"/>
      <c r="B563" s="109"/>
      <c r="C563" s="118"/>
      <c r="D563" s="110"/>
      <c r="E563" s="110"/>
      <c r="F563" s="110"/>
      <c r="G563" s="110"/>
      <c r="H563" s="111"/>
      <c r="I563" s="118"/>
      <c r="J563" s="118"/>
      <c r="K563" s="118"/>
      <c r="L563" s="118"/>
      <c r="M563" s="112"/>
      <c r="N563" s="113"/>
      <c r="O563" s="114" t="s">
        <v>3682</v>
      </c>
    </row>
    <row r="564" spans="1:15" ht="18.600000000000001" customHeight="1">
      <c r="A564" s="135"/>
      <c r="B564" s="136"/>
      <c r="C564" s="137"/>
      <c r="D564" s="138"/>
      <c r="E564" s="138"/>
      <c r="F564" s="138"/>
      <c r="G564" s="138"/>
      <c r="H564" s="139"/>
      <c r="I564" s="137"/>
      <c r="J564" s="137"/>
      <c r="K564" s="137"/>
      <c r="L564" s="137"/>
      <c r="M564" s="140"/>
      <c r="N564" s="141"/>
      <c r="O564" s="114" t="s">
        <v>3682</v>
      </c>
    </row>
    <row r="565" spans="1:15" ht="16.149999999999999" customHeight="1">
      <c r="A565" s="124"/>
      <c r="B565" s="125" t="s">
        <v>1116</v>
      </c>
      <c r="C565" s="142"/>
      <c r="D565" s="126"/>
      <c r="E565" s="126"/>
      <c r="F565" s="126"/>
      <c r="G565" s="126"/>
      <c r="H565" s="127"/>
      <c r="I565" s="126"/>
      <c r="J565" s="126"/>
      <c r="K565" s="126"/>
      <c r="L565" s="126"/>
      <c r="M565" s="128"/>
      <c r="N565" s="129"/>
    </row>
    <row r="566" spans="1:15" ht="16.149999999999999" customHeight="1">
      <c r="A566" s="130"/>
      <c r="B566" s="131" t="s">
        <v>2461</v>
      </c>
      <c r="C566" s="118" t="s">
        <v>1526</v>
      </c>
      <c r="D566" s="118">
        <v>23</v>
      </c>
      <c r="E566" s="110" t="s">
        <v>456</v>
      </c>
      <c r="F566" s="118" t="s">
        <v>972</v>
      </c>
      <c r="G566" s="110"/>
      <c r="H566" s="123">
        <f>중기기준!$G$35</f>
        <v>1114.9000000000001</v>
      </c>
      <c r="I566" s="110" t="s">
        <v>975</v>
      </c>
      <c r="J566" s="110"/>
      <c r="K566" s="110"/>
      <c r="L566" s="118" t="s">
        <v>1582</v>
      </c>
      <c r="M566" s="112">
        <f>TRUNC(D566*H566,2)</f>
        <v>25642.7</v>
      </c>
      <c r="N566" s="113" t="s">
        <v>975</v>
      </c>
    </row>
    <row r="567" spans="1:15" ht="16.149999999999999" customHeight="1">
      <c r="A567" s="130"/>
      <c r="B567" s="109" t="s">
        <v>1556</v>
      </c>
      <c r="C567" s="118" t="s">
        <v>1526</v>
      </c>
      <c r="D567" s="145">
        <v>0.38</v>
      </c>
      <c r="E567" s="110"/>
      <c r="F567" s="118" t="s">
        <v>972</v>
      </c>
      <c r="G567" s="110"/>
      <c r="H567" s="123">
        <f>M566</f>
        <v>25642.7</v>
      </c>
      <c r="I567" s="110" t="s">
        <v>975</v>
      </c>
      <c r="J567" s="110"/>
      <c r="K567" s="110"/>
      <c r="L567" s="118" t="s">
        <v>1582</v>
      </c>
      <c r="M567" s="112">
        <f>TRUNC((D567*H567),2)</f>
        <v>9744.2199999999993</v>
      </c>
      <c r="N567" s="113" t="s">
        <v>975</v>
      </c>
    </row>
    <row r="568" spans="1:15" ht="16.149999999999999" customHeight="1">
      <c r="A568" s="130"/>
      <c r="B568" s="109"/>
      <c r="C568" s="110"/>
      <c r="D568" s="110"/>
      <c r="E568" s="110"/>
      <c r="F568" s="110"/>
      <c r="G568" s="110"/>
      <c r="H568" s="111"/>
      <c r="I568" s="110"/>
      <c r="J568" s="110"/>
      <c r="K568" s="118" t="s">
        <v>1164</v>
      </c>
      <c r="L568" s="118" t="s">
        <v>1582</v>
      </c>
      <c r="M568" s="112">
        <f>TRUNC(SUM(M566:M567))</f>
        <v>35386</v>
      </c>
      <c r="N568" s="113" t="s">
        <v>975</v>
      </c>
    </row>
    <row r="569" spans="1:15" ht="18.600000000000001" customHeight="1">
      <c r="A569" s="135"/>
      <c r="B569" s="136"/>
      <c r="C569" s="138"/>
      <c r="D569" s="138"/>
      <c r="E569" s="138"/>
      <c r="F569" s="138"/>
      <c r="G569" s="138"/>
      <c r="H569" s="139"/>
      <c r="I569" s="138"/>
      <c r="J569" s="138"/>
      <c r="K569" s="137"/>
      <c r="L569" s="137"/>
      <c r="M569" s="140"/>
      <c r="N569" s="141"/>
      <c r="O569" s="114" t="s">
        <v>3682</v>
      </c>
    </row>
    <row r="570" spans="1:15" s="152" customFormat="1" ht="16.149999999999999" customHeight="1">
      <c r="A570" s="146"/>
      <c r="B570" s="147"/>
      <c r="C570" s="148"/>
      <c r="D570" s="148"/>
      <c r="E570" s="148"/>
      <c r="F570" s="148"/>
      <c r="G570" s="148"/>
      <c r="H570" s="149"/>
      <c r="I570" s="148"/>
      <c r="J570" s="148"/>
      <c r="K570" s="148" t="s">
        <v>1118</v>
      </c>
      <c r="L570" s="148" t="s">
        <v>1582</v>
      </c>
      <c r="M570" s="150">
        <f>M556+M562+M568</f>
        <v>91257</v>
      </c>
      <c r="N570" s="151"/>
    </row>
    <row r="571" spans="1:15" s="152" customFormat="1" ht="16.149999999999999" customHeight="1">
      <c r="A571" s="169"/>
      <c r="B571" s="163"/>
      <c r="C571" s="169"/>
      <c r="D571" s="169"/>
      <c r="E571" s="169"/>
      <c r="F571" s="169"/>
      <c r="G571" s="169"/>
      <c r="H571" s="170"/>
      <c r="I571" s="169"/>
      <c r="J571" s="169"/>
      <c r="K571" s="169"/>
      <c r="L571" s="169"/>
      <c r="M571" s="166"/>
      <c r="N571" s="165"/>
      <c r="O571" s="114"/>
    </row>
    <row r="572" spans="1:15" s="107" customFormat="1" ht="16.149999999999999" customHeight="1">
      <c r="A572" s="451">
        <f>A553+1</f>
        <v>31</v>
      </c>
      <c r="B572" s="99" t="s">
        <v>1100</v>
      </c>
      <c r="C572" s="100" t="s">
        <v>1526</v>
      </c>
      <c r="D572" s="101" t="s">
        <v>518</v>
      </c>
      <c r="E572" s="102"/>
      <c r="F572" s="102"/>
      <c r="G572" s="100"/>
      <c r="H572" s="103" t="s">
        <v>1527</v>
      </c>
      <c r="I572" s="100" t="s">
        <v>1526</v>
      </c>
      <c r="J572" s="167" t="s">
        <v>2432</v>
      </c>
      <c r="K572" s="104" t="s">
        <v>847</v>
      </c>
      <c r="L572" s="100" t="s">
        <v>1526</v>
      </c>
      <c r="M572" s="105" t="s">
        <v>519</v>
      </c>
      <c r="N572" s="106"/>
    </row>
    <row r="573" spans="1:15" ht="16.149999999999999" customHeight="1">
      <c r="A573" s="108"/>
      <c r="B573" s="109" t="s">
        <v>588</v>
      </c>
      <c r="C573" s="110" t="s">
        <v>1582</v>
      </c>
      <c r="D573" s="110" t="s">
        <v>589</v>
      </c>
      <c r="E573" s="110" t="s">
        <v>86</v>
      </c>
      <c r="F573" s="110" t="s">
        <v>590</v>
      </c>
      <c r="G573" s="110" t="s">
        <v>86</v>
      </c>
      <c r="H573" s="111" t="s">
        <v>2973</v>
      </c>
      <c r="I573" s="110"/>
      <c r="J573" s="110"/>
      <c r="K573" s="110"/>
      <c r="L573" s="110"/>
      <c r="M573" s="112"/>
      <c r="N573" s="113"/>
    </row>
    <row r="574" spans="1:15" ht="16.149999999999999" customHeight="1">
      <c r="A574" s="108"/>
      <c r="B574" s="109"/>
      <c r="C574" s="110"/>
      <c r="D574" s="110"/>
      <c r="E574" s="110"/>
      <c r="F574" s="110"/>
      <c r="G574" s="110"/>
      <c r="H574" s="111"/>
      <c r="I574" s="110"/>
      <c r="J574" s="792"/>
      <c r="K574" s="792"/>
      <c r="L574" s="110"/>
      <c r="M574" s="112"/>
      <c r="N574" s="113"/>
    </row>
    <row r="575" spans="1:15" ht="16.149999999999999" customHeight="1">
      <c r="A575" s="115"/>
      <c r="F575" s="117"/>
      <c r="G575" s="118"/>
      <c r="H575" s="119">
        <f>기계경비산출표!$E$80*1000</f>
        <v>50309000</v>
      </c>
      <c r="I575" s="110" t="s">
        <v>972</v>
      </c>
      <c r="J575" s="120">
        <v>1746</v>
      </c>
      <c r="K575" s="118" t="s">
        <v>2974</v>
      </c>
      <c r="L575" s="121" t="s">
        <v>1582</v>
      </c>
      <c r="M575" s="112">
        <f>TRUNC(H575*J575*(10^-7))</f>
        <v>8783</v>
      </c>
      <c r="N575" s="113" t="s">
        <v>975</v>
      </c>
    </row>
    <row r="576" spans="1:15" ht="16.149999999999999" customHeight="1">
      <c r="A576" s="115"/>
      <c r="B576" s="122"/>
      <c r="C576" s="118"/>
      <c r="D576" s="33"/>
      <c r="E576" s="110"/>
      <c r="F576" s="118"/>
      <c r="G576" s="118"/>
      <c r="H576" s="123"/>
      <c r="I576" s="118"/>
      <c r="J576" s="110"/>
      <c r="K576" s="110"/>
      <c r="L576" s="110"/>
      <c r="M576" s="112"/>
      <c r="N576" s="113"/>
    </row>
    <row r="577" spans="1:15" ht="16.149999999999999" customHeight="1">
      <c r="A577" s="124"/>
      <c r="B577" s="125" t="s">
        <v>1115</v>
      </c>
      <c r="C577" s="126"/>
      <c r="D577" s="126"/>
      <c r="E577" s="126"/>
      <c r="F577" s="126"/>
      <c r="G577" s="126"/>
      <c r="H577" s="127"/>
      <c r="I577" s="126"/>
      <c r="J577" s="126"/>
      <c r="K577" s="126"/>
      <c r="L577" s="126"/>
      <c r="M577" s="128"/>
      <c r="N577" s="129"/>
    </row>
    <row r="578" spans="1:15" ht="16.149999999999999" customHeight="1">
      <c r="A578" s="130"/>
      <c r="B578" s="131" t="s">
        <v>3185</v>
      </c>
      <c r="C578" s="118"/>
      <c r="D578" s="33">
        <f>SUMIF('노임(2015)'!$B$4:$B$87,B578,'노임(2015)'!$C$4:$C$87)+SUMIF('노임(2015)'!$E$4:$E$87,B578,'노임(2015)'!$F$4:$F$87)</f>
        <v>130411</v>
      </c>
      <c r="E578" s="110" t="s">
        <v>972</v>
      </c>
      <c r="F578" s="110" t="s">
        <v>973</v>
      </c>
      <c r="G578" s="132" t="s">
        <v>974</v>
      </c>
      <c r="H578" s="111"/>
      <c r="I578" s="110"/>
      <c r="J578" s="110"/>
      <c r="K578" s="133">
        <v>1</v>
      </c>
      <c r="L578" s="118" t="s">
        <v>1582</v>
      </c>
      <c r="M578" s="112">
        <f>TRUNC(D578*(1/8)*(16/12)*(25/20)*K578)</f>
        <v>27168</v>
      </c>
      <c r="N578" s="113" t="s">
        <v>975</v>
      </c>
    </row>
    <row r="579" spans="1:15" ht="16.149999999999999" customHeight="1">
      <c r="A579" s="130"/>
      <c r="B579" s="109"/>
      <c r="C579" s="118"/>
      <c r="D579" s="33"/>
      <c r="E579" s="110"/>
      <c r="F579" s="110"/>
      <c r="G579" s="132"/>
      <c r="H579" s="111"/>
      <c r="I579" s="110"/>
      <c r="J579" s="110"/>
      <c r="K579" s="133"/>
      <c r="L579" s="118"/>
      <c r="M579" s="112"/>
      <c r="N579" s="113"/>
    </row>
    <row r="580" spans="1:15" ht="18.600000000000001" customHeight="1">
      <c r="A580" s="130"/>
      <c r="B580" s="109"/>
      <c r="C580" s="118"/>
      <c r="D580" s="33"/>
      <c r="E580" s="110"/>
      <c r="F580" s="110"/>
      <c r="G580" s="132"/>
      <c r="H580" s="111"/>
      <c r="I580" s="110"/>
      <c r="J580" s="110"/>
      <c r="K580" s="134"/>
      <c r="L580" s="118"/>
      <c r="M580" s="112"/>
      <c r="N580" s="113"/>
      <c r="O580" s="114" t="s">
        <v>3682</v>
      </c>
    </row>
    <row r="581" spans="1:15" ht="16.149999999999999" customHeight="1">
      <c r="A581" s="130"/>
      <c r="B581" s="109"/>
      <c r="C581" s="118"/>
      <c r="D581" s="110"/>
      <c r="E581" s="110"/>
      <c r="F581" s="110"/>
      <c r="G581" s="110"/>
      <c r="H581" s="111"/>
      <c r="I581" s="791"/>
      <c r="J581" s="791"/>
      <c r="K581" s="118" t="s">
        <v>1164</v>
      </c>
      <c r="L581" s="118" t="s">
        <v>1582</v>
      </c>
      <c r="M581" s="112">
        <f>(M578+M579+M580)</f>
        <v>27168</v>
      </c>
      <c r="N581" s="113" t="s">
        <v>975</v>
      </c>
      <c r="O581" s="114" t="s">
        <v>1115</v>
      </c>
    </row>
    <row r="582" spans="1:15" ht="18.600000000000001" customHeight="1">
      <c r="A582" s="130"/>
      <c r="B582" s="109"/>
      <c r="C582" s="118"/>
      <c r="D582" s="110"/>
      <c r="E582" s="110"/>
      <c r="F582" s="110"/>
      <c r="G582" s="110"/>
      <c r="H582" s="111"/>
      <c r="I582" s="118"/>
      <c r="J582" s="118"/>
      <c r="K582" s="118"/>
      <c r="L582" s="118"/>
      <c r="M582" s="112"/>
      <c r="N582" s="113"/>
      <c r="O582" s="114" t="s">
        <v>3682</v>
      </c>
    </row>
    <row r="583" spans="1:15" ht="18.600000000000001" customHeight="1">
      <c r="A583" s="135"/>
      <c r="B583" s="136"/>
      <c r="C583" s="137"/>
      <c r="D583" s="138"/>
      <c r="E583" s="138"/>
      <c r="F583" s="138"/>
      <c r="G583" s="138"/>
      <c r="H583" s="139"/>
      <c r="I583" s="137"/>
      <c r="J583" s="137"/>
      <c r="K583" s="137"/>
      <c r="L583" s="137"/>
      <c r="M583" s="140"/>
      <c r="N583" s="141"/>
      <c r="O583" s="114" t="s">
        <v>3682</v>
      </c>
    </row>
    <row r="584" spans="1:15" ht="16.149999999999999" customHeight="1">
      <c r="A584" s="124"/>
      <c r="B584" s="125" t="s">
        <v>1116</v>
      </c>
      <c r="C584" s="142"/>
      <c r="D584" s="126"/>
      <c r="E584" s="126"/>
      <c r="F584" s="126"/>
      <c r="G584" s="126"/>
      <c r="H584" s="127"/>
      <c r="I584" s="126"/>
      <c r="J584" s="126"/>
      <c r="K584" s="126"/>
      <c r="L584" s="126"/>
      <c r="M584" s="128"/>
      <c r="N584" s="129"/>
    </row>
    <row r="585" spans="1:15" ht="16.149999999999999" customHeight="1">
      <c r="A585" s="130"/>
      <c r="B585" s="131" t="s">
        <v>2461</v>
      </c>
      <c r="C585" s="118" t="s">
        <v>1526</v>
      </c>
      <c r="D585" s="118">
        <v>7.6</v>
      </c>
      <c r="E585" s="110" t="s">
        <v>456</v>
      </c>
      <c r="F585" s="118" t="s">
        <v>972</v>
      </c>
      <c r="G585" s="110"/>
      <c r="H585" s="123">
        <f>중기기준!$G$35</f>
        <v>1114.9000000000001</v>
      </c>
      <c r="I585" s="110" t="s">
        <v>975</v>
      </c>
      <c r="J585" s="110"/>
      <c r="K585" s="110"/>
      <c r="L585" s="118" t="s">
        <v>1582</v>
      </c>
      <c r="M585" s="112">
        <f>TRUNC(D585*H585,2)</f>
        <v>8473.24</v>
      </c>
      <c r="N585" s="113" t="s">
        <v>975</v>
      </c>
    </row>
    <row r="586" spans="1:15" ht="16.149999999999999" customHeight="1">
      <c r="A586" s="130"/>
      <c r="B586" s="109" t="s">
        <v>1556</v>
      </c>
      <c r="C586" s="118" t="s">
        <v>1526</v>
      </c>
      <c r="D586" s="145">
        <v>0.18</v>
      </c>
      <c r="E586" s="110"/>
      <c r="F586" s="118" t="s">
        <v>972</v>
      </c>
      <c r="G586" s="110"/>
      <c r="H586" s="123">
        <f>M585</f>
        <v>8473.24</v>
      </c>
      <c r="I586" s="110" t="s">
        <v>975</v>
      </c>
      <c r="J586" s="110"/>
      <c r="K586" s="110"/>
      <c r="L586" s="118" t="s">
        <v>1582</v>
      </c>
      <c r="M586" s="112">
        <f>TRUNC((D586*H586),2)</f>
        <v>1525.18</v>
      </c>
      <c r="N586" s="113" t="s">
        <v>975</v>
      </c>
    </row>
    <row r="587" spans="1:15" ht="16.149999999999999" customHeight="1">
      <c r="A587" s="130"/>
      <c r="B587" s="109"/>
      <c r="C587" s="110"/>
      <c r="D587" s="110"/>
      <c r="E587" s="110"/>
      <c r="F587" s="110"/>
      <c r="G587" s="110"/>
      <c r="H587" s="111"/>
      <c r="I587" s="110"/>
      <c r="J587" s="110"/>
      <c r="K587" s="118" t="s">
        <v>1164</v>
      </c>
      <c r="L587" s="118" t="s">
        <v>1582</v>
      </c>
      <c r="M587" s="112">
        <f>TRUNC(SUM(M585:M586))</f>
        <v>9998</v>
      </c>
      <c r="N587" s="113" t="s">
        <v>975</v>
      </c>
    </row>
    <row r="588" spans="1:15" ht="18.600000000000001" customHeight="1">
      <c r="A588" s="135"/>
      <c r="B588" s="136"/>
      <c r="C588" s="138"/>
      <c r="D588" s="138"/>
      <c r="E588" s="138"/>
      <c r="F588" s="138"/>
      <c r="G588" s="138"/>
      <c r="H588" s="139"/>
      <c r="I588" s="138"/>
      <c r="J588" s="138"/>
      <c r="K588" s="137"/>
      <c r="L588" s="137"/>
      <c r="M588" s="140"/>
      <c r="N588" s="141"/>
      <c r="O588" s="114" t="s">
        <v>3682</v>
      </c>
    </row>
    <row r="589" spans="1:15" s="152" customFormat="1" ht="16.149999999999999" customHeight="1">
      <c r="A589" s="146"/>
      <c r="B589" s="147"/>
      <c r="C589" s="148"/>
      <c r="D589" s="148"/>
      <c r="E589" s="148"/>
      <c r="F589" s="148"/>
      <c r="G589" s="148"/>
      <c r="H589" s="149"/>
      <c r="I589" s="148"/>
      <c r="J589" s="148"/>
      <c r="K589" s="148" t="s">
        <v>1118</v>
      </c>
      <c r="L589" s="148" t="s">
        <v>1582</v>
      </c>
      <c r="M589" s="150">
        <f>M575+M581+M587</f>
        <v>45949</v>
      </c>
      <c r="N589" s="151"/>
    </row>
    <row r="590" spans="1:15" s="152" customFormat="1" ht="16.149999999999999" customHeight="1">
      <c r="A590" s="169"/>
      <c r="B590" s="163"/>
      <c r="C590" s="169"/>
      <c r="D590" s="169"/>
      <c r="E590" s="169"/>
      <c r="F590" s="169"/>
      <c r="G590" s="169"/>
      <c r="H590" s="170"/>
      <c r="I590" s="169"/>
      <c r="J590" s="169"/>
      <c r="K590" s="169"/>
      <c r="L590" s="169"/>
      <c r="M590" s="166"/>
      <c r="N590" s="165"/>
      <c r="O590" s="114"/>
    </row>
    <row r="591" spans="1:15" s="107" customFormat="1" ht="16.149999999999999" customHeight="1">
      <c r="A591" s="451">
        <f>A572+1</f>
        <v>32</v>
      </c>
      <c r="B591" s="99" t="s">
        <v>1100</v>
      </c>
      <c r="C591" s="100" t="s">
        <v>1526</v>
      </c>
      <c r="D591" s="101" t="s">
        <v>1394</v>
      </c>
      <c r="E591" s="102"/>
      <c r="F591" s="102"/>
      <c r="G591" s="100"/>
      <c r="H591" s="103" t="s">
        <v>1527</v>
      </c>
      <c r="I591" s="100" t="s">
        <v>1526</v>
      </c>
      <c r="J591" s="167" t="s">
        <v>2451</v>
      </c>
      <c r="K591" s="104" t="s">
        <v>847</v>
      </c>
      <c r="L591" s="100" t="s">
        <v>1526</v>
      </c>
      <c r="M591" s="105" t="s">
        <v>520</v>
      </c>
      <c r="N591" s="106"/>
    </row>
    <row r="592" spans="1:15" ht="16.149999999999999" customHeight="1">
      <c r="A592" s="108"/>
      <c r="B592" s="109" t="s">
        <v>588</v>
      </c>
      <c r="C592" s="110" t="s">
        <v>1582</v>
      </c>
      <c r="D592" s="110" t="s">
        <v>589</v>
      </c>
      <c r="E592" s="110" t="s">
        <v>86</v>
      </c>
      <c r="F592" s="110" t="s">
        <v>590</v>
      </c>
      <c r="G592" s="110" t="s">
        <v>86</v>
      </c>
      <c r="H592" s="111" t="s">
        <v>2973</v>
      </c>
      <c r="I592" s="110"/>
      <c r="J592" s="110"/>
      <c r="K592" s="110"/>
      <c r="L592" s="110"/>
      <c r="M592" s="112"/>
      <c r="N592" s="113"/>
    </row>
    <row r="593" spans="1:15" ht="16.149999999999999" customHeight="1">
      <c r="A593" s="108"/>
      <c r="B593" s="109"/>
      <c r="C593" s="110"/>
      <c r="D593" s="110"/>
      <c r="E593" s="110"/>
      <c r="F593" s="110"/>
      <c r="G593" s="110"/>
      <c r="H593" s="111"/>
      <c r="I593" s="110"/>
      <c r="J593" s="792"/>
      <c r="K593" s="792"/>
      <c r="L593" s="110"/>
      <c r="M593" s="112"/>
      <c r="N593" s="113"/>
    </row>
    <row r="594" spans="1:15" ht="16.149999999999999" customHeight="1">
      <c r="A594" s="115"/>
      <c r="F594" s="117"/>
      <c r="G594" s="118"/>
      <c r="H594" s="119">
        <f>기계경비산출표!$E$81*1000</f>
        <v>62811000</v>
      </c>
      <c r="I594" s="110" t="s">
        <v>972</v>
      </c>
      <c r="J594" s="120">
        <v>1746</v>
      </c>
      <c r="K594" s="118" t="s">
        <v>2974</v>
      </c>
      <c r="L594" s="121" t="s">
        <v>1582</v>
      </c>
      <c r="M594" s="112">
        <f>TRUNC(H594*J594*(10^-7))</f>
        <v>10966</v>
      </c>
      <c r="N594" s="113" t="s">
        <v>975</v>
      </c>
    </row>
    <row r="595" spans="1:15" ht="16.149999999999999" customHeight="1">
      <c r="A595" s="115"/>
      <c r="B595" s="122"/>
      <c r="C595" s="118"/>
      <c r="D595" s="33"/>
      <c r="E595" s="110"/>
      <c r="F595" s="118"/>
      <c r="G595" s="118"/>
      <c r="H595" s="123"/>
      <c r="I595" s="118"/>
      <c r="J595" s="110"/>
      <c r="K595" s="110"/>
      <c r="L595" s="110"/>
      <c r="M595" s="112"/>
      <c r="N595" s="113"/>
    </row>
    <row r="596" spans="1:15" ht="16.149999999999999" customHeight="1">
      <c r="A596" s="124"/>
      <c r="B596" s="125" t="s">
        <v>1115</v>
      </c>
      <c r="C596" s="126"/>
      <c r="D596" s="126"/>
      <c r="E596" s="126"/>
      <c r="F596" s="126"/>
      <c r="G596" s="126"/>
      <c r="H596" s="127"/>
      <c r="I596" s="126"/>
      <c r="J596" s="126"/>
      <c r="K596" s="126"/>
      <c r="L596" s="126"/>
      <c r="M596" s="128"/>
      <c r="N596" s="129"/>
    </row>
    <row r="597" spans="1:15" ht="16.149999999999999" customHeight="1">
      <c r="A597" s="130"/>
      <c r="B597" s="131" t="s">
        <v>3185</v>
      </c>
      <c r="C597" s="118"/>
      <c r="D597" s="33">
        <f>SUMIF('노임(2015)'!$B$4:$B$87,B597,'노임(2015)'!$C$4:$C$87)+SUMIF('노임(2015)'!$E$4:$E$87,B597,'노임(2015)'!$F$4:$F$87)</f>
        <v>130411</v>
      </c>
      <c r="E597" s="110" t="s">
        <v>972</v>
      </c>
      <c r="F597" s="110" t="s">
        <v>973</v>
      </c>
      <c r="G597" s="132" t="s">
        <v>974</v>
      </c>
      <c r="H597" s="111"/>
      <c r="I597" s="110"/>
      <c r="J597" s="110"/>
      <c r="K597" s="133">
        <v>1</v>
      </c>
      <c r="L597" s="118" t="s">
        <v>1582</v>
      </c>
      <c r="M597" s="112">
        <f>TRUNC(D597*(1/8)*(16/12)*(25/20)*K597)</f>
        <v>27168</v>
      </c>
      <c r="N597" s="113" t="s">
        <v>975</v>
      </c>
    </row>
    <row r="598" spans="1:15" ht="16.149999999999999" customHeight="1">
      <c r="A598" s="130"/>
      <c r="B598" s="109"/>
      <c r="C598" s="118"/>
      <c r="D598" s="33"/>
      <c r="E598" s="110"/>
      <c r="F598" s="110"/>
      <c r="G598" s="132"/>
      <c r="H598" s="111"/>
      <c r="I598" s="110"/>
      <c r="J598" s="110"/>
      <c r="K598" s="133"/>
      <c r="L598" s="118"/>
      <c r="M598" s="112"/>
      <c r="N598" s="113"/>
    </row>
    <row r="599" spans="1:15" ht="18.600000000000001" customHeight="1">
      <c r="A599" s="130"/>
      <c r="B599" s="109"/>
      <c r="C599" s="118"/>
      <c r="D599" s="33"/>
      <c r="E599" s="110"/>
      <c r="F599" s="110"/>
      <c r="G599" s="132"/>
      <c r="H599" s="111"/>
      <c r="I599" s="110"/>
      <c r="J599" s="110"/>
      <c r="K599" s="134"/>
      <c r="L599" s="118"/>
      <c r="M599" s="112"/>
      <c r="N599" s="113"/>
      <c r="O599" s="114" t="s">
        <v>3682</v>
      </c>
    </row>
    <row r="600" spans="1:15" ht="16.149999999999999" customHeight="1">
      <c r="A600" s="130"/>
      <c r="B600" s="109"/>
      <c r="C600" s="118"/>
      <c r="D600" s="110"/>
      <c r="E600" s="110"/>
      <c r="F600" s="110"/>
      <c r="G600" s="110"/>
      <c r="H600" s="111"/>
      <c r="I600" s="791"/>
      <c r="J600" s="791"/>
      <c r="K600" s="118" t="s">
        <v>1164</v>
      </c>
      <c r="L600" s="118" t="s">
        <v>1582</v>
      </c>
      <c r="M600" s="112">
        <f>(M597+M598+M599)</f>
        <v>27168</v>
      </c>
      <c r="N600" s="113" t="s">
        <v>975</v>
      </c>
      <c r="O600" s="114" t="s">
        <v>1115</v>
      </c>
    </row>
    <row r="601" spans="1:15" ht="18.600000000000001" customHeight="1">
      <c r="A601" s="130"/>
      <c r="B601" s="109"/>
      <c r="C601" s="118"/>
      <c r="D601" s="110"/>
      <c r="E601" s="110"/>
      <c r="F601" s="110"/>
      <c r="G601" s="110"/>
      <c r="H601" s="111"/>
      <c r="I601" s="118"/>
      <c r="J601" s="118"/>
      <c r="K601" s="118"/>
      <c r="L601" s="118"/>
      <c r="M601" s="112"/>
      <c r="N601" s="113"/>
      <c r="O601" s="114" t="s">
        <v>3682</v>
      </c>
    </row>
    <row r="602" spans="1:15" ht="18.600000000000001" customHeight="1">
      <c r="A602" s="135"/>
      <c r="B602" s="136"/>
      <c r="C602" s="137"/>
      <c r="D602" s="138"/>
      <c r="E602" s="138"/>
      <c r="F602" s="138"/>
      <c r="G602" s="138"/>
      <c r="H602" s="139"/>
      <c r="I602" s="137"/>
      <c r="J602" s="137"/>
      <c r="K602" s="137"/>
      <c r="L602" s="137"/>
      <c r="M602" s="140"/>
      <c r="N602" s="141"/>
      <c r="O602" s="114" t="s">
        <v>3682</v>
      </c>
    </row>
    <row r="603" spans="1:15" ht="16.149999999999999" customHeight="1">
      <c r="A603" s="124"/>
      <c r="B603" s="125" t="s">
        <v>1116</v>
      </c>
      <c r="C603" s="142"/>
      <c r="D603" s="126"/>
      <c r="E603" s="126"/>
      <c r="F603" s="126"/>
      <c r="G603" s="126"/>
      <c r="H603" s="127"/>
      <c r="I603" s="126"/>
      <c r="J603" s="126"/>
      <c r="K603" s="126"/>
      <c r="L603" s="126"/>
      <c r="M603" s="128"/>
      <c r="N603" s="129"/>
    </row>
    <row r="604" spans="1:15" ht="16.149999999999999" customHeight="1">
      <c r="A604" s="130"/>
      <c r="B604" s="131" t="s">
        <v>2461</v>
      </c>
      <c r="C604" s="118" t="s">
        <v>1526</v>
      </c>
      <c r="D604" s="118">
        <v>9.3000000000000007</v>
      </c>
      <c r="E604" s="110" t="s">
        <v>456</v>
      </c>
      <c r="F604" s="118" t="s">
        <v>972</v>
      </c>
      <c r="G604" s="110"/>
      <c r="H604" s="123">
        <f>중기기준!$G$35</f>
        <v>1114.9000000000001</v>
      </c>
      <c r="I604" s="110" t="s">
        <v>975</v>
      </c>
      <c r="J604" s="110"/>
      <c r="K604" s="110"/>
      <c r="L604" s="118" t="s">
        <v>1582</v>
      </c>
      <c r="M604" s="112">
        <f>TRUNC(D604*H604,2)</f>
        <v>10368.57</v>
      </c>
      <c r="N604" s="113" t="s">
        <v>975</v>
      </c>
    </row>
    <row r="605" spans="1:15" ht="16.149999999999999" customHeight="1">
      <c r="A605" s="130"/>
      <c r="B605" s="109" t="s">
        <v>1556</v>
      </c>
      <c r="C605" s="118" t="s">
        <v>1526</v>
      </c>
      <c r="D605" s="145">
        <v>0.18</v>
      </c>
      <c r="E605" s="110"/>
      <c r="F605" s="118" t="s">
        <v>972</v>
      </c>
      <c r="G605" s="110"/>
      <c r="H605" s="123">
        <f>M604</f>
        <v>10368.57</v>
      </c>
      <c r="I605" s="110" t="s">
        <v>975</v>
      </c>
      <c r="J605" s="110"/>
      <c r="K605" s="110"/>
      <c r="L605" s="118" t="s">
        <v>1582</v>
      </c>
      <c r="M605" s="112">
        <f>TRUNC((D605*H605),2)</f>
        <v>1866.34</v>
      </c>
      <c r="N605" s="113" t="s">
        <v>975</v>
      </c>
    </row>
    <row r="606" spans="1:15" ht="16.149999999999999" customHeight="1">
      <c r="A606" s="130"/>
      <c r="B606" s="109"/>
      <c r="C606" s="110"/>
      <c r="D606" s="110"/>
      <c r="E606" s="110"/>
      <c r="F606" s="110"/>
      <c r="G606" s="110"/>
      <c r="H606" s="111"/>
      <c r="I606" s="110"/>
      <c r="J606" s="110"/>
      <c r="K606" s="118" t="s">
        <v>1164</v>
      </c>
      <c r="L606" s="118" t="s">
        <v>1582</v>
      </c>
      <c r="M606" s="112">
        <f>TRUNC(SUM(M604:M605))</f>
        <v>12234</v>
      </c>
      <c r="N606" s="113" t="s">
        <v>975</v>
      </c>
    </row>
    <row r="607" spans="1:15" ht="18.600000000000001" customHeight="1">
      <c r="A607" s="135"/>
      <c r="B607" s="136"/>
      <c r="C607" s="138"/>
      <c r="D607" s="138"/>
      <c r="E607" s="138"/>
      <c r="F607" s="138"/>
      <c r="G607" s="138"/>
      <c r="H607" s="139"/>
      <c r="I607" s="138"/>
      <c r="J607" s="138"/>
      <c r="K607" s="137"/>
      <c r="L607" s="137"/>
      <c r="M607" s="140"/>
      <c r="N607" s="141"/>
      <c r="O607" s="114" t="s">
        <v>3682</v>
      </c>
    </row>
    <row r="608" spans="1:15" s="152" customFormat="1" ht="16.149999999999999" customHeight="1">
      <c r="A608" s="146"/>
      <c r="B608" s="147"/>
      <c r="C608" s="148"/>
      <c r="D608" s="148"/>
      <c r="E608" s="148"/>
      <c r="F608" s="148"/>
      <c r="G608" s="148"/>
      <c r="H608" s="149"/>
      <c r="I608" s="148"/>
      <c r="J608" s="148"/>
      <c r="K608" s="148" t="s">
        <v>1118</v>
      </c>
      <c r="L608" s="148" t="s">
        <v>1582</v>
      </c>
      <c r="M608" s="150">
        <f>M594+M600+M606</f>
        <v>50368</v>
      </c>
      <c r="N608" s="151"/>
    </row>
    <row r="609" spans="1:15" ht="16.149999999999999" customHeight="1">
      <c r="A609" s="153"/>
      <c r="B609" s="125"/>
      <c r="C609" s="153"/>
      <c r="D609" s="153"/>
      <c r="E609" s="153"/>
      <c r="F609" s="153"/>
      <c r="G609" s="153"/>
      <c r="H609" s="154"/>
      <c r="I609" s="153"/>
      <c r="J609" s="153"/>
      <c r="K609" s="153"/>
      <c r="L609" s="153"/>
      <c r="M609" s="128"/>
      <c r="N609" s="142"/>
    </row>
    <row r="610" spans="1:15" s="107" customFormat="1" ht="16.149999999999999" customHeight="1">
      <c r="A610" s="451">
        <f>A591+1</f>
        <v>33</v>
      </c>
      <c r="B610" s="99" t="s">
        <v>1100</v>
      </c>
      <c r="C610" s="100" t="s">
        <v>1526</v>
      </c>
      <c r="D610" s="101" t="s">
        <v>2430</v>
      </c>
      <c r="E610" s="102"/>
      <c r="F610" s="102"/>
      <c r="G610" s="100"/>
      <c r="H610" s="103" t="s">
        <v>1527</v>
      </c>
      <c r="I610" s="100" t="s">
        <v>1526</v>
      </c>
      <c r="J610" s="167" t="s">
        <v>2431</v>
      </c>
      <c r="K610" s="104" t="s">
        <v>847</v>
      </c>
      <c r="L610" s="100" t="s">
        <v>1526</v>
      </c>
      <c r="M610" s="105" t="s">
        <v>521</v>
      </c>
      <c r="N610" s="106"/>
    </row>
    <row r="611" spans="1:15" ht="16.149999999999999" customHeight="1">
      <c r="A611" s="108"/>
      <c r="B611" s="109" t="s">
        <v>588</v>
      </c>
      <c r="C611" s="110" t="s">
        <v>1582</v>
      </c>
      <c r="D611" s="110" t="s">
        <v>589</v>
      </c>
      <c r="E611" s="110" t="s">
        <v>86</v>
      </c>
      <c r="F611" s="110" t="s">
        <v>590</v>
      </c>
      <c r="G611" s="110" t="s">
        <v>86</v>
      </c>
      <c r="H611" s="111" t="s">
        <v>2973</v>
      </c>
      <c r="I611" s="110"/>
      <c r="J611" s="110"/>
      <c r="K611" s="110"/>
      <c r="L611" s="110"/>
      <c r="M611" s="112"/>
      <c r="N611" s="113"/>
    </row>
    <row r="612" spans="1:15" ht="16.149999999999999" customHeight="1">
      <c r="A612" s="108"/>
      <c r="B612" s="109"/>
      <c r="C612" s="110"/>
      <c r="D612" s="110"/>
      <c r="E612" s="110"/>
      <c r="F612" s="110"/>
      <c r="G612" s="110"/>
      <c r="H612" s="111"/>
      <c r="I612" s="110"/>
      <c r="J612" s="792"/>
      <c r="K612" s="792"/>
      <c r="L612" s="110"/>
      <c r="M612" s="112"/>
      <c r="N612" s="113"/>
    </row>
    <row r="613" spans="1:15" ht="16.149999999999999" customHeight="1">
      <c r="A613" s="115"/>
      <c r="F613" s="117"/>
      <c r="G613" s="118"/>
      <c r="H613" s="119">
        <f>기계경비산출표!$E$83*1000</f>
        <v>41233000</v>
      </c>
      <c r="I613" s="110" t="s">
        <v>972</v>
      </c>
      <c r="J613" s="120">
        <v>1796</v>
      </c>
      <c r="K613" s="118" t="s">
        <v>2974</v>
      </c>
      <c r="L613" s="121" t="s">
        <v>1582</v>
      </c>
      <c r="M613" s="112">
        <f>TRUNC(H613*J613*(10^-7))</f>
        <v>7405</v>
      </c>
      <c r="N613" s="113" t="s">
        <v>975</v>
      </c>
    </row>
    <row r="614" spans="1:15" ht="16.149999999999999" customHeight="1">
      <c r="A614" s="115"/>
      <c r="B614" s="122"/>
      <c r="C614" s="118"/>
      <c r="D614" s="33"/>
      <c r="E614" s="110"/>
      <c r="F614" s="118"/>
      <c r="G614" s="118"/>
      <c r="H614" s="123"/>
      <c r="I614" s="118"/>
      <c r="J614" s="110"/>
      <c r="K614" s="110"/>
      <c r="L614" s="110"/>
      <c r="M614" s="112"/>
      <c r="N614" s="113"/>
    </row>
    <row r="615" spans="1:15" ht="16.149999999999999" customHeight="1">
      <c r="A615" s="124"/>
      <c r="B615" s="125" t="s">
        <v>1115</v>
      </c>
      <c r="C615" s="126"/>
      <c r="D615" s="126"/>
      <c r="E615" s="126"/>
      <c r="F615" s="126"/>
      <c r="G615" s="126"/>
      <c r="H615" s="127"/>
      <c r="I615" s="126"/>
      <c r="J615" s="126"/>
      <c r="K615" s="126"/>
      <c r="L615" s="126"/>
      <c r="M615" s="128"/>
      <c r="N615" s="129"/>
    </row>
    <row r="616" spans="1:15" ht="16.149999999999999" customHeight="1">
      <c r="A616" s="130"/>
      <c r="B616" s="131" t="s">
        <v>3185</v>
      </c>
      <c r="C616" s="118"/>
      <c r="D616" s="33">
        <f>SUMIF('노임(2015)'!$B$4:$B$87,B616,'노임(2015)'!$C$4:$C$87)+SUMIF('노임(2015)'!$E$4:$E$87,B616,'노임(2015)'!$F$4:$F$87)</f>
        <v>130411</v>
      </c>
      <c r="E616" s="110" t="s">
        <v>972</v>
      </c>
      <c r="F616" s="110" t="s">
        <v>973</v>
      </c>
      <c r="G616" s="132" t="s">
        <v>974</v>
      </c>
      <c r="H616" s="111"/>
      <c r="I616" s="110"/>
      <c r="J616" s="110"/>
      <c r="K616" s="133">
        <v>1</v>
      </c>
      <c r="L616" s="118" t="s">
        <v>1582</v>
      </c>
      <c r="M616" s="112">
        <f>TRUNC(D616*(1/8)*(16/12)*(25/20)*K616)</f>
        <v>27168</v>
      </c>
      <c r="N616" s="113" t="s">
        <v>975</v>
      </c>
    </row>
    <row r="617" spans="1:15" ht="16.149999999999999" customHeight="1">
      <c r="A617" s="130"/>
      <c r="B617" s="109"/>
      <c r="C617" s="118"/>
      <c r="D617" s="33"/>
      <c r="E617" s="110"/>
      <c r="F617" s="110"/>
      <c r="G617" s="132"/>
      <c r="H617" s="111"/>
      <c r="I617" s="110"/>
      <c r="J617" s="110"/>
      <c r="K617" s="133"/>
      <c r="L617" s="118"/>
      <c r="M617" s="112"/>
      <c r="N617" s="113"/>
    </row>
    <row r="618" spans="1:15" ht="18.600000000000001" customHeight="1">
      <c r="A618" s="130"/>
      <c r="B618" s="109"/>
      <c r="C618" s="118"/>
      <c r="D618" s="33"/>
      <c r="E618" s="110"/>
      <c r="F618" s="110"/>
      <c r="G618" s="132"/>
      <c r="H618" s="111"/>
      <c r="I618" s="110"/>
      <c r="J618" s="110"/>
      <c r="K618" s="134"/>
      <c r="L618" s="118"/>
      <c r="M618" s="112"/>
      <c r="N618" s="113"/>
      <c r="O618" s="114" t="s">
        <v>3682</v>
      </c>
    </row>
    <row r="619" spans="1:15" ht="16.149999999999999" customHeight="1">
      <c r="A619" s="130"/>
      <c r="B619" s="109"/>
      <c r="C619" s="118"/>
      <c r="D619" s="110"/>
      <c r="E619" s="110"/>
      <c r="F619" s="110"/>
      <c r="G619" s="110"/>
      <c r="H619" s="111"/>
      <c r="I619" s="791"/>
      <c r="J619" s="791"/>
      <c r="K619" s="118" t="s">
        <v>1164</v>
      </c>
      <c r="L619" s="118" t="s">
        <v>1582</v>
      </c>
      <c r="M619" s="112">
        <f>(M616+M617+M618)</f>
        <v>27168</v>
      </c>
      <c r="N619" s="113" t="s">
        <v>975</v>
      </c>
      <c r="O619" s="114" t="s">
        <v>1115</v>
      </c>
    </row>
    <row r="620" spans="1:15" ht="18.600000000000001" customHeight="1">
      <c r="A620" s="130"/>
      <c r="B620" s="109"/>
      <c r="C620" s="118"/>
      <c r="D620" s="110"/>
      <c r="E620" s="110"/>
      <c r="F620" s="110"/>
      <c r="G620" s="110"/>
      <c r="H620" s="111"/>
      <c r="I620" s="118"/>
      <c r="J620" s="118"/>
      <c r="K620" s="118"/>
      <c r="L620" s="118"/>
      <c r="M620" s="112"/>
      <c r="N620" s="113"/>
      <c r="O620" s="114" t="s">
        <v>3682</v>
      </c>
    </row>
    <row r="621" spans="1:15" ht="18.600000000000001" customHeight="1">
      <c r="A621" s="135"/>
      <c r="B621" s="136"/>
      <c r="C621" s="137"/>
      <c r="D621" s="138"/>
      <c r="E621" s="138"/>
      <c r="F621" s="138"/>
      <c r="G621" s="138"/>
      <c r="H621" s="139"/>
      <c r="I621" s="137"/>
      <c r="J621" s="137"/>
      <c r="K621" s="137"/>
      <c r="L621" s="137"/>
      <c r="M621" s="140"/>
      <c r="N621" s="141"/>
      <c r="O621" s="114" t="s">
        <v>3682</v>
      </c>
    </row>
    <row r="622" spans="1:15" ht="16.149999999999999" customHeight="1">
      <c r="A622" s="124"/>
      <c r="B622" s="125" t="s">
        <v>1116</v>
      </c>
      <c r="C622" s="142"/>
      <c r="D622" s="126"/>
      <c r="E622" s="126"/>
      <c r="F622" s="126"/>
      <c r="G622" s="126"/>
      <c r="H622" s="127"/>
      <c r="I622" s="126"/>
      <c r="J622" s="126"/>
      <c r="K622" s="126"/>
      <c r="L622" s="126"/>
      <c r="M622" s="128"/>
      <c r="N622" s="129"/>
    </row>
    <row r="623" spans="1:15" ht="16.149999999999999" customHeight="1">
      <c r="A623" s="130"/>
      <c r="B623" s="131" t="s">
        <v>2461</v>
      </c>
      <c r="C623" s="118" t="s">
        <v>1526</v>
      </c>
      <c r="D623" s="118">
        <v>5</v>
      </c>
      <c r="E623" s="110" t="s">
        <v>456</v>
      </c>
      <c r="F623" s="118" t="s">
        <v>972</v>
      </c>
      <c r="G623" s="110"/>
      <c r="H623" s="123">
        <f>중기기준!$G$35</f>
        <v>1114.9000000000001</v>
      </c>
      <c r="I623" s="110" t="s">
        <v>975</v>
      </c>
      <c r="J623" s="110"/>
      <c r="K623" s="110"/>
      <c r="L623" s="118" t="s">
        <v>1582</v>
      </c>
      <c r="M623" s="112">
        <f>TRUNC(D623*H623,2)</f>
        <v>5574.5</v>
      </c>
      <c r="N623" s="113" t="s">
        <v>975</v>
      </c>
    </row>
    <row r="624" spans="1:15" ht="16.149999999999999" customHeight="1">
      <c r="A624" s="130"/>
      <c r="B624" s="109" t="s">
        <v>1556</v>
      </c>
      <c r="C624" s="118" t="s">
        <v>1526</v>
      </c>
      <c r="D624" s="145">
        <v>0.18</v>
      </c>
      <c r="E624" s="110"/>
      <c r="F624" s="118" t="s">
        <v>972</v>
      </c>
      <c r="G624" s="110"/>
      <c r="H624" s="123">
        <f>M623</f>
        <v>5574.5</v>
      </c>
      <c r="I624" s="110" t="s">
        <v>975</v>
      </c>
      <c r="J624" s="110"/>
      <c r="K624" s="110"/>
      <c r="L624" s="118" t="s">
        <v>1582</v>
      </c>
      <c r="M624" s="112">
        <f>TRUNC((D624*H624),2)</f>
        <v>1003.41</v>
      </c>
      <c r="N624" s="113" t="s">
        <v>975</v>
      </c>
    </row>
    <row r="625" spans="1:15" ht="16.149999999999999" customHeight="1">
      <c r="A625" s="130"/>
      <c r="B625" s="109"/>
      <c r="C625" s="110"/>
      <c r="D625" s="110"/>
      <c r="E625" s="110"/>
      <c r="F625" s="110"/>
      <c r="G625" s="110"/>
      <c r="H625" s="111"/>
      <c r="I625" s="110"/>
      <c r="J625" s="110"/>
      <c r="K625" s="118" t="s">
        <v>1164</v>
      </c>
      <c r="L625" s="118" t="s">
        <v>1582</v>
      </c>
      <c r="M625" s="112">
        <f>TRUNC(SUM(M623:M624))</f>
        <v>6577</v>
      </c>
      <c r="N625" s="113" t="s">
        <v>975</v>
      </c>
    </row>
    <row r="626" spans="1:15" ht="18.600000000000001" customHeight="1">
      <c r="A626" s="135"/>
      <c r="B626" s="136"/>
      <c r="C626" s="138"/>
      <c r="D626" s="138"/>
      <c r="E626" s="138"/>
      <c r="F626" s="138"/>
      <c r="G626" s="138"/>
      <c r="H626" s="139"/>
      <c r="I626" s="138"/>
      <c r="J626" s="138"/>
      <c r="K626" s="137"/>
      <c r="L626" s="137"/>
      <c r="M626" s="140"/>
      <c r="N626" s="141"/>
      <c r="O626" s="114" t="s">
        <v>3682</v>
      </c>
    </row>
    <row r="627" spans="1:15" s="152" customFormat="1" ht="16.149999999999999" customHeight="1">
      <c r="A627" s="146"/>
      <c r="B627" s="147"/>
      <c r="C627" s="148"/>
      <c r="D627" s="148"/>
      <c r="E627" s="148"/>
      <c r="F627" s="148"/>
      <c r="G627" s="148"/>
      <c r="H627" s="149"/>
      <c r="I627" s="148"/>
      <c r="J627" s="148"/>
      <c r="K627" s="148" t="s">
        <v>1118</v>
      </c>
      <c r="L627" s="148" t="s">
        <v>1582</v>
      </c>
      <c r="M627" s="150">
        <f>M613+M619+M625</f>
        <v>41150</v>
      </c>
      <c r="N627" s="151"/>
    </row>
    <row r="628" spans="1:15" s="152" customFormat="1" ht="16.149999999999999" customHeight="1">
      <c r="A628" s="169"/>
      <c r="B628" s="163"/>
      <c r="C628" s="169"/>
      <c r="D628" s="169"/>
      <c r="E628" s="169"/>
      <c r="F628" s="169"/>
      <c r="G628" s="169"/>
      <c r="H628" s="170"/>
      <c r="I628" s="169"/>
      <c r="J628" s="169"/>
      <c r="K628" s="169"/>
      <c r="L628" s="169"/>
      <c r="M628" s="166"/>
      <c r="N628" s="165"/>
      <c r="O628" s="114"/>
    </row>
    <row r="629" spans="1:15" s="107" customFormat="1" ht="16.149999999999999" customHeight="1">
      <c r="A629" s="451">
        <f>A610+1</f>
        <v>34</v>
      </c>
      <c r="B629" s="99" t="s">
        <v>1100</v>
      </c>
      <c r="C629" s="100" t="s">
        <v>1526</v>
      </c>
      <c r="D629" s="101" t="s">
        <v>2430</v>
      </c>
      <c r="E629" s="102"/>
      <c r="F629" s="102"/>
      <c r="G629" s="100"/>
      <c r="H629" s="103" t="s">
        <v>1527</v>
      </c>
      <c r="I629" s="100" t="s">
        <v>1526</v>
      </c>
      <c r="J629" s="167" t="s">
        <v>2432</v>
      </c>
      <c r="K629" s="104" t="s">
        <v>847</v>
      </c>
      <c r="L629" s="100" t="s">
        <v>1526</v>
      </c>
      <c r="M629" s="105" t="s">
        <v>522</v>
      </c>
      <c r="N629" s="106"/>
    </row>
    <row r="630" spans="1:15" ht="16.149999999999999" customHeight="1">
      <c r="A630" s="108"/>
      <c r="B630" s="109" t="s">
        <v>588</v>
      </c>
      <c r="C630" s="110" t="s">
        <v>1582</v>
      </c>
      <c r="D630" s="110" t="s">
        <v>589</v>
      </c>
      <c r="E630" s="110" t="s">
        <v>86</v>
      </c>
      <c r="F630" s="110" t="s">
        <v>590</v>
      </c>
      <c r="G630" s="110" t="s">
        <v>86</v>
      </c>
      <c r="H630" s="111" t="s">
        <v>2973</v>
      </c>
      <c r="I630" s="110"/>
      <c r="J630" s="110"/>
      <c r="K630" s="110"/>
      <c r="L630" s="110"/>
      <c r="M630" s="112"/>
      <c r="N630" s="113"/>
    </row>
    <row r="631" spans="1:15" ht="16.149999999999999" customHeight="1">
      <c r="A631" s="108"/>
      <c r="B631" s="109"/>
      <c r="C631" s="110"/>
      <c r="D631" s="110"/>
      <c r="E631" s="110"/>
      <c r="F631" s="110"/>
      <c r="G631" s="110"/>
      <c r="H631" s="111"/>
      <c r="I631" s="110"/>
      <c r="J631" s="792"/>
      <c r="K631" s="792"/>
      <c r="L631" s="110"/>
      <c r="M631" s="112"/>
      <c r="N631" s="113"/>
    </row>
    <row r="632" spans="1:15" ht="16.149999999999999" customHeight="1">
      <c r="A632" s="115"/>
      <c r="F632" s="117"/>
      <c r="G632" s="118"/>
      <c r="H632" s="119">
        <f>기계경비산출표!$E$84*1000</f>
        <v>49746000</v>
      </c>
      <c r="I632" s="110" t="s">
        <v>972</v>
      </c>
      <c r="J632" s="120">
        <v>1796</v>
      </c>
      <c r="K632" s="118" t="s">
        <v>2974</v>
      </c>
      <c r="L632" s="121" t="s">
        <v>1582</v>
      </c>
      <c r="M632" s="112">
        <f>TRUNC(H632*J632*(10^-7))</f>
        <v>8934</v>
      </c>
      <c r="N632" s="113" t="s">
        <v>975</v>
      </c>
    </row>
    <row r="633" spans="1:15" ht="16.149999999999999" customHeight="1">
      <c r="A633" s="115"/>
      <c r="B633" s="122"/>
      <c r="C633" s="118"/>
      <c r="D633" s="33"/>
      <c r="E633" s="110"/>
      <c r="F633" s="118"/>
      <c r="G633" s="118"/>
      <c r="H633" s="123"/>
      <c r="I633" s="118"/>
      <c r="J633" s="110"/>
      <c r="K633" s="110"/>
      <c r="L633" s="110"/>
      <c r="M633" s="112"/>
      <c r="N633" s="113"/>
    </row>
    <row r="634" spans="1:15" ht="16.149999999999999" customHeight="1">
      <c r="A634" s="124"/>
      <c r="B634" s="125" t="s">
        <v>1115</v>
      </c>
      <c r="C634" s="126"/>
      <c r="D634" s="126"/>
      <c r="E634" s="126"/>
      <c r="F634" s="126"/>
      <c r="G634" s="126"/>
      <c r="H634" s="127"/>
      <c r="I634" s="126"/>
      <c r="J634" s="126"/>
      <c r="K634" s="126"/>
      <c r="L634" s="126"/>
      <c r="M634" s="128"/>
      <c r="N634" s="129"/>
    </row>
    <row r="635" spans="1:15" ht="16.149999999999999" customHeight="1">
      <c r="A635" s="130"/>
      <c r="B635" s="131" t="s">
        <v>3185</v>
      </c>
      <c r="C635" s="118"/>
      <c r="D635" s="33">
        <f>SUMIF('노임(2015)'!$B$4:$B$87,B635,'노임(2015)'!$C$4:$C$87)+SUMIF('노임(2015)'!$E$4:$E$87,B635,'노임(2015)'!$F$4:$F$87)</f>
        <v>130411</v>
      </c>
      <c r="E635" s="110" t="s">
        <v>972</v>
      </c>
      <c r="F635" s="110" t="s">
        <v>973</v>
      </c>
      <c r="G635" s="132" t="s">
        <v>974</v>
      </c>
      <c r="H635" s="111"/>
      <c r="I635" s="110"/>
      <c r="J635" s="110"/>
      <c r="K635" s="133">
        <v>1</v>
      </c>
      <c r="L635" s="118" t="s">
        <v>1582</v>
      </c>
      <c r="M635" s="112">
        <f>TRUNC(D635*(1/8)*(16/12)*(25/20)*K635)</f>
        <v>27168</v>
      </c>
      <c r="N635" s="113" t="s">
        <v>975</v>
      </c>
    </row>
    <row r="636" spans="1:15" ht="16.149999999999999" customHeight="1">
      <c r="A636" s="130"/>
      <c r="B636" s="109"/>
      <c r="C636" s="118"/>
      <c r="D636" s="33"/>
      <c r="E636" s="110"/>
      <c r="F636" s="110"/>
      <c r="G636" s="132"/>
      <c r="H636" s="111"/>
      <c r="I636" s="110"/>
      <c r="J636" s="110"/>
      <c r="K636" s="133"/>
      <c r="L636" s="118"/>
      <c r="M636" s="112"/>
      <c r="N636" s="113"/>
    </row>
    <row r="637" spans="1:15" ht="18.600000000000001" customHeight="1">
      <c r="A637" s="130"/>
      <c r="B637" s="109"/>
      <c r="C637" s="118"/>
      <c r="D637" s="33"/>
      <c r="E637" s="110"/>
      <c r="F637" s="110"/>
      <c r="G637" s="132"/>
      <c r="H637" s="111"/>
      <c r="I637" s="110"/>
      <c r="J637" s="110"/>
      <c r="K637" s="134"/>
      <c r="L637" s="118"/>
      <c r="M637" s="112"/>
      <c r="N637" s="113"/>
      <c r="O637" s="114" t="s">
        <v>3682</v>
      </c>
    </row>
    <row r="638" spans="1:15" ht="16.149999999999999" customHeight="1">
      <c r="A638" s="130"/>
      <c r="B638" s="109"/>
      <c r="C638" s="118"/>
      <c r="D638" s="110"/>
      <c r="E638" s="110"/>
      <c r="F638" s="110"/>
      <c r="G638" s="110"/>
      <c r="H638" s="111"/>
      <c r="I638" s="791"/>
      <c r="J638" s="791"/>
      <c r="K638" s="118" t="s">
        <v>1164</v>
      </c>
      <c r="L638" s="118" t="s">
        <v>1582</v>
      </c>
      <c r="M638" s="112">
        <f>(M635+M636+M637)</f>
        <v>27168</v>
      </c>
      <c r="N638" s="113" t="s">
        <v>975</v>
      </c>
      <c r="O638" s="114" t="s">
        <v>1115</v>
      </c>
    </row>
    <row r="639" spans="1:15" ht="18.600000000000001" customHeight="1">
      <c r="A639" s="130"/>
      <c r="B639" s="109"/>
      <c r="C639" s="118"/>
      <c r="D639" s="110"/>
      <c r="E639" s="110"/>
      <c r="F639" s="110"/>
      <c r="G639" s="110"/>
      <c r="H639" s="111"/>
      <c r="I639" s="118"/>
      <c r="J639" s="118"/>
      <c r="K639" s="118"/>
      <c r="L639" s="118"/>
      <c r="M639" s="112"/>
      <c r="N639" s="113"/>
      <c r="O639" s="114" t="s">
        <v>3682</v>
      </c>
    </row>
    <row r="640" spans="1:15" ht="18.600000000000001" customHeight="1">
      <c r="A640" s="135"/>
      <c r="B640" s="136"/>
      <c r="C640" s="137"/>
      <c r="D640" s="138"/>
      <c r="E640" s="138"/>
      <c r="F640" s="138"/>
      <c r="G640" s="138"/>
      <c r="H640" s="139"/>
      <c r="I640" s="137"/>
      <c r="J640" s="137"/>
      <c r="K640" s="137"/>
      <c r="L640" s="137"/>
      <c r="M640" s="140"/>
      <c r="N640" s="141"/>
      <c r="O640" s="114" t="s">
        <v>3682</v>
      </c>
    </row>
    <row r="641" spans="1:15" ht="16.149999999999999" customHeight="1">
      <c r="A641" s="124"/>
      <c r="B641" s="125" t="s">
        <v>1116</v>
      </c>
      <c r="C641" s="142"/>
      <c r="D641" s="126"/>
      <c r="E641" s="126"/>
      <c r="F641" s="126"/>
      <c r="G641" s="126"/>
      <c r="H641" s="127"/>
      <c r="I641" s="126"/>
      <c r="J641" s="126"/>
      <c r="K641" s="126"/>
      <c r="L641" s="126"/>
      <c r="M641" s="128"/>
      <c r="N641" s="129"/>
    </row>
    <row r="642" spans="1:15" ht="16.149999999999999" customHeight="1">
      <c r="A642" s="130"/>
      <c r="B642" s="131" t="s">
        <v>2461</v>
      </c>
      <c r="C642" s="118" t="s">
        <v>1526</v>
      </c>
      <c r="D642" s="118">
        <v>6.8</v>
      </c>
      <c r="E642" s="110" t="s">
        <v>456</v>
      </c>
      <c r="F642" s="118" t="s">
        <v>972</v>
      </c>
      <c r="G642" s="110"/>
      <c r="H642" s="123">
        <f>중기기준!$G$35</f>
        <v>1114.9000000000001</v>
      </c>
      <c r="I642" s="110" t="s">
        <v>975</v>
      </c>
      <c r="J642" s="110"/>
      <c r="K642" s="110"/>
      <c r="L642" s="118" t="s">
        <v>1582</v>
      </c>
      <c r="M642" s="112">
        <f>TRUNC(D642*H642,2)</f>
        <v>7581.32</v>
      </c>
      <c r="N642" s="113" t="s">
        <v>975</v>
      </c>
    </row>
    <row r="643" spans="1:15" ht="16.149999999999999" customHeight="1">
      <c r="A643" s="130"/>
      <c r="B643" s="109" t="s">
        <v>1556</v>
      </c>
      <c r="C643" s="118" t="s">
        <v>1526</v>
      </c>
      <c r="D643" s="145">
        <v>0.18</v>
      </c>
      <c r="E643" s="110"/>
      <c r="F643" s="118" t="s">
        <v>972</v>
      </c>
      <c r="G643" s="110"/>
      <c r="H643" s="123">
        <f>M642</f>
        <v>7581.32</v>
      </c>
      <c r="I643" s="110" t="s">
        <v>975</v>
      </c>
      <c r="J643" s="110"/>
      <c r="K643" s="110"/>
      <c r="L643" s="118" t="s">
        <v>1582</v>
      </c>
      <c r="M643" s="112">
        <f>TRUNC((D643*H643),2)</f>
        <v>1364.63</v>
      </c>
      <c r="N643" s="113" t="s">
        <v>975</v>
      </c>
    </row>
    <row r="644" spans="1:15" ht="16.149999999999999" customHeight="1">
      <c r="A644" s="130"/>
      <c r="B644" s="109"/>
      <c r="C644" s="110"/>
      <c r="D644" s="110"/>
      <c r="E644" s="110"/>
      <c r="F644" s="110"/>
      <c r="G644" s="110"/>
      <c r="H644" s="111"/>
      <c r="I644" s="110"/>
      <c r="J644" s="110"/>
      <c r="K644" s="118" t="s">
        <v>1164</v>
      </c>
      <c r="L644" s="118" t="s">
        <v>1582</v>
      </c>
      <c r="M644" s="112">
        <f>TRUNC(SUM(M642:M643))</f>
        <v>8945</v>
      </c>
      <c r="N644" s="113" t="s">
        <v>975</v>
      </c>
    </row>
    <row r="645" spans="1:15" ht="18.600000000000001" customHeight="1">
      <c r="A645" s="135"/>
      <c r="B645" s="136"/>
      <c r="C645" s="138"/>
      <c r="D645" s="138"/>
      <c r="E645" s="138"/>
      <c r="F645" s="138"/>
      <c r="G645" s="138"/>
      <c r="H645" s="139"/>
      <c r="I645" s="138"/>
      <c r="J645" s="138"/>
      <c r="K645" s="137"/>
      <c r="L645" s="137"/>
      <c r="M645" s="140"/>
      <c r="N645" s="141"/>
      <c r="O645" s="114" t="s">
        <v>3682</v>
      </c>
    </row>
    <row r="646" spans="1:15" s="152" customFormat="1" ht="16.149999999999999" customHeight="1">
      <c r="A646" s="146"/>
      <c r="B646" s="147"/>
      <c r="C646" s="148"/>
      <c r="D646" s="148"/>
      <c r="E646" s="148"/>
      <c r="F646" s="148"/>
      <c r="G646" s="148"/>
      <c r="H646" s="149"/>
      <c r="I646" s="148"/>
      <c r="J646" s="148"/>
      <c r="K646" s="148" t="s">
        <v>1118</v>
      </c>
      <c r="L646" s="148" t="s">
        <v>1582</v>
      </c>
      <c r="M646" s="150">
        <f>M632+M638+M644</f>
        <v>45047</v>
      </c>
      <c r="N646" s="151"/>
    </row>
    <row r="647" spans="1:15" ht="16.149999999999999" customHeight="1">
      <c r="A647" s="153"/>
      <c r="B647" s="125"/>
      <c r="C647" s="153"/>
      <c r="D647" s="153"/>
      <c r="E647" s="153"/>
      <c r="F647" s="153"/>
      <c r="G647" s="153"/>
      <c r="H647" s="154"/>
      <c r="I647" s="153"/>
      <c r="J647" s="153"/>
      <c r="K647" s="153"/>
      <c r="L647" s="153"/>
      <c r="M647" s="128"/>
      <c r="N647" s="142"/>
    </row>
    <row r="648" spans="1:15" s="107" customFormat="1" ht="16.149999999999999" customHeight="1">
      <c r="A648" s="451">
        <f>A629+1</f>
        <v>35</v>
      </c>
      <c r="B648" s="99" t="s">
        <v>1100</v>
      </c>
      <c r="C648" s="100" t="s">
        <v>1526</v>
      </c>
      <c r="D648" s="101" t="s">
        <v>2430</v>
      </c>
      <c r="E648" s="102"/>
      <c r="F648" s="102"/>
      <c r="G648" s="100"/>
      <c r="H648" s="103" t="s">
        <v>1527</v>
      </c>
      <c r="I648" s="100" t="s">
        <v>1526</v>
      </c>
      <c r="J648" s="167" t="s">
        <v>523</v>
      </c>
      <c r="K648" s="104" t="s">
        <v>847</v>
      </c>
      <c r="L648" s="100" t="s">
        <v>1526</v>
      </c>
      <c r="M648" s="105" t="s">
        <v>524</v>
      </c>
      <c r="N648" s="106"/>
    </row>
    <row r="649" spans="1:15" ht="16.149999999999999" customHeight="1">
      <c r="A649" s="108"/>
      <c r="B649" s="109" t="s">
        <v>588</v>
      </c>
      <c r="C649" s="110" t="s">
        <v>1582</v>
      </c>
      <c r="D649" s="110" t="s">
        <v>589</v>
      </c>
      <c r="E649" s="110" t="s">
        <v>86</v>
      </c>
      <c r="F649" s="110" t="s">
        <v>590</v>
      </c>
      <c r="G649" s="110" t="s">
        <v>86</v>
      </c>
      <c r="H649" s="111" t="s">
        <v>2973</v>
      </c>
      <c r="I649" s="110"/>
      <c r="J649" s="110"/>
      <c r="K649" s="110"/>
      <c r="L649" s="110"/>
      <c r="M649" s="112"/>
      <c r="N649" s="113"/>
    </row>
    <row r="650" spans="1:15" ht="16.149999999999999" customHeight="1">
      <c r="A650" s="108"/>
      <c r="B650" s="109"/>
      <c r="C650" s="110"/>
      <c r="D650" s="110"/>
      <c r="E650" s="110"/>
      <c r="F650" s="110"/>
      <c r="G650" s="110"/>
      <c r="H650" s="111"/>
      <c r="I650" s="110"/>
      <c r="J650" s="792"/>
      <c r="K650" s="792"/>
      <c r="L650" s="110"/>
      <c r="M650" s="112"/>
      <c r="N650" s="113"/>
    </row>
    <row r="651" spans="1:15" ht="16.149999999999999" customHeight="1">
      <c r="A651" s="115"/>
      <c r="F651" s="117"/>
      <c r="G651" s="118"/>
      <c r="H651" s="119">
        <f>기계경비산출표!$E$85*1000</f>
        <v>57369000</v>
      </c>
      <c r="I651" s="110" t="s">
        <v>972</v>
      </c>
      <c r="J651" s="120">
        <v>1796</v>
      </c>
      <c r="K651" s="118" t="s">
        <v>2974</v>
      </c>
      <c r="L651" s="121" t="s">
        <v>1582</v>
      </c>
      <c r="M651" s="112">
        <f>TRUNC(H651*J651*(10^-7))</f>
        <v>10303</v>
      </c>
      <c r="N651" s="113" t="s">
        <v>975</v>
      </c>
    </row>
    <row r="652" spans="1:15" ht="16.149999999999999" customHeight="1">
      <c r="A652" s="115"/>
      <c r="B652" s="122"/>
      <c r="C652" s="118"/>
      <c r="D652" s="33"/>
      <c r="E652" s="110"/>
      <c r="F652" s="118"/>
      <c r="G652" s="118"/>
      <c r="H652" s="123"/>
      <c r="I652" s="118"/>
      <c r="J652" s="110"/>
      <c r="K652" s="110"/>
      <c r="L652" s="110"/>
      <c r="M652" s="112"/>
      <c r="N652" s="113"/>
    </row>
    <row r="653" spans="1:15" ht="16.149999999999999" customHeight="1">
      <c r="A653" s="124"/>
      <c r="B653" s="125" t="s">
        <v>1115</v>
      </c>
      <c r="C653" s="126"/>
      <c r="D653" s="126"/>
      <c r="E653" s="126"/>
      <c r="F653" s="126"/>
      <c r="G653" s="126"/>
      <c r="H653" s="127"/>
      <c r="I653" s="126"/>
      <c r="J653" s="126"/>
      <c r="K653" s="126"/>
      <c r="L653" s="126"/>
      <c r="M653" s="128"/>
      <c r="N653" s="129"/>
    </row>
    <row r="654" spans="1:15" ht="16.149999999999999" customHeight="1">
      <c r="A654" s="130"/>
      <c r="B654" s="131" t="s">
        <v>3185</v>
      </c>
      <c r="C654" s="118"/>
      <c r="D654" s="33">
        <f>SUMIF('노임(2015)'!$B$4:$B$87,B654,'노임(2015)'!$C$4:$C$87)+SUMIF('노임(2015)'!$E$4:$E$87,B654,'노임(2015)'!$F$4:$F$87)</f>
        <v>130411</v>
      </c>
      <c r="E654" s="110" t="s">
        <v>972</v>
      </c>
      <c r="F654" s="110" t="s">
        <v>973</v>
      </c>
      <c r="G654" s="132" t="s">
        <v>974</v>
      </c>
      <c r="H654" s="111"/>
      <c r="I654" s="110"/>
      <c r="J654" s="110"/>
      <c r="K654" s="133">
        <v>1</v>
      </c>
      <c r="L654" s="118" t="s">
        <v>1582</v>
      </c>
      <c r="M654" s="112">
        <f>TRUNC(D654*(1/8)*(16/12)*(25/20)*K654)</f>
        <v>27168</v>
      </c>
      <c r="N654" s="113" t="s">
        <v>975</v>
      </c>
    </row>
    <row r="655" spans="1:15" ht="16.149999999999999" customHeight="1">
      <c r="A655" s="130"/>
      <c r="B655" s="109"/>
      <c r="C655" s="118"/>
      <c r="D655" s="33"/>
      <c r="E655" s="110"/>
      <c r="F655" s="110"/>
      <c r="G655" s="132"/>
      <c r="H655" s="111"/>
      <c r="I655" s="110"/>
      <c r="J655" s="110"/>
      <c r="K655" s="133"/>
      <c r="L655" s="118"/>
      <c r="M655" s="112"/>
      <c r="N655" s="113"/>
    </row>
    <row r="656" spans="1:15" ht="18.600000000000001" customHeight="1">
      <c r="A656" s="130"/>
      <c r="B656" s="109"/>
      <c r="C656" s="118"/>
      <c r="D656" s="33"/>
      <c r="E656" s="110"/>
      <c r="F656" s="110"/>
      <c r="G656" s="132"/>
      <c r="H656" s="111"/>
      <c r="I656" s="110"/>
      <c r="J656" s="110"/>
      <c r="K656" s="134"/>
      <c r="L656" s="118"/>
      <c r="M656" s="112"/>
      <c r="N656" s="113"/>
      <c r="O656" s="114" t="s">
        <v>3682</v>
      </c>
    </row>
    <row r="657" spans="1:15" ht="16.149999999999999" customHeight="1">
      <c r="A657" s="130"/>
      <c r="B657" s="109"/>
      <c r="C657" s="118"/>
      <c r="D657" s="110"/>
      <c r="E657" s="110"/>
      <c r="F657" s="110"/>
      <c r="G657" s="110"/>
      <c r="H657" s="111"/>
      <c r="I657" s="791"/>
      <c r="J657" s="791"/>
      <c r="K657" s="118" t="s">
        <v>1164</v>
      </c>
      <c r="L657" s="118" t="s">
        <v>1582</v>
      </c>
      <c r="M657" s="112">
        <f>(M654+M655+M656)</f>
        <v>27168</v>
      </c>
      <c r="N657" s="113" t="s">
        <v>975</v>
      </c>
      <c r="O657" s="114" t="s">
        <v>1115</v>
      </c>
    </row>
    <row r="658" spans="1:15" ht="18.600000000000001" customHeight="1">
      <c r="A658" s="130"/>
      <c r="B658" s="109"/>
      <c r="C658" s="118"/>
      <c r="D658" s="110"/>
      <c r="E658" s="110"/>
      <c r="F658" s="110"/>
      <c r="G658" s="110"/>
      <c r="H658" s="111"/>
      <c r="I658" s="118"/>
      <c r="J658" s="118"/>
      <c r="K658" s="118"/>
      <c r="L658" s="118"/>
      <c r="M658" s="112"/>
      <c r="N658" s="113"/>
      <c r="O658" s="114" t="s">
        <v>3682</v>
      </c>
    </row>
    <row r="659" spans="1:15" ht="18.600000000000001" customHeight="1">
      <c r="A659" s="135"/>
      <c r="B659" s="136"/>
      <c r="C659" s="137"/>
      <c r="D659" s="138"/>
      <c r="E659" s="138"/>
      <c r="F659" s="138"/>
      <c r="G659" s="138"/>
      <c r="H659" s="139"/>
      <c r="I659" s="137"/>
      <c r="J659" s="137"/>
      <c r="K659" s="137"/>
      <c r="L659" s="137"/>
      <c r="M659" s="140"/>
      <c r="N659" s="141"/>
      <c r="O659" s="114" t="s">
        <v>3682</v>
      </c>
    </row>
    <row r="660" spans="1:15" ht="16.149999999999999" customHeight="1">
      <c r="A660" s="124"/>
      <c r="B660" s="125" t="s">
        <v>1116</v>
      </c>
      <c r="C660" s="142"/>
      <c r="D660" s="126"/>
      <c r="E660" s="126"/>
      <c r="F660" s="126"/>
      <c r="G660" s="126"/>
      <c r="H660" s="127"/>
      <c r="I660" s="126"/>
      <c r="J660" s="126"/>
      <c r="K660" s="126"/>
      <c r="L660" s="126"/>
      <c r="M660" s="128"/>
      <c r="N660" s="129"/>
    </row>
    <row r="661" spans="1:15" ht="16.149999999999999" customHeight="1">
      <c r="A661" s="130"/>
      <c r="B661" s="131" t="s">
        <v>2461</v>
      </c>
      <c r="C661" s="118" t="s">
        <v>1526</v>
      </c>
      <c r="D661" s="118">
        <v>8.4</v>
      </c>
      <c r="E661" s="110" t="s">
        <v>456</v>
      </c>
      <c r="F661" s="118" t="s">
        <v>972</v>
      </c>
      <c r="G661" s="110"/>
      <c r="H661" s="123">
        <f>중기기준!$G$35</f>
        <v>1114.9000000000001</v>
      </c>
      <c r="I661" s="110" t="s">
        <v>975</v>
      </c>
      <c r="J661" s="110"/>
      <c r="K661" s="110"/>
      <c r="L661" s="118" t="s">
        <v>1582</v>
      </c>
      <c r="M661" s="112">
        <f>TRUNC(D661*H661,2)</f>
        <v>9365.16</v>
      </c>
      <c r="N661" s="113" t="s">
        <v>975</v>
      </c>
    </row>
    <row r="662" spans="1:15" ht="16.149999999999999" customHeight="1">
      <c r="A662" s="130"/>
      <c r="B662" s="109" t="s">
        <v>1556</v>
      </c>
      <c r="C662" s="118" t="s">
        <v>1526</v>
      </c>
      <c r="D662" s="145">
        <v>0.18</v>
      </c>
      <c r="E662" s="110"/>
      <c r="F662" s="118" t="s">
        <v>972</v>
      </c>
      <c r="G662" s="110"/>
      <c r="H662" s="123">
        <f>M661</f>
        <v>9365.16</v>
      </c>
      <c r="I662" s="110" t="s">
        <v>975</v>
      </c>
      <c r="J662" s="110"/>
      <c r="K662" s="110"/>
      <c r="L662" s="118" t="s">
        <v>1582</v>
      </c>
      <c r="M662" s="112">
        <f>TRUNC((D662*H662),2)</f>
        <v>1685.72</v>
      </c>
      <c r="N662" s="113" t="s">
        <v>975</v>
      </c>
    </row>
    <row r="663" spans="1:15" ht="16.149999999999999" customHeight="1">
      <c r="A663" s="130"/>
      <c r="B663" s="109"/>
      <c r="C663" s="110"/>
      <c r="D663" s="110"/>
      <c r="E663" s="110"/>
      <c r="F663" s="110"/>
      <c r="G663" s="110"/>
      <c r="H663" s="111"/>
      <c r="I663" s="110"/>
      <c r="J663" s="110"/>
      <c r="K663" s="118" t="s">
        <v>1164</v>
      </c>
      <c r="L663" s="118" t="s">
        <v>1582</v>
      </c>
      <c r="M663" s="112">
        <f>TRUNC(SUM(M661:M662))</f>
        <v>11050</v>
      </c>
      <c r="N663" s="113" t="s">
        <v>975</v>
      </c>
    </row>
    <row r="664" spans="1:15" ht="18.600000000000001" customHeight="1">
      <c r="A664" s="135"/>
      <c r="B664" s="136"/>
      <c r="C664" s="138"/>
      <c r="D664" s="138"/>
      <c r="E664" s="138"/>
      <c r="F664" s="138"/>
      <c r="G664" s="138"/>
      <c r="H664" s="139"/>
      <c r="I664" s="138"/>
      <c r="J664" s="138"/>
      <c r="K664" s="137"/>
      <c r="L664" s="137"/>
      <c r="M664" s="140"/>
      <c r="N664" s="141"/>
      <c r="O664" s="114" t="s">
        <v>3682</v>
      </c>
    </row>
    <row r="665" spans="1:15" s="152" customFormat="1" ht="16.149999999999999" customHeight="1">
      <c r="A665" s="146"/>
      <c r="B665" s="147"/>
      <c r="C665" s="148"/>
      <c r="D665" s="148"/>
      <c r="E665" s="148"/>
      <c r="F665" s="148"/>
      <c r="G665" s="148"/>
      <c r="H665" s="149"/>
      <c r="I665" s="148"/>
      <c r="J665" s="148"/>
      <c r="K665" s="148" t="s">
        <v>1118</v>
      </c>
      <c r="L665" s="148" t="s">
        <v>1582</v>
      </c>
      <c r="M665" s="150">
        <f>M651+M657+M663</f>
        <v>48521</v>
      </c>
      <c r="N665" s="151"/>
    </row>
    <row r="666" spans="1:15" s="152" customFormat="1" ht="16.149999999999999" customHeight="1">
      <c r="A666" s="169"/>
      <c r="B666" s="163"/>
      <c r="C666" s="169"/>
      <c r="D666" s="169"/>
      <c r="E666" s="169"/>
      <c r="F666" s="169"/>
      <c r="G666" s="169"/>
      <c r="H666" s="170"/>
      <c r="I666" s="169"/>
      <c r="J666" s="169"/>
      <c r="K666" s="169"/>
      <c r="L666" s="169"/>
      <c r="M666" s="166"/>
      <c r="N666" s="165"/>
      <c r="O666" s="114"/>
    </row>
    <row r="667" spans="1:15" s="107" customFormat="1" ht="16.149999999999999" customHeight="1">
      <c r="A667" s="451">
        <f>A648+1</f>
        <v>36</v>
      </c>
      <c r="B667" s="99" t="s">
        <v>1100</v>
      </c>
      <c r="C667" s="100" t="s">
        <v>1526</v>
      </c>
      <c r="D667" s="101" t="s">
        <v>525</v>
      </c>
      <c r="E667" s="102"/>
      <c r="F667" s="102"/>
      <c r="G667" s="100"/>
      <c r="H667" s="103" t="s">
        <v>1527</v>
      </c>
      <c r="I667" s="100" t="s">
        <v>1526</v>
      </c>
      <c r="J667" s="167" t="s">
        <v>2222</v>
      </c>
      <c r="K667" s="104" t="s">
        <v>847</v>
      </c>
      <c r="L667" s="100" t="s">
        <v>1526</v>
      </c>
      <c r="M667" s="105" t="str">
        <f>기계경비산출표!$B$86</f>
        <v>1209-0001</v>
      </c>
      <c r="N667" s="106"/>
    </row>
    <row r="668" spans="1:15" ht="16.149999999999999" customHeight="1">
      <c r="A668" s="108"/>
      <c r="B668" s="109" t="s">
        <v>588</v>
      </c>
      <c r="C668" s="110" t="s">
        <v>1582</v>
      </c>
      <c r="D668" s="110" t="s">
        <v>589</v>
      </c>
      <c r="E668" s="110" t="s">
        <v>86</v>
      </c>
      <c r="F668" s="110" t="s">
        <v>590</v>
      </c>
      <c r="G668" s="110" t="s">
        <v>86</v>
      </c>
      <c r="H668" s="111" t="s">
        <v>2973</v>
      </c>
      <c r="I668" s="110"/>
      <c r="J668" s="110"/>
      <c r="K668" s="110"/>
      <c r="L668" s="110"/>
      <c r="M668" s="112"/>
      <c r="N668" s="113"/>
    </row>
    <row r="669" spans="1:15" ht="16.149999999999999" customHeight="1">
      <c r="A669" s="108"/>
      <c r="B669" s="109"/>
      <c r="C669" s="110"/>
      <c r="D669" s="110"/>
      <c r="E669" s="110"/>
      <c r="F669" s="110"/>
      <c r="G669" s="110"/>
      <c r="H669" s="111"/>
      <c r="I669" s="110"/>
      <c r="J669" s="792"/>
      <c r="K669" s="792"/>
      <c r="L669" s="110"/>
      <c r="M669" s="112"/>
      <c r="N669" s="113"/>
    </row>
    <row r="670" spans="1:15" ht="16.149999999999999" customHeight="1">
      <c r="A670" s="115"/>
      <c r="F670" s="117"/>
      <c r="G670" s="118"/>
      <c r="H670" s="119">
        <f>기계경비산출표!$E$86*1000</f>
        <v>9724000</v>
      </c>
      <c r="I670" s="110" t="s">
        <v>972</v>
      </c>
      <c r="J670" s="120">
        <v>2110</v>
      </c>
      <c r="K670" s="118" t="s">
        <v>2974</v>
      </c>
      <c r="L670" s="121" t="s">
        <v>1582</v>
      </c>
      <c r="M670" s="112">
        <f>TRUNC(H670*J670*(10^-7))</f>
        <v>2051</v>
      </c>
      <c r="N670" s="113" t="s">
        <v>975</v>
      </c>
    </row>
    <row r="671" spans="1:15" ht="16.149999999999999" customHeight="1">
      <c r="A671" s="115"/>
      <c r="B671" s="122"/>
      <c r="C671" s="118"/>
      <c r="D671" s="33"/>
      <c r="E671" s="110"/>
      <c r="F671" s="118"/>
      <c r="G671" s="118"/>
      <c r="H671" s="123"/>
      <c r="I671" s="118"/>
      <c r="J671" s="110"/>
      <c r="K671" s="110"/>
      <c r="L671" s="110"/>
      <c r="M671" s="112"/>
      <c r="N671" s="113"/>
    </row>
    <row r="672" spans="1:15" ht="16.149999999999999" customHeight="1">
      <c r="A672" s="124"/>
      <c r="B672" s="125" t="s">
        <v>1115</v>
      </c>
      <c r="C672" s="126"/>
      <c r="D672" s="126"/>
      <c r="E672" s="126"/>
      <c r="F672" s="126"/>
      <c r="G672" s="126"/>
      <c r="H672" s="127"/>
      <c r="I672" s="126"/>
      <c r="J672" s="126"/>
      <c r="K672" s="126"/>
      <c r="L672" s="126"/>
      <c r="M672" s="128"/>
      <c r="N672" s="129"/>
    </row>
    <row r="673" spans="1:15" ht="16.149999999999999" customHeight="1">
      <c r="A673" s="130"/>
      <c r="B673" s="131" t="s">
        <v>3185</v>
      </c>
      <c r="C673" s="118"/>
      <c r="D673" s="33">
        <f>SUMIF('노임(2015)'!$B$4:$B$87,B673,'노임(2015)'!$C$4:$C$87)+SUMIF('노임(2015)'!$E$4:$E$87,B673,'노임(2015)'!$F$4:$F$87)</f>
        <v>130411</v>
      </c>
      <c r="E673" s="110" t="s">
        <v>972</v>
      </c>
      <c r="F673" s="110" t="s">
        <v>973</v>
      </c>
      <c r="G673" s="132" t="s">
        <v>974</v>
      </c>
      <c r="H673" s="111"/>
      <c r="I673" s="110"/>
      <c r="J673" s="110"/>
      <c r="K673" s="133">
        <v>1</v>
      </c>
      <c r="L673" s="118" t="s">
        <v>1582</v>
      </c>
      <c r="M673" s="112">
        <f>TRUNC(D673*(1/8)*(16/12)*(25/20)*K673)</f>
        <v>27168</v>
      </c>
      <c r="N673" s="113" t="s">
        <v>975</v>
      </c>
    </row>
    <row r="674" spans="1:15" ht="16.149999999999999" customHeight="1">
      <c r="A674" s="130"/>
      <c r="B674" s="109"/>
      <c r="C674" s="118"/>
      <c r="D674" s="33"/>
      <c r="E674" s="110"/>
      <c r="F674" s="110"/>
      <c r="G674" s="132"/>
      <c r="H674" s="111"/>
      <c r="I674" s="110"/>
      <c r="J674" s="110"/>
      <c r="K674" s="133"/>
      <c r="L674" s="118"/>
      <c r="M674" s="112"/>
      <c r="N674" s="113"/>
    </row>
    <row r="675" spans="1:15" ht="18.600000000000001" customHeight="1">
      <c r="A675" s="130"/>
      <c r="B675" s="109"/>
      <c r="C675" s="118"/>
      <c r="D675" s="33"/>
      <c r="E675" s="110"/>
      <c r="F675" s="110"/>
      <c r="G675" s="132"/>
      <c r="H675" s="111"/>
      <c r="I675" s="110"/>
      <c r="J675" s="110"/>
      <c r="K675" s="134"/>
      <c r="L675" s="118"/>
      <c r="M675" s="112"/>
      <c r="N675" s="113"/>
      <c r="O675" s="114" t="s">
        <v>3682</v>
      </c>
    </row>
    <row r="676" spans="1:15" ht="16.149999999999999" customHeight="1">
      <c r="A676" s="130"/>
      <c r="B676" s="109"/>
      <c r="C676" s="118"/>
      <c r="D676" s="110"/>
      <c r="E676" s="110"/>
      <c r="F676" s="110"/>
      <c r="G676" s="110"/>
      <c r="H676" s="111"/>
      <c r="I676" s="791"/>
      <c r="J676" s="791"/>
      <c r="K676" s="118" t="s">
        <v>1164</v>
      </c>
      <c r="L676" s="118" t="s">
        <v>1582</v>
      </c>
      <c r="M676" s="112">
        <f>(M673+M674+M675)</f>
        <v>27168</v>
      </c>
      <c r="N676" s="113" t="s">
        <v>975</v>
      </c>
      <c r="O676" s="114" t="s">
        <v>1115</v>
      </c>
    </row>
    <row r="677" spans="1:15" ht="18.600000000000001" customHeight="1">
      <c r="A677" s="130"/>
      <c r="B677" s="109"/>
      <c r="C677" s="118"/>
      <c r="D677" s="110"/>
      <c r="E677" s="110"/>
      <c r="F677" s="110"/>
      <c r="G677" s="110"/>
      <c r="H677" s="111"/>
      <c r="I677" s="118"/>
      <c r="J677" s="118"/>
      <c r="K677" s="118"/>
      <c r="L677" s="118"/>
      <c r="M677" s="112"/>
      <c r="N677" s="113"/>
      <c r="O677" s="114" t="s">
        <v>3682</v>
      </c>
    </row>
    <row r="678" spans="1:15" ht="18.600000000000001" customHeight="1">
      <c r="A678" s="135"/>
      <c r="B678" s="136"/>
      <c r="C678" s="137"/>
      <c r="D678" s="138"/>
      <c r="E678" s="138"/>
      <c r="F678" s="138"/>
      <c r="G678" s="138"/>
      <c r="H678" s="139"/>
      <c r="I678" s="137"/>
      <c r="J678" s="137"/>
      <c r="K678" s="137"/>
      <c r="L678" s="137"/>
      <c r="M678" s="140"/>
      <c r="N678" s="141"/>
      <c r="O678" s="114" t="s">
        <v>3682</v>
      </c>
    </row>
    <row r="679" spans="1:15" ht="16.149999999999999" customHeight="1">
      <c r="A679" s="124"/>
      <c r="B679" s="125" t="s">
        <v>1116</v>
      </c>
      <c r="C679" s="142"/>
      <c r="D679" s="126"/>
      <c r="E679" s="126"/>
      <c r="F679" s="126"/>
      <c r="G679" s="126"/>
      <c r="H679" s="127"/>
      <c r="I679" s="126"/>
      <c r="J679" s="126"/>
      <c r="K679" s="126"/>
      <c r="L679" s="126"/>
      <c r="M679" s="128"/>
      <c r="N679" s="129"/>
    </row>
    <row r="680" spans="1:15" ht="16.149999999999999" customHeight="1">
      <c r="A680" s="130"/>
      <c r="B680" s="131" t="s">
        <v>2461</v>
      </c>
      <c r="C680" s="118" t="s">
        <v>1526</v>
      </c>
      <c r="D680" s="118">
        <v>2.5</v>
      </c>
      <c r="E680" s="110" t="s">
        <v>456</v>
      </c>
      <c r="F680" s="118" t="s">
        <v>972</v>
      </c>
      <c r="G680" s="110"/>
      <c r="H680" s="123">
        <f>중기기준!$G$35</f>
        <v>1114.9000000000001</v>
      </c>
      <c r="I680" s="110" t="s">
        <v>975</v>
      </c>
      <c r="J680" s="110"/>
      <c r="K680" s="110"/>
      <c r="L680" s="118" t="s">
        <v>1582</v>
      </c>
      <c r="M680" s="112">
        <f>TRUNC(D680*H680,2)</f>
        <v>2787.25</v>
      </c>
      <c r="N680" s="113" t="s">
        <v>975</v>
      </c>
    </row>
    <row r="681" spans="1:15" ht="16.149999999999999" customHeight="1">
      <c r="A681" s="130"/>
      <c r="B681" s="109" t="s">
        <v>1556</v>
      </c>
      <c r="C681" s="118" t="s">
        <v>1526</v>
      </c>
      <c r="D681" s="145">
        <v>0.08</v>
      </c>
      <c r="E681" s="110"/>
      <c r="F681" s="118" t="s">
        <v>972</v>
      </c>
      <c r="G681" s="110"/>
      <c r="H681" s="123">
        <f>M680</f>
        <v>2787.25</v>
      </c>
      <c r="I681" s="110" t="s">
        <v>975</v>
      </c>
      <c r="J681" s="110"/>
      <c r="K681" s="110"/>
      <c r="L681" s="118" t="s">
        <v>1582</v>
      </c>
      <c r="M681" s="112">
        <f>TRUNC((D681*H681),2)</f>
        <v>222.98</v>
      </c>
      <c r="N681" s="113" t="s">
        <v>975</v>
      </c>
    </row>
    <row r="682" spans="1:15" ht="16.149999999999999" customHeight="1">
      <c r="A682" s="130"/>
      <c r="B682" s="109"/>
      <c r="C682" s="110"/>
      <c r="D682" s="110"/>
      <c r="E682" s="110"/>
      <c r="F682" s="110"/>
      <c r="G682" s="110"/>
      <c r="H682" s="111"/>
      <c r="I682" s="110"/>
      <c r="J682" s="110"/>
      <c r="K682" s="118" t="s">
        <v>1164</v>
      </c>
      <c r="L682" s="118" t="s">
        <v>1582</v>
      </c>
      <c r="M682" s="112">
        <f>TRUNC(SUM(M680:M681))</f>
        <v>3010</v>
      </c>
      <c r="N682" s="113" t="s">
        <v>975</v>
      </c>
    </row>
    <row r="683" spans="1:15" ht="18.600000000000001" customHeight="1">
      <c r="A683" s="135"/>
      <c r="B683" s="136"/>
      <c r="C683" s="138"/>
      <c r="D683" s="138"/>
      <c r="E683" s="138"/>
      <c r="F683" s="138"/>
      <c r="G683" s="138"/>
      <c r="H683" s="139"/>
      <c r="I683" s="138"/>
      <c r="J683" s="138"/>
      <c r="K683" s="137"/>
      <c r="L683" s="137"/>
      <c r="M683" s="140"/>
      <c r="N683" s="141"/>
      <c r="O683" s="114" t="s">
        <v>3682</v>
      </c>
    </row>
    <row r="684" spans="1:15" s="152" customFormat="1" ht="16.149999999999999" customHeight="1">
      <c r="A684" s="146"/>
      <c r="B684" s="147"/>
      <c r="C684" s="148"/>
      <c r="D684" s="148"/>
      <c r="E684" s="148"/>
      <c r="F684" s="148"/>
      <c r="G684" s="148"/>
      <c r="H684" s="149"/>
      <c r="I684" s="148"/>
      <c r="J684" s="148"/>
      <c r="K684" s="148" t="s">
        <v>1118</v>
      </c>
      <c r="L684" s="148" t="s">
        <v>1582</v>
      </c>
      <c r="M684" s="150">
        <f>M670+M676+M682</f>
        <v>32229</v>
      </c>
      <c r="N684" s="151"/>
    </row>
    <row r="685" spans="1:15" ht="16.149999999999999" customHeight="1">
      <c r="A685" s="155"/>
      <c r="B685" s="136"/>
      <c r="C685" s="155"/>
      <c r="D685" s="155"/>
      <c r="E685" s="155"/>
      <c r="F685" s="155"/>
      <c r="G685" s="155"/>
      <c r="H685" s="156"/>
      <c r="I685" s="155"/>
      <c r="J685" s="155"/>
      <c r="K685" s="155"/>
      <c r="L685" s="155"/>
      <c r="M685" s="140"/>
      <c r="N685" s="137"/>
    </row>
    <row r="686" spans="1:15" s="107" customFormat="1" ht="16.149999999999999" customHeight="1">
      <c r="A686" s="451">
        <f>A667+1</f>
        <v>37</v>
      </c>
      <c r="B686" s="99" t="s">
        <v>1100</v>
      </c>
      <c r="C686" s="100" t="s">
        <v>1526</v>
      </c>
      <c r="D686" s="101" t="s">
        <v>1587</v>
      </c>
      <c r="E686" s="102"/>
      <c r="F686" s="102"/>
      <c r="G686" s="100"/>
      <c r="H686" s="103" t="s">
        <v>1527</v>
      </c>
      <c r="I686" s="100" t="s">
        <v>1526</v>
      </c>
      <c r="J686" s="102" t="s">
        <v>156</v>
      </c>
      <c r="K686" s="104" t="s">
        <v>847</v>
      </c>
      <c r="L686" s="100" t="s">
        <v>1526</v>
      </c>
      <c r="M686" s="105" t="str">
        <f>기계경비산출표!$B$93</f>
        <v>1305-0007</v>
      </c>
      <c r="N686" s="106"/>
    </row>
    <row r="687" spans="1:15" ht="16.149999999999999" customHeight="1">
      <c r="A687" s="108"/>
      <c r="B687" s="109" t="s">
        <v>588</v>
      </c>
      <c r="C687" s="110" t="s">
        <v>1582</v>
      </c>
      <c r="D687" s="110" t="s">
        <v>589</v>
      </c>
      <c r="E687" s="110" t="s">
        <v>86</v>
      </c>
      <c r="F687" s="110" t="s">
        <v>590</v>
      </c>
      <c r="G687" s="110" t="s">
        <v>86</v>
      </c>
      <c r="H687" s="111" t="s">
        <v>2973</v>
      </c>
      <c r="I687" s="110"/>
      <c r="J687" s="110"/>
      <c r="K687" s="110"/>
      <c r="L687" s="110"/>
      <c r="M687" s="112"/>
      <c r="N687" s="113"/>
    </row>
    <row r="688" spans="1:15" ht="16.149999999999999" customHeight="1">
      <c r="A688" s="108"/>
      <c r="B688" s="109"/>
      <c r="C688" s="110"/>
      <c r="D688" s="110"/>
      <c r="E688" s="110"/>
      <c r="F688" s="110"/>
      <c r="G688" s="110"/>
      <c r="H688" s="111"/>
      <c r="I688" s="110"/>
      <c r="J688" s="792"/>
      <c r="K688" s="792"/>
      <c r="L688" s="110"/>
      <c r="M688" s="112"/>
      <c r="N688" s="113"/>
    </row>
    <row r="689" spans="1:15" ht="16.149999999999999" customHeight="1">
      <c r="A689" s="115"/>
      <c r="F689" s="117"/>
      <c r="G689" s="118"/>
      <c r="H689" s="119">
        <f>기계경비산출표!$E$93*1000</f>
        <v>5670000</v>
      </c>
      <c r="I689" s="110" t="s">
        <v>972</v>
      </c>
      <c r="J689" s="120">
        <v>2757</v>
      </c>
      <c r="K689" s="118" t="s">
        <v>2974</v>
      </c>
      <c r="L689" s="121" t="s">
        <v>1582</v>
      </c>
      <c r="M689" s="112">
        <f>TRUNC(H689*J689*(10^-7))</f>
        <v>1563</v>
      </c>
      <c r="N689" s="113" t="s">
        <v>975</v>
      </c>
    </row>
    <row r="690" spans="1:15" ht="16.149999999999999" customHeight="1">
      <c r="A690" s="115"/>
      <c r="B690" s="122"/>
      <c r="C690" s="118"/>
      <c r="D690" s="33"/>
      <c r="E690" s="110"/>
      <c r="F690" s="118"/>
      <c r="G690" s="118"/>
      <c r="H690" s="123"/>
      <c r="I690" s="118"/>
      <c r="J690" s="110"/>
      <c r="K690" s="110"/>
      <c r="L690" s="110"/>
      <c r="M690" s="112"/>
      <c r="N690" s="113"/>
    </row>
    <row r="691" spans="1:15" ht="16.149999999999999" customHeight="1">
      <c r="A691" s="124"/>
      <c r="B691" s="125" t="s">
        <v>1115</v>
      </c>
      <c r="C691" s="126"/>
      <c r="D691" s="126"/>
      <c r="E691" s="126"/>
      <c r="F691" s="126"/>
      <c r="G691" s="126"/>
      <c r="H691" s="127"/>
      <c r="I691" s="126"/>
      <c r="J691" s="126"/>
      <c r="K691" s="126"/>
      <c r="L691" s="126"/>
      <c r="M691" s="128"/>
      <c r="N691" s="129"/>
    </row>
    <row r="692" spans="1:15" ht="16.149999999999999" customHeight="1">
      <c r="A692" s="130"/>
      <c r="B692" s="131" t="s">
        <v>3185</v>
      </c>
      <c r="C692" s="118"/>
      <c r="D692" s="33">
        <f>SUMIF('노임(2015)'!$B$4:$B$87,B692,'노임(2015)'!$C$4:$C$87)+SUMIF('노임(2015)'!$E$4:$E$87,B692,'노임(2015)'!$F$4:$F$87)</f>
        <v>130411</v>
      </c>
      <c r="E692" s="110" t="s">
        <v>972</v>
      </c>
      <c r="F692" s="110" t="s">
        <v>973</v>
      </c>
      <c r="G692" s="132" t="s">
        <v>974</v>
      </c>
      <c r="H692" s="111"/>
      <c r="I692" s="110"/>
      <c r="J692" s="110"/>
      <c r="K692" s="133">
        <v>1</v>
      </c>
      <c r="L692" s="118" t="s">
        <v>1582</v>
      </c>
      <c r="M692" s="112">
        <f>TRUNC(D692*(1/8)*(16/12)*(25/20)*K692)</f>
        <v>27168</v>
      </c>
      <c r="N692" s="113" t="s">
        <v>975</v>
      </c>
    </row>
    <row r="693" spans="1:15" ht="16.149999999999999" customHeight="1">
      <c r="A693" s="130"/>
      <c r="B693" s="109"/>
      <c r="C693" s="118"/>
      <c r="D693" s="33">
        <f>SUMIF('노임(2015)'!$B$4:$B$87,B693,'노임(2015)'!$C$4:$C$87)+SUMIF('노임(2015)'!$E$4:$E$87,B693,'노임(2015)'!$F$4:$F$87)</f>
        <v>0</v>
      </c>
      <c r="E693" s="110"/>
      <c r="F693" s="110"/>
      <c r="G693" s="132"/>
      <c r="H693" s="111"/>
      <c r="I693" s="110"/>
      <c r="J693" s="110"/>
      <c r="K693" s="134"/>
      <c r="L693" s="118"/>
      <c r="M693" s="112"/>
      <c r="N693" s="113"/>
    </row>
    <row r="694" spans="1:15" ht="18.600000000000001" customHeight="1">
      <c r="A694" s="130"/>
      <c r="B694" s="109"/>
      <c r="C694" s="118"/>
      <c r="D694" s="33"/>
      <c r="E694" s="110"/>
      <c r="F694" s="110"/>
      <c r="G694" s="132"/>
      <c r="H694" s="111"/>
      <c r="I694" s="110"/>
      <c r="J694" s="110"/>
      <c r="K694" s="134"/>
      <c r="L694" s="118"/>
      <c r="M694" s="112"/>
      <c r="N694" s="113"/>
      <c r="O694" s="114" t="s">
        <v>3682</v>
      </c>
    </row>
    <row r="695" spans="1:15" ht="16.149999999999999" customHeight="1">
      <c r="A695" s="130"/>
      <c r="B695" s="109"/>
      <c r="C695" s="118"/>
      <c r="D695" s="110"/>
      <c r="E695" s="110"/>
      <c r="F695" s="110"/>
      <c r="G695" s="110"/>
      <c r="H695" s="111"/>
      <c r="I695" s="791"/>
      <c r="J695" s="791"/>
      <c r="K695" s="118" t="s">
        <v>1164</v>
      </c>
      <c r="L695" s="118" t="s">
        <v>1582</v>
      </c>
      <c r="M695" s="112">
        <f>(M692+M693+M694)</f>
        <v>27168</v>
      </c>
      <c r="N695" s="113" t="s">
        <v>975</v>
      </c>
      <c r="O695" s="114" t="s">
        <v>1115</v>
      </c>
    </row>
    <row r="696" spans="1:15" ht="18.600000000000001" customHeight="1">
      <c r="A696" s="130"/>
      <c r="B696" s="109"/>
      <c r="C696" s="118"/>
      <c r="D696" s="110"/>
      <c r="E696" s="110"/>
      <c r="F696" s="110"/>
      <c r="G696" s="110"/>
      <c r="H696" s="111"/>
      <c r="I696" s="118"/>
      <c r="J696" s="118"/>
      <c r="K696" s="118"/>
      <c r="L696" s="118"/>
      <c r="M696" s="112"/>
      <c r="N696" s="113"/>
      <c r="O696" s="114" t="s">
        <v>3682</v>
      </c>
    </row>
    <row r="697" spans="1:15" ht="18.600000000000001" customHeight="1">
      <c r="A697" s="135"/>
      <c r="B697" s="136"/>
      <c r="C697" s="137"/>
      <c r="D697" s="138"/>
      <c r="E697" s="138"/>
      <c r="F697" s="138"/>
      <c r="G697" s="138"/>
      <c r="H697" s="139"/>
      <c r="I697" s="137"/>
      <c r="J697" s="137"/>
      <c r="K697" s="137"/>
      <c r="L697" s="137"/>
      <c r="M697" s="140"/>
      <c r="N697" s="141"/>
      <c r="O697" s="114" t="s">
        <v>3682</v>
      </c>
    </row>
    <row r="698" spans="1:15" ht="16.149999999999999" customHeight="1">
      <c r="A698" s="124"/>
      <c r="B698" s="125" t="s">
        <v>1116</v>
      </c>
      <c r="C698" s="142"/>
      <c r="D698" s="126"/>
      <c r="E698" s="126"/>
      <c r="F698" s="126"/>
      <c r="G698" s="126"/>
      <c r="H698" s="127"/>
      <c r="I698" s="126"/>
      <c r="J698" s="126"/>
      <c r="K698" s="126"/>
      <c r="L698" s="126"/>
      <c r="M698" s="128"/>
      <c r="N698" s="129"/>
    </row>
    <row r="699" spans="1:15" ht="16.149999999999999" customHeight="1">
      <c r="A699" s="130"/>
      <c r="B699" s="131" t="s">
        <v>2461</v>
      </c>
      <c r="C699" s="118" t="s">
        <v>1526</v>
      </c>
      <c r="D699" s="118">
        <v>2.2000000000000002</v>
      </c>
      <c r="E699" s="110" t="s">
        <v>456</v>
      </c>
      <c r="F699" s="118" t="s">
        <v>972</v>
      </c>
      <c r="G699" s="110"/>
      <c r="H699" s="123">
        <f>중기기준!$G$35</f>
        <v>1114.9000000000001</v>
      </c>
      <c r="I699" s="110" t="s">
        <v>975</v>
      </c>
      <c r="J699" s="110"/>
      <c r="K699" s="110"/>
      <c r="L699" s="118" t="s">
        <v>1582</v>
      </c>
      <c r="M699" s="112">
        <f>TRUNC(D699*H699,2)</f>
        <v>2452.7800000000002</v>
      </c>
      <c r="N699" s="113" t="s">
        <v>975</v>
      </c>
    </row>
    <row r="700" spans="1:15" ht="16.149999999999999" customHeight="1">
      <c r="A700" s="130"/>
      <c r="B700" s="109" t="s">
        <v>1556</v>
      </c>
      <c r="C700" s="118" t="s">
        <v>1526</v>
      </c>
      <c r="D700" s="145">
        <v>0.13</v>
      </c>
      <c r="E700" s="110"/>
      <c r="F700" s="118" t="s">
        <v>972</v>
      </c>
      <c r="G700" s="110"/>
      <c r="H700" s="123">
        <f>M699</f>
        <v>2452.7800000000002</v>
      </c>
      <c r="I700" s="110" t="s">
        <v>975</v>
      </c>
      <c r="J700" s="110"/>
      <c r="K700" s="110"/>
      <c r="L700" s="118" t="s">
        <v>1582</v>
      </c>
      <c r="M700" s="112">
        <f>TRUNC((D700*H700),2)</f>
        <v>318.86</v>
      </c>
      <c r="N700" s="113" t="s">
        <v>975</v>
      </c>
    </row>
    <row r="701" spans="1:15" ht="16.149999999999999" customHeight="1">
      <c r="A701" s="130"/>
      <c r="B701" s="109"/>
      <c r="C701" s="110"/>
      <c r="D701" s="110"/>
      <c r="E701" s="110"/>
      <c r="F701" s="110"/>
      <c r="G701" s="110"/>
      <c r="H701" s="111"/>
      <c r="I701" s="110"/>
      <c r="J701" s="110"/>
      <c r="K701" s="118" t="s">
        <v>1164</v>
      </c>
      <c r="L701" s="118" t="s">
        <v>1582</v>
      </c>
      <c r="M701" s="112">
        <f>TRUNC(SUM(M699:M700))</f>
        <v>2771</v>
      </c>
      <c r="N701" s="113" t="s">
        <v>975</v>
      </c>
    </row>
    <row r="702" spans="1:15" ht="18.600000000000001" customHeight="1">
      <c r="A702" s="135"/>
      <c r="B702" s="136"/>
      <c r="C702" s="138"/>
      <c r="D702" s="138"/>
      <c r="E702" s="138"/>
      <c r="F702" s="138"/>
      <c r="G702" s="138"/>
      <c r="H702" s="139"/>
      <c r="I702" s="138"/>
      <c r="J702" s="138"/>
      <c r="K702" s="137"/>
      <c r="L702" s="137"/>
      <c r="M702" s="140"/>
      <c r="N702" s="141"/>
      <c r="O702" s="114" t="s">
        <v>3682</v>
      </c>
    </row>
    <row r="703" spans="1:15" s="152" customFormat="1" ht="16.149999999999999" customHeight="1">
      <c r="A703" s="146"/>
      <c r="B703" s="147"/>
      <c r="C703" s="148"/>
      <c r="D703" s="148"/>
      <c r="E703" s="148"/>
      <c r="F703" s="148"/>
      <c r="G703" s="148"/>
      <c r="H703" s="149"/>
      <c r="I703" s="148"/>
      <c r="J703" s="148"/>
      <c r="K703" s="148" t="s">
        <v>1118</v>
      </c>
      <c r="L703" s="148" t="s">
        <v>1582</v>
      </c>
      <c r="M703" s="150">
        <f>M689+M695+M701</f>
        <v>31502</v>
      </c>
      <c r="N703" s="151"/>
    </row>
    <row r="704" spans="1:15" s="152" customFormat="1" ht="16.149999999999999" customHeight="1">
      <c r="A704" s="452"/>
      <c r="B704" s="453"/>
      <c r="C704" s="452"/>
      <c r="D704" s="452"/>
      <c r="E704" s="452"/>
      <c r="F704" s="452"/>
      <c r="G704" s="452"/>
      <c r="H704" s="454"/>
      <c r="I704" s="452"/>
      <c r="J704" s="452"/>
      <c r="K704" s="452"/>
      <c r="L704" s="452"/>
      <c r="M704" s="455"/>
      <c r="N704" s="322"/>
      <c r="O704" s="114"/>
    </row>
    <row r="705" spans="1:15" s="107" customFormat="1" ht="16.149999999999999" customHeight="1">
      <c r="A705" s="451">
        <f>A686+1</f>
        <v>38</v>
      </c>
      <c r="B705" s="99" t="s">
        <v>1100</v>
      </c>
      <c r="C705" s="100" t="s">
        <v>1526</v>
      </c>
      <c r="D705" s="101" t="s">
        <v>1803</v>
      </c>
      <c r="E705" s="102"/>
      <c r="F705" s="102"/>
      <c r="G705" s="100"/>
      <c r="H705" s="103" t="s">
        <v>1527</v>
      </c>
      <c r="I705" s="100" t="s">
        <v>1526</v>
      </c>
      <c r="J705" s="102" t="s">
        <v>1390</v>
      </c>
      <c r="K705" s="104" t="s">
        <v>847</v>
      </c>
      <c r="L705" s="100" t="s">
        <v>1526</v>
      </c>
      <c r="M705" s="105" t="str">
        <f>기계경비산출표!$B$94</f>
        <v>1306-0025</v>
      </c>
      <c r="N705" s="106"/>
    </row>
    <row r="706" spans="1:15" ht="16.149999999999999" customHeight="1">
      <c r="A706" s="108"/>
      <c r="B706" s="109" t="s">
        <v>588</v>
      </c>
      <c r="C706" s="110" t="s">
        <v>1582</v>
      </c>
      <c r="D706" s="110" t="s">
        <v>589</v>
      </c>
      <c r="E706" s="110" t="s">
        <v>86</v>
      </c>
      <c r="F706" s="110" t="s">
        <v>590</v>
      </c>
      <c r="G706" s="110" t="s">
        <v>86</v>
      </c>
      <c r="H706" s="111" t="s">
        <v>2973</v>
      </c>
      <c r="I706" s="110"/>
      <c r="J706" s="110"/>
      <c r="K706" s="110"/>
      <c r="L706" s="110"/>
      <c r="M706" s="112"/>
      <c r="N706" s="113"/>
    </row>
    <row r="707" spans="1:15" ht="16.149999999999999" customHeight="1">
      <c r="A707" s="108"/>
      <c r="B707" s="109"/>
      <c r="C707" s="110"/>
      <c r="D707" s="110"/>
      <c r="E707" s="110"/>
      <c r="F707" s="110"/>
      <c r="G707" s="110"/>
      <c r="H707" s="111"/>
      <c r="I707" s="110"/>
      <c r="J707" s="792"/>
      <c r="K707" s="792"/>
      <c r="L707" s="110"/>
      <c r="M707" s="112"/>
      <c r="N707" s="113"/>
    </row>
    <row r="708" spans="1:15" ht="16.149999999999999" customHeight="1">
      <c r="A708" s="115"/>
      <c r="F708" s="117"/>
      <c r="G708" s="118"/>
      <c r="H708" s="119">
        <f>기계경비산출표!$E$94*1000</f>
        <v>14736000</v>
      </c>
      <c r="I708" s="110" t="s">
        <v>972</v>
      </c>
      <c r="J708" s="120">
        <v>2757</v>
      </c>
      <c r="K708" s="118" t="s">
        <v>2974</v>
      </c>
      <c r="L708" s="121" t="s">
        <v>1582</v>
      </c>
      <c r="M708" s="112">
        <f>TRUNC(H708*J708*(10^-7))</f>
        <v>4062</v>
      </c>
      <c r="N708" s="113" t="s">
        <v>975</v>
      </c>
    </row>
    <row r="709" spans="1:15" ht="16.149999999999999" customHeight="1">
      <c r="A709" s="115"/>
      <c r="B709" s="122"/>
      <c r="C709" s="118"/>
      <c r="D709" s="33"/>
      <c r="E709" s="110"/>
      <c r="F709" s="118"/>
      <c r="G709" s="118"/>
      <c r="H709" s="123"/>
      <c r="I709" s="118"/>
      <c r="J709" s="110"/>
      <c r="K709" s="110"/>
      <c r="L709" s="110"/>
      <c r="M709" s="112"/>
      <c r="N709" s="113"/>
    </row>
    <row r="710" spans="1:15" ht="16.149999999999999" customHeight="1">
      <c r="A710" s="124"/>
      <c r="B710" s="125" t="s">
        <v>1115</v>
      </c>
      <c r="C710" s="126"/>
      <c r="D710" s="126"/>
      <c r="E710" s="126"/>
      <c r="F710" s="126"/>
      <c r="G710" s="126"/>
      <c r="H710" s="127"/>
      <c r="I710" s="126"/>
      <c r="J710" s="126"/>
      <c r="K710" s="126"/>
      <c r="L710" s="126"/>
      <c r="M710" s="128"/>
      <c r="N710" s="129"/>
    </row>
    <row r="711" spans="1:15" ht="16.149999999999999" customHeight="1">
      <c r="A711" s="130"/>
      <c r="B711" s="131" t="s">
        <v>3185</v>
      </c>
      <c r="C711" s="118"/>
      <c r="D711" s="33">
        <f>SUMIF('노임(2015)'!$B$4:$B$87,B711,'노임(2015)'!$C$4:$C$87)+SUMIF('노임(2015)'!$E$4:$E$87,B711,'노임(2015)'!$F$4:$F$87)</f>
        <v>130411</v>
      </c>
      <c r="E711" s="110" t="s">
        <v>972</v>
      </c>
      <c r="F711" s="110" t="s">
        <v>973</v>
      </c>
      <c r="G711" s="132" t="s">
        <v>974</v>
      </c>
      <c r="H711" s="111"/>
      <c r="I711" s="110"/>
      <c r="J711" s="110"/>
      <c r="K711" s="133">
        <v>1</v>
      </c>
      <c r="L711" s="118" t="s">
        <v>1582</v>
      </c>
      <c r="M711" s="112">
        <f>TRUNC(D711*(1/8)*(16/12)*(25/20)*K711)</f>
        <v>27168</v>
      </c>
      <c r="N711" s="113" t="s">
        <v>975</v>
      </c>
    </row>
    <row r="712" spans="1:15" ht="16.149999999999999" customHeight="1">
      <c r="A712" s="130"/>
      <c r="B712" s="109"/>
      <c r="C712" s="118"/>
      <c r="D712" s="33">
        <f>SUMIF('노임(2015)'!$B$4:$B$87,B712,'노임(2015)'!$C$4:$C$87)+SUMIF('노임(2015)'!$E$4:$E$87,B712,'노임(2015)'!$F$4:$F$87)</f>
        <v>0</v>
      </c>
      <c r="E712" s="110"/>
      <c r="F712" s="110"/>
      <c r="G712" s="132"/>
      <c r="H712" s="111"/>
      <c r="I712" s="110"/>
      <c r="J712" s="110"/>
      <c r="K712" s="134"/>
      <c r="L712" s="118"/>
      <c r="M712" s="112"/>
      <c r="N712" s="113"/>
    </row>
    <row r="713" spans="1:15" ht="18.600000000000001" customHeight="1">
      <c r="A713" s="130"/>
      <c r="B713" s="109"/>
      <c r="C713" s="118"/>
      <c r="D713" s="33"/>
      <c r="E713" s="110"/>
      <c r="F713" s="110"/>
      <c r="G713" s="132"/>
      <c r="H713" s="111"/>
      <c r="I713" s="110"/>
      <c r="J713" s="110"/>
      <c r="K713" s="134"/>
      <c r="L713" s="118"/>
      <c r="M713" s="112"/>
      <c r="N713" s="113"/>
      <c r="O713" s="114" t="s">
        <v>3682</v>
      </c>
    </row>
    <row r="714" spans="1:15" ht="16.149999999999999" customHeight="1">
      <c r="A714" s="130"/>
      <c r="B714" s="109"/>
      <c r="C714" s="118"/>
      <c r="D714" s="110"/>
      <c r="E714" s="110"/>
      <c r="F714" s="110"/>
      <c r="G714" s="110"/>
      <c r="H714" s="111"/>
      <c r="I714" s="791"/>
      <c r="J714" s="791"/>
      <c r="K714" s="118" t="s">
        <v>1164</v>
      </c>
      <c r="L714" s="118" t="s">
        <v>1582</v>
      </c>
      <c r="M714" s="112">
        <f>(M711+M712+M713)</f>
        <v>27168</v>
      </c>
      <c r="N714" s="113" t="s">
        <v>975</v>
      </c>
      <c r="O714" s="114" t="s">
        <v>1115</v>
      </c>
    </row>
    <row r="715" spans="1:15" ht="18.600000000000001" customHeight="1">
      <c r="A715" s="130"/>
      <c r="B715" s="109"/>
      <c r="C715" s="118"/>
      <c r="D715" s="110"/>
      <c r="E715" s="110"/>
      <c r="F715" s="110"/>
      <c r="G715" s="110"/>
      <c r="H715" s="111"/>
      <c r="I715" s="118"/>
      <c r="J715" s="118"/>
      <c r="K715" s="118"/>
      <c r="L715" s="118"/>
      <c r="M715" s="112"/>
      <c r="N715" s="113"/>
      <c r="O715" s="114" t="s">
        <v>3682</v>
      </c>
    </row>
    <row r="716" spans="1:15" ht="18.600000000000001" customHeight="1">
      <c r="A716" s="135"/>
      <c r="B716" s="136"/>
      <c r="C716" s="137"/>
      <c r="D716" s="138"/>
      <c r="E716" s="138"/>
      <c r="F716" s="138"/>
      <c r="G716" s="138"/>
      <c r="H716" s="139"/>
      <c r="I716" s="137"/>
      <c r="J716" s="137"/>
      <c r="K716" s="137"/>
      <c r="L716" s="137"/>
      <c r="M716" s="140"/>
      <c r="N716" s="141"/>
      <c r="O716" s="114" t="s">
        <v>3682</v>
      </c>
    </row>
    <row r="717" spans="1:15" ht="16.149999999999999" customHeight="1">
      <c r="A717" s="124"/>
      <c r="B717" s="125" t="s">
        <v>1116</v>
      </c>
      <c r="C717" s="142"/>
      <c r="D717" s="126"/>
      <c r="E717" s="126"/>
      <c r="F717" s="126"/>
      <c r="G717" s="126"/>
      <c r="H717" s="127"/>
      <c r="I717" s="126"/>
      <c r="J717" s="126"/>
      <c r="K717" s="126"/>
      <c r="L717" s="126"/>
      <c r="M717" s="128"/>
      <c r="N717" s="129"/>
    </row>
    <row r="718" spans="1:15" ht="16.149999999999999" customHeight="1">
      <c r="A718" s="130"/>
      <c r="B718" s="131" t="s">
        <v>2461</v>
      </c>
      <c r="C718" s="118" t="s">
        <v>1526</v>
      </c>
      <c r="D718" s="118">
        <v>2.2999999999999998</v>
      </c>
      <c r="E718" s="110" t="s">
        <v>456</v>
      </c>
      <c r="F718" s="118" t="s">
        <v>972</v>
      </c>
      <c r="G718" s="110"/>
      <c r="H718" s="123">
        <f>중기기준!$G$35</f>
        <v>1114.9000000000001</v>
      </c>
      <c r="I718" s="110" t="s">
        <v>975</v>
      </c>
      <c r="J718" s="110"/>
      <c r="K718" s="110"/>
      <c r="L718" s="118" t="s">
        <v>1582</v>
      </c>
      <c r="M718" s="112">
        <f>TRUNC(D718*H718,2)</f>
        <v>2564.27</v>
      </c>
      <c r="N718" s="113" t="s">
        <v>975</v>
      </c>
    </row>
    <row r="719" spans="1:15" ht="16.149999999999999" customHeight="1">
      <c r="A719" s="130"/>
      <c r="B719" s="109" t="s">
        <v>1556</v>
      </c>
      <c r="C719" s="118" t="s">
        <v>1526</v>
      </c>
      <c r="D719" s="145">
        <v>0.13</v>
      </c>
      <c r="E719" s="110"/>
      <c r="F719" s="118" t="s">
        <v>972</v>
      </c>
      <c r="G719" s="110"/>
      <c r="H719" s="123">
        <f>$M$718</f>
        <v>2564.27</v>
      </c>
      <c r="I719" s="110" t="s">
        <v>975</v>
      </c>
      <c r="J719" s="110"/>
      <c r="K719" s="110"/>
      <c r="L719" s="118" t="s">
        <v>1582</v>
      </c>
      <c r="M719" s="112">
        <f>TRUNC((D719*H719),2)</f>
        <v>333.35</v>
      </c>
      <c r="N719" s="113" t="s">
        <v>975</v>
      </c>
    </row>
    <row r="720" spans="1:15" ht="16.149999999999999" customHeight="1">
      <c r="A720" s="130"/>
      <c r="B720" s="109"/>
      <c r="C720" s="110"/>
      <c r="D720" s="110"/>
      <c r="E720" s="110"/>
      <c r="F720" s="110"/>
      <c r="G720" s="110"/>
      <c r="H720" s="111"/>
      <c r="I720" s="110"/>
      <c r="J720" s="110"/>
      <c r="K720" s="118" t="s">
        <v>1164</v>
      </c>
      <c r="L720" s="118" t="s">
        <v>1582</v>
      </c>
      <c r="M720" s="112">
        <f>TRUNC(SUM(M718:M719))</f>
        <v>2897</v>
      </c>
      <c r="N720" s="113" t="s">
        <v>975</v>
      </c>
    </row>
    <row r="721" spans="1:16" ht="18.600000000000001" customHeight="1">
      <c r="A721" s="135"/>
      <c r="B721" s="136"/>
      <c r="C721" s="138"/>
      <c r="D721" s="138"/>
      <c r="E721" s="138"/>
      <c r="F721" s="138"/>
      <c r="G721" s="138"/>
      <c r="H721" s="139"/>
      <c r="I721" s="138"/>
      <c r="J721" s="138"/>
      <c r="K721" s="137"/>
      <c r="L721" s="137"/>
      <c r="M721" s="140"/>
      <c r="N721" s="141"/>
      <c r="O721" s="114" t="s">
        <v>3682</v>
      </c>
    </row>
    <row r="722" spans="1:16" s="152" customFormat="1" ht="16.149999999999999" customHeight="1">
      <c r="A722" s="146"/>
      <c r="B722" s="147"/>
      <c r="C722" s="148"/>
      <c r="D722" s="148"/>
      <c r="E722" s="148"/>
      <c r="F722" s="148"/>
      <c r="G722" s="148"/>
      <c r="H722" s="149"/>
      <c r="I722" s="148"/>
      <c r="J722" s="148"/>
      <c r="K722" s="148" t="s">
        <v>1118</v>
      </c>
      <c r="L722" s="148" t="s">
        <v>1582</v>
      </c>
      <c r="M722" s="150">
        <f>M708+M714+M720</f>
        <v>34127</v>
      </c>
      <c r="N722" s="151"/>
    </row>
    <row r="723" spans="1:16" s="152" customFormat="1" ht="16.149999999999999" customHeight="1">
      <c r="A723" s="169"/>
      <c r="B723" s="163"/>
      <c r="C723" s="169"/>
      <c r="D723" s="169"/>
      <c r="E723" s="169"/>
      <c r="F723" s="169"/>
      <c r="G723" s="169"/>
      <c r="H723" s="170"/>
      <c r="I723" s="169"/>
      <c r="J723" s="169"/>
      <c r="K723" s="169"/>
      <c r="L723" s="169"/>
      <c r="M723" s="166"/>
      <c r="N723" s="165"/>
      <c r="O723" s="114"/>
      <c r="P723" s="114"/>
    </row>
    <row r="724" spans="1:16" s="107" customFormat="1" ht="16.149999999999999" customHeight="1">
      <c r="A724" s="451">
        <f>A705+1</f>
        <v>39</v>
      </c>
      <c r="B724" s="99" t="s">
        <v>1100</v>
      </c>
      <c r="C724" s="100" t="s">
        <v>1526</v>
      </c>
      <c r="D724" s="101" t="s">
        <v>1803</v>
      </c>
      <c r="E724" s="102"/>
      <c r="F724" s="102"/>
      <c r="G724" s="100"/>
      <c r="H724" s="103" t="s">
        <v>1527</v>
      </c>
      <c r="I724" s="100" t="s">
        <v>1526</v>
      </c>
      <c r="J724" s="102" t="s">
        <v>2433</v>
      </c>
      <c r="K724" s="104" t="s">
        <v>847</v>
      </c>
      <c r="L724" s="100" t="s">
        <v>1526</v>
      </c>
      <c r="M724" s="105" t="s">
        <v>526</v>
      </c>
      <c r="N724" s="106"/>
    </row>
    <row r="725" spans="1:16" ht="16.149999999999999" customHeight="1">
      <c r="A725" s="108"/>
      <c r="B725" s="109" t="s">
        <v>588</v>
      </c>
      <c r="C725" s="110" t="s">
        <v>1582</v>
      </c>
      <c r="D725" s="110" t="s">
        <v>589</v>
      </c>
      <c r="E725" s="110" t="s">
        <v>86</v>
      </c>
      <c r="F725" s="110" t="s">
        <v>590</v>
      </c>
      <c r="G725" s="110" t="s">
        <v>86</v>
      </c>
      <c r="H725" s="111" t="s">
        <v>2973</v>
      </c>
      <c r="I725" s="110"/>
      <c r="J725" s="110"/>
      <c r="K725" s="110"/>
      <c r="L725" s="110"/>
      <c r="M725" s="112"/>
      <c r="N725" s="113"/>
    </row>
    <row r="726" spans="1:16" ht="16.149999999999999" customHeight="1">
      <c r="A726" s="108"/>
      <c r="B726" s="109"/>
      <c r="C726" s="110"/>
      <c r="D726" s="110"/>
      <c r="E726" s="110"/>
      <c r="F726" s="110"/>
      <c r="G726" s="110"/>
      <c r="H726" s="111"/>
      <c r="I726" s="110"/>
      <c r="J726" s="792"/>
      <c r="K726" s="792"/>
      <c r="L726" s="110"/>
      <c r="M726" s="112"/>
      <c r="N726" s="113"/>
    </row>
    <row r="727" spans="1:16" ht="16.149999999999999" customHeight="1">
      <c r="A727" s="115"/>
      <c r="F727" s="117"/>
      <c r="G727" s="118"/>
      <c r="H727" s="119">
        <f>기계경비산출표!$E$95*1000</f>
        <v>17242000</v>
      </c>
      <c r="I727" s="110" t="s">
        <v>972</v>
      </c>
      <c r="J727" s="120">
        <v>2757</v>
      </c>
      <c r="K727" s="118" t="s">
        <v>2974</v>
      </c>
      <c r="L727" s="121" t="s">
        <v>1582</v>
      </c>
      <c r="M727" s="112">
        <f>TRUNC(H727*J727*(10^-7))</f>
        <v>4753</v>
      </c>
      <c r="N727" s="113" t="s">
        <v>975</v>
      </c>
    </row>
    <row r="728" spans="1:16" ht="16.149999999999999" customHeight="1">
      <c r="A728" s="115"/>
      <c r="B728" s="122"/>
      <c r="C728" s="118"/>
      <c r="D728" s="33"/>
      <c r="E728" s="110"/>
      <c r="F728" s="118"/>
      <c r="G728" s="118"/>
      <c r="H728" s="123"/>
      <c r="I728" s="118"/>
      <c r="J728" s="110"/>
      <c r="K728" s="110"/>
      <c r="L728" s="110"/>
      <c r="M728" s="112"/>
      <c r="N728" s="113"/>
    </row>
    <row r="729" spans="1:16" ht="16.149999999999999" customHeight="1">
      <c r="A729" s="124"/>
      <c r="B729" s="125" t="s">
        <v>1115</v>
      </c>
      <c r="C729" s="126"/>
      <c r="D729" s="126"/>
      <c r="E729" s="126"/>
      <c r="F729" s="126"/>
      <c r="G729" s="126"/>
      <c r="H729" s="127"/>
      <c r="I729" s="126"/>
      <c r="J729" s="126"/>
      <c r="K729" s="126"/>
      <c r="L729" s="126"/>
      <c r="M729" s="128"/>
      <c r="N729" s="129"/>
    </row>
    <row r="730" spans="1:16" ht="16.149999999999999" customHeight="1">
      <c r="A730" s="130"/>
      <c r="B730" s="131" t="s">
        <v>3185</v>
      </c>
      <c r="C730" s="118"/>
      <c r="D730" s="33">
        <f>SUMIF('노임(2015)'!$B$4:$B$87,B730,'노임(2015)'!$C$4:$C$87)+SUMIF('노임(2015)'!$E$4:$E$87,B730,'노임(2015)'!$F$4:$F$87)</f>
        <v>130411</v>
      </c>
      <c r="E730" s="110" t="s">
        <v>972</v>
      </c>
      <c r="F730" s="110" t="s">
        <v>973</v>
      </c>
      <c r="G730" s="132" t="s">
        <v>974</v>
      </c>
      <c r="H730" s="111"/>
      <c r="I730" s="110"/>
      <c r="J730" s="110"/>
      <c r="K730" s="133">
        <v>1</v>
      </c>
      <c r="L730" s="118" t="s">
        <v>1582</v>
      </c>
      <c r="M730" s="112">
        <f>TRUNC(D730*(1/8)*(16/12)*(25/20)*K730)</f>
        <v>27168</v>
      </c>
      <c r="N730" s="113" t="s">
        <v>975</v>
      </c>
    </row>
    <row r="731" spans="1:16" ht="16.149999999999999" customHeight="1">
      <c r="A731" s="130"/>
      <c r="B731" s="109"/>
      <c r="C731" s="118"/>
      <c r="D731" s="33"/>
      <c r="E731" s="110"/>
      <c r="F731" s="110"/>
      <c r="G731" s="132"/>
      <c r="H731" s="111"/>
      <c r="I731" s="110"/>
      <c r="J731" s="110"/>
      <c r="K731" s="134"/>
      <c r="L731" s="118"/>
      <c r="M731" s="112"/>
      <c r="N731" s="113"/>
    </row>
    <row r="732" spans="1:16" ht="18.600000000000001" customHeight="1">
      <c r="A732" s="130"/>
      <c r="B732" s="109"/>
      <c r="C732" s="118"/>
      <c r="D732" s="33"/>
      <c r="E732" s="110"/>
      <c r="F732" s="110"/>
      <c r="G732" s="132"/>
      <c r="H732" s="111"/>
      <c r="I732" s="110"/>
      <c r="J732" s="110"/>
      <c r="K732" s="134"/>
      <c r="L732" s="118"/>
      <c r="M732" s="112"/>
      <c r="N732" s="113"/>
      <c r="O732" s="114" t="s">
        <v>3682</v>
      </c>
    </row>
    <row r="733" spans="1:16" ht="16.149999999999999" customHeight="1">
      <c r="A733" s="130"/>
      <c r="B733" s="109"/>
      <c r="C733" s="118"/>
      <c r="D733" s="110"/>
      <c r="E733" s="110"/>
      <c r="F733" s="110"/>
      <c r="G733" s="110"/>
      <c r="H733" s="111"/>
      <c r="I733" s="791"/>
      <c r="J733" s="791"/>
      <c r="K733" s="118" t="s">
        <v>1164</v>
      </c>
      <c r="L733" s="118" t="s">
        <v>1582</v>
      </c>
      <c r="M733" s="112">
        <f>(M730+M731+M732)</f>
        <v>27168</v>
      </c>
      <c r="N733" s="113" t="s">
        <v>975</v>
      </c>
      <c r="O733" s="114" t="s">
        <v>1115</v>
      </c>
    </row>
    <row r="734" spans="1:16" ht="18.600000000000001" customHeight="1">
      <c r="A734" s="130"/>
      <c r="B734" s="109"/>
      <c r="C734" s="118"/>
      <c r="D734" s="110"/>
      <c r="E734" s="110"/>
      <c r="F734" s="110"/>
      <c r="G734" s="110"/>
      <c r="H734" s="111"/>
      <c r="I734" s="118"/>
      <c r="J734" s="118"/>
      <c r="K734" s="118"/>
      <c r="L734" s="118"/>
      <c r="M734" s="112"/>
      <c r="N734" s="113"/>
      <c r="O734" s="114" t="s">
        <v>3682</v>
      </c>
    </row>
    <row r="735" spans="1:16" ht="18.600000000000001" customHeight="1">
      <c r="A735" s="135"/>
      <c r="B735" s="136"/>
      <c r="C735" s="137"/>
      <c r="D735" s="138"/>
      <c r="E735" s="138"/>
      <c r="F735" s="138"/>
      <c r="G735" s="138"/>
      <c r="H735" s="139"/>
      <c r="I735" s="137"/>
      <c r="J735" s="137"/>
      <c r="K735" s="137"/>
      <c r="L735" s="137"/>
      <c r="M735" s="140"/>
      <c r="N735" s="141"/>
      <c r="O735" s="114" t="s">
        <v>3682</v>
      </c>
    </row>
    <row r="736" spans="1:16" ht="16.149999999999999" customHeight="1">
      <c r="A736" s="124"/>
      <c r="B736" s="125" t="s">
        <v>1116</v>
      </c>
      <c r="C736" s="142"/>
      <c r="D736" s="126"/>
      <c r="E736" s="126"/>
      <c r="F736" s="126"/>
      <c r="G736" s="126"/>
      <c r="H736" s="127"/>
      <c r="I736" s="126"/>
      <c r="J736" s="126"/>
      <c r="K736" s="126"/>
      <c r="L736" s="126"/>
      <c r="M736" s="128"/>
      <c r="N736" s="129"/>
    </row>
    <row r="737" spans="1:16" ht="16.149999999999999" customHeight="1">
      <c r="A737" s="130"/>
      <c r="B737" s="131" t="s">
        <v>2461</v>
      </c>
      <c r="C737" s="118" t="s">
        <v>1526</v>
      </c>
      <c r="D737" s="118">
        <v>3.2</v>
      </c>
      <c r="E737" s="110" t="s">
        <v>456</v>
      </c>
      <c r="F737" s="118" t="s">
        <v>972</v>
      </c>
      <c r="G737" s="110"/>
      <c r="H737" s="123">
        <f>중기기준!$G$35</f>
        <v>1114.9000000000001</v>
      </c>
      <c r="I737" s="110" t="s">
        <v>975</v>
      </c>
      <c r="J737" s="110"/>
      <c r="K737" s="110"/>
      <c r="L737" s="118" t="s">
        <v>1582</v>
      </c>
      <c r="M737" s="112">
        <f>TRUNC(D737*H737,2)</f>
        <v>3567.68</v>
      </c>
      <c r="N737" s="113" t="s">
        <v>975</v>
      </c>
    </row>
    <row r="738" spans="1:16" ht="16.149999999999999" customHeight="1">
      <c r="A738" s="130"/>
      <c r="B738" s="109" t="s">
        <v>1556</v>
      </c>
      <c r="C738" s="118" t="s">
        <v>1526</v>
      </c>
      <c r="D738" s="145">
        <v>0.13</v>
      </c>
      <c r="E738" s="110"/>
      <c r="F738" s="118" t="s">
        <v>972</v>
      </c>
      <c r="G738" s="110"/>
      <c r="H738" s="123">
        <f>$M$737</f>
        <v>3567.68</v>
      </c>
      <c r="I738" s="110" t="s">
        <v>975</v>
      </c>
      <c r="J738" s="110"/>
      <c r="K738" s="110"/>
      <c r="L738" s="118" t="s">
        <v>1582</v>
      </c>
      <c r="M738" s="112">
        <f>TRUNC((D738*H738),2)</f>
        <v>463.79</v>
      </c>
      <c r="N738" s="113" t="s">
        <v>975</v>
      </c>
    </row>
    <row r="739" spans="1:16" ht="16.149999999999999" customHeight="1">
      <c r="A739" s="130"/>
      <c r="B739" s="109"/>
      <c r="C739" s="110"/>
      <c r="D739" s="110"/>
      <c r="E739" s="110"/>
      <c r="F739" s="110"/>
      <c r="G739" s="110"/>
      <c r="H739" s="111"/>
      <c r="I739" s="110"/>
      <c r="J739" s="110"/>
      <c r="K739" s="118" t="s">
        <v>1164</v>
      </c>
      <c r="L739" s="118" t="s">
        <v>1582</v>
      </c>
      <c r="M739" s="112">
        <f>TRUNC(SUM(M737:M738))</f>
        <v>4031</v>
      </c>
      <c r="N739" s="113" t="s">
        <v>975</v>
      </c>
    </row>
    <row r="740" spans="1:16" ht="18.600000000000001" customHeight="1">
      <c r="A740" s="135"/>
      <c r="B740" s="136"/>
      <c r="C740" s="138"/>
      <c r="D740" s="138"/>
      <c r="E740" s="138"/>
      <c r="F740" s="138"/>
      <c r="G740" s="138"/>
      <c r="H740" s="139"/>
      <c r="I740" s="138"/>
      <c r="J740" s="138"/>
      <c r="K740" s="137"/>
      <c r="L740" s="137"/>
      <c r="M740" s="140"/>
      <c r="N740" s="141"/>
      <c r="O740" s="114" t="s">
        <v>3682</v>
      </c>
    </row>
    <row r="741" spans="1:16" s="152" customFormat="1" ht="16.149999999999999" customHeight="1">
      <c r="A741" s="146"/>
      <c r="B741" s="147"/>
      <c r="C741" s="148"/>
      <c r="D741" s="148"/>
      <c r="E741" s="148"/>
      <c r="F741" s="148"/>
      <c r="G741" s="148"/>
      <c r="H741" s="149"/>
      <c r="I741" s="148"/>
      <c r="J741" s="148"/>
      <c r="K741" s="148" t="s">
        <v>1118</v>
      </c>
      <c r="L741" s="148" t="s">
        <v>1582</v>
      </c>
      <c r="M741" s="150">
        <f>M727+M733+M739</f>
        <v>35952</v>
      </c>
      <c r="N741" s="151"/>
    </row>
    <row r="742" spans="1:16" s="152" customFormat="1" ht="16.149999999999999" customHeight="1">
      <c r="A742" s="548"/>
      <c r="B742" s="549"/>
      <c r="C742" s="548"/>
      <c r="D742" s="548"/>
      <c r="E742" s="548"/>
      <c r="F742" s="548"/>
      <c r="G742" s="548"/>
      <c r="H742" s="550"/>
      <c r="I742" s="548"/>
      <c r="J742" s="548"/>
      <c r="K742" s="548"/>
      <c r="L742" s="548"/>
      <c r="M742" s="551"/>
      <c r="N742" s="552"/>
      <c r="O742" s="114"/>
    </row>
    <row r="743" spans="1:16" s="107" customFormat="1" ht="16.149999999999999" customHeight="1">
      <c r="A743" s="451">
        <f>A724+1</f>
        <v>40</v>
      </c>
      <c r="B743" s="99" t="s">
        <v>1100</v>
      </c>
      <c r="C743" s="100" t="s">
        <v>1526</v>
      </c>
      <c r="D743" s="101" t="s">
        <v>1803</v>
      </c>
      <c r="E743" s="102"/>
      <c r="F743" s="102"/>
      <c r="G743" s="100"/>
      <c r="H743" s="103" t="s">
        <v>1527</v>
      </c>
      <c r="I743" s="100" t="s">
        <v>1526</v>
      </c>
      <c r="J743" s="102" t="s">
        <v>2434</v>
      </c>
      <c r="K743" s="104" t="s">
        <v>847</v>
      </c>
      <c r="L743" s="100" t="s">
        <v>1526</v>
      </c>
      <c r="M743" s="105" t="s">
        <v>527</v>
      </c>
      <c r="N743" s="106"/>
      <c r="P743" s="114"/>
    </row>
    <row r="744" spans="1:16" ht="16.149999999999999" customHeight="1">
      <c r="A744" s="108"/>
      <c r="B744" s="109" t="s">
        <v>588</v>
      </c>
      <c r="C744" s="110" t="s">
        <v>1582</v>
      </c>
      <c r="D744" s="110" t="s">
        <v>589</v>
      </c>
      <c r="E744" s="110" t="s">
        <v>86</v>
      </c>
      <c r="F744" s="110" t="s">
        <v>590</v>
      </c>
      <c r="G744" s="110" t="s">
        <v>86</v>
      </c>
      <c r="H744" s="111" t="s">
        <v>2973</v>
      </c>
      <c r="I744" s="110"/>
      <c r="J744" s="110"/>
      <c r="K744" s="110"/>
      <c r="L744" s="110"/>
      <c r="M744" s="112"/>
      <c r="N744" s="113"/>
    </row>
    <row r="745" spans="1:16" ht="16.149999999999999" customHeight="1">
      <c r="A745" s="108"/>
      <c r="B745" s="109"/>
      <c r="C745" s="110"/>
      <c r="D745" s="110"/>
      <c r="E745" s="110"/>
      <c r="F745" s="110"/>
      <c r="G745" s="110"/>
      <c r="H745" s="111"/>
      <c r="I745" s="110"/>
      <c r="J745" s="792"/>
      <c r="K745" s="792"/>
      <c r="L745" s="110"/>
      <c r="M745" s="112"/>
      <c r="N745" s="113"/>
    </row>
    <row r="746" spans="1:16" ht="16.149999999999999" customHeight="1">
      <c r="A746" s="115"/>
      <c r="F746" s="117"/>
      <c r="G746" s="118"/>
      <c r="H746" s="119">
        <f>기계경비산출표!$E$97*1000</f>
        <v>82836000</v>
      </c>
      <c r="I746" s="110" t="s">
        <v>972</v>
      </c>
      <c r="J746" s="120">
        <v>2757</v>
      </c>
      <c r="K746" s="118" t="s">
        <v>2974</v>
      </c>
      <c r="L746" s="121" t="s">
        <v>1582</v>
      </c>
      <c r="M746" s="112">
        <f>TRUNC(H746*J746*(10^-7))</f>
        <v>22837</v>
      </c>
      <c r="N746" s="113" t="s">
        <v>975</v>
      </c>
    </row>
    <row r="747" spans="1:16" ht="16.149999999999999" customHeight="1">
      <c r="A747" s="115"/>
      <c r="B747" s="122"/>
      <c r="C747" s="118"/>
      <c r="D747" s="33"/>
      <c r="E747" s="110"/>
      <c r="F747" s="118"/>
      <c r="G747" s="118"/>
      <c r="H747" s="123"/>
      <c r="I747" s="118"/>
      <c r="J747" s="110"/>
      <c r="K747" s="110"/>
      <c r="L747" s="110"/>
      <c r="M747" s="112"/>
      <c r="N747" s="113"/>
    </row>
    <row r="748" spans="1:16" ht="16.149999999999999" customHeight="1">
      <c r="A748" s="124"/>
      <c r="B748" s="125" t="s">
        <v>1115</v>
      </c>
      <c r="C748" s="126"/>
      <c r="D748" s="269">
        <f>SUMIF('노임(2015)'!$B$4:$B$87,B748,'노임(2015)'!$C$4:$C$87)+SUMIF('노임(2015)'!$E$4:$E$87,B748,'노임(2015)'!$F$4:$F$87)</f>
        <v>0</v>
      </c>
      <c r="E748" s="126"/>
      <c r="F748" s="126"/>
      <c r="G748" s="126"/>
      <c r="H748" s="127"/>
      <c r="I748" s="126"/>
      <c r="J748" s="126"/>
      <c r="K748" s="126"/>
      <c r="L748" s="126"/>
      <c r="M748" s="128"/>
      <c r="N748" s="129"/>
    </row>
    <row r="749" spans="1:16" ht="16.149999999999999" customHeight="1">
      <c r="A749" s="130"/>
      <c r="B749" s="131" t="s">
        <v>3185</v>
      </c>
      <c r="C749" s="118"/>
      <c r="D749" s="33">
        <f>SUMIF('노임(2015)'!$B$4:$B$87,B749,'노임(2015)'!$C$4:$C$87)+SUMIF('노임(2015)'!$E$4:$E$87,B749,'노임(2015)'!$F$4:$F$87)</f>
        <v>130411</v>
      </c>
      <c r="E749" s="110" t="s">
        <v>972</v>
      </c>
      <c r="F749" s="110" t="s">
        <v>973</v>
      </c>
      <c r="G749" s="132" t="s">
        <v>974</v>
      </c>
      <c r="H749" s="111"/>
      <c r="I749" s="110"/>
      <c r="J749" s="110"/>
      <c r="K749" s="133">
        <v>1</v>
      </c>
      <c r="L749" s="118" t="s">
        <v>1582</v>
      </c>
      <c r="M749" s="112">
        <f>TRUNC(D749*(1/8)*(16/12)*(25/20)*K749)</f>
        <v>27168</v>
      </c>
      <c r="N749" s="113" t="s">
        <v>975</v>
      </c>
    </row>
    <row r="750" spans="1:16" ht="16.149999999999999" customHeight="1">
      <c r="A750" s="130"/>
      <c r="B750" s="109"/>
      <c r="C750" s="118"/>
      <c r="D750" s="33"/>
      <c r="E750" s="110"/>
      <c r="F750" s="110"/>
      <c r="G750" s="132"/>
      <c r="H750" s="111"/>
      <c r="I750" s="110"/>
      <c r="J750" s="110"/>
      <c r="K750" s="134"/>
      <c r="L750" s="118"/>
      <c r="M750" s="112"/>
      <c r="N750" s="113"/>
    </row>
    <row r="751" spans="1:16" ht="18.600000000000001" customHeight="1">
      <c r="A751" s="130"/>
      <c r="B751" s="109"/>
      <c r="C751" s="118"/>
      <c r="D751" s="33"/>
      <c r="E751" s="110"/>
      <c r="F751" s="110"/>
      <c r="G751" s="132"/>
      <c r="H751" s="111"/>
      <c r="I751" s="110"/>
      <c r="J751" s="110"/>
      <c r="K751" s="134"/>
      <c r="L751" s="118"/>
      <c r="M751" s="112"/>
      <c r="N751" s="113"/>
      <c r="O751" s="114" t="s">
        <v>3682</v>
      </c>
    </row>
    <row r="752" spans="1:16" ht="16.149999999999999" customHeight="1">
      <c r="A752" s="130"/>
      <c r="B752" s="109"/>
      <c r="C752" s="118"/>
      <c r="D752" s="110"/>
      <c r="E752" s="110"/>
      <c r="F752" s="110"/>
      <c r="G752" s="110"/>
      <c r="H752" s="111"/>
      <c r="I752" s="791"/>
      <c r="J752" s="791"/>
      <c r="K752" s="118" t="s">
        <v>1164</v>
      </c>
      <c r="L752" s="118" t="s">
        <v>1582</v>
      </c>
      <c r="M752" s="112">
        <f>(M749+M750+M751)</f>
        <v>27168</v>
      </c>
      <c r="N752" s="113" t="s">
        <v>975</v>
      </c>
      <c r="O752" s="114" t="s">
        <v>1115</v>
      </c>
    </row>
    <row r="753" spans="1:16" ht="18.600000000000001" customHeight="1">
      <c r="A753" s="130"/>
      <c r="B753" s="109"/>
      <c r="C753" s="118"/>
      <c r="D753" s="110"/>
      <c r="E753" s="110"/>
      <c r="F753" s="110"/>
      <c r="G753" s="110"/>
      <c r="H753" s="111"/>
      <c r="I753" s="118"/>
      <c r="J753" s="118"/>
      <c r="K753" s="118"/>
      <c r="L753" s="118"/>
      <c r="M753" s="112"/>
      <c r="N753" s="113"/>
      <c r="O753" s="114" t="s">
        <v>3682</v>
      </c>
    </row>
    <row r="754" spans="1:16" ht="18.600000000000001" customHeight="1">
      <c r="A754" s="135"/>
      <c r="B754" s="136"/>
      <c r="C754" s="137"/>
      <c r="D754" s="138"/>
      <c r="E754" s="138"/>
      <c r="F754" s="138"/>
      <c r="G754" s="138"/>
      <c r="H754" s="139"/>
      <c r="I754" s="137"/>
      <c r="J754" s="137"/>
      <c r="K754" s="137"/>
      <c r="L754" s="137"/>
      <c r="M754" s="140"/>
      <c r="N754" s="141"/>
      <c r="O754" s="114" t="s">
        <v>3682</v>
      </c>
    </row>
    <row r="755" spans="1:16" ht="16.149999999999999" customHeight="1">
      <c r="A755" s="124"/>
      <c r="B755" s="125" t="s">
        <v>1116</v>
      </c>
      <c r="C755" s="142"/>
      <c r="D755" s="126"/>
      <c r="E755" s="126"/>
      <c r="F755" s="126"/>
      <c r="G755" s="126"/>
      <c r="H755" s="127"/>
      <c r="I755" s="126"/>
      <c r="J755" s="126"/>
      <c r="K755" s="126"/>
      <c r="L755" s="126"/>
      <c r="M755" s="128"/>
      <c r="N755" s="129"/>
    </row>
    <row r="756" spans="1:16" ht="16.149999999999999" customHeight="1">
      <c r="A756" s="130"/>
      <c r="B756" s="131" t="s">
        <v>2461</v>
      </c>
      <c r="C756" s="118" t="s">
        <v>1526</v>
      </c>
      <c r="D756" s="118">
        <v>14.4</v>
      </c>
      <c r="E756" s="110" t="s">
        <v>456</v>
      </c>
      <c r="F756" s="118" t="s">
        <v>972</v>
      </c>
      <c r="G756" s="110"/>
      <c r="H756" s="123">
        <f>중기기준!$G$35</f>
        <v>1114.9000000000001</v>
      </c>
      <c r="I756" s="110" t="s">
        <v>975</v>
      </c>
      <c r="J756" s="110"/>
      <c r="K756" s="110"/>
      <c r="L756" s="118" t="s">
        <v>1582</v>
      </c>
      <c r="M756" s="112">
        <f>TRUNC(D756*H756,2)</f>
        <v>16054.56</v>
      </c>
      <c r="N756" s="113" t="s">
        <v>975</v>
      </c>
    </row>
    <row r="757" spans="1:16" ht="16.149999999999999" customHeight="1">
      <c r="A757" s="130"/>
      <c r="B757" s="109" t="s">
        <v>1556</v>
      </c>
      <c r="C757" s="118" t="s">
        <v>1526</v>
      </c>
      <c r="D757" s="145">
        <v>0.3</v>
      </c>
      <c r="E757" s="110"/>
      <c r="F757" s="118" t="s">
        <v>972</v>
      </c>
      <c r="G757" s="110"/>
      <c r="H757" s="123">
        <f>M756</f>
        <v>16054.56</v>
      </c>
      <c r="I757" s="110" t="s">
        <v>975</v>
      </c>
      <c r="J757" s="110"/>
      <c r="K757" s="110"/>
      <c r="L757" s="118" t="s">
        <v>1582</v>
      </c>
      <c r="M757" s="112">
        <f>TRUNC((D757*H757),2)</f>
        <v>4816.3599999999997</v>
      </c>
      <c r="N757" s="113" t="s">
        <v>975</v>
      </c>
    </row>
    <row r="758" spans="1:16" ht="16.149999999999999" customHeight="1">
      <c r="A758" s="130"/>
      <c r="B758" s="109"/>
      <c r="C758" s="110"/>
      <c r="D758" s="110"/>
      <c r="E758" s="110"/>
      <c r="F758" s="110"/>
      <c r="G758" s="110"/>
      <c r="H758" s="111"/>
      <c r="I758" s="110"/>
      <c r="J758" s="110"/>
      <c r="K758" s="118" t="s">
        <v>1164</v>
      </c>
      <c r="L758" s="118" t="s">
        <v>1582</v>
      </c>
      <c r="M758" s="112">
        <f>TRUNC(SUM(M756:M757))</f>
        <v>20870</v>
      </c>
      <c r="N758" s="113" t="s">
        <v>975</v>
      </c>
    </row>
    <row r="759" spans="1:16" ht="18.600000000000001" customHeight="1">
      <c r="A759" s="135"/>
      <c r="B759" s="136"/>
      <c r="C759" s="138"/>
      <c r="D759" s="138"/>
      <c r="E759" s="138"/>
      <c r="F759" s="138"/>
      <c r="G759" s="138"/>
      <c r="H759" s="139"/>
      <c r="I759" s="138"/>
      <c r="J759" s="138"/>
      <c r="K759" s="137"/>
      <c r="L759" s="137"/>
      <c r="M759" s="140"/>
      <c r="N759" s="141"/>
      <c r="O759" s="114" t="s">
        <v>3682</v>
      </c>
      <c r="P759" s="152"/>
    </row>
    <row r="760" spans="1:16" s="152" customFormat="1" ht="16.149999999999999" customHeight="1">
      <c r="A760" s="146"/>
      <c r="B760" s="147"/>
      <c r="C760" s="148"/>
      <c r="D760" s="148"/>
      <c r="E760" s="148"/>
      <c r="F760" s="148"/>
      <c r="G760" s="148"/>
      <c r="H760" s="149"/>
      <c r="I760" s="148"/>
      <c r="J760" s="148"/>
      <c r="K760" s="148" t="s">
        <v>1118</v>
      </c>
      <c r="L760" s="148" t="s">
        <v>1582</v>
      </c>
      <c r="M760" s="150">
        <f>M746+M752+M758</f>
        <v>70875</v>
      </c>
      <c r="N760" s="151"/>
      <c r="P760" s="114"/>
    </row>
    <row r="761" spans="1:16" s="152" customFormat="1" ht="16.149999999999999" customHeight="1">
      <c r="A761" s="169"/>
      <c r="B761" s="163"/>
      <c r="C761" s="169"/>
      <c r="D761" s="169"/>
      <c r="E761" s="169"/>
      <c r="F761" s="169"/>
      <c r="G761" s="169"/>
      <c r="H761" s="170"/>
      <c r="I761" s="169"/>
      <c r="J761" s="169"/>
      <c r="K761" s="169"/>
      <c r="L761" s="169"/>
      <c r="M761" s="166"/>
      <c r="N761" s="165"/>
      <c r="O761" s="114"/>
      <c r="P761" s="114"/>
    </row>
    <row r="762" spans="1:16" s="107" customFormat="1" ht="16.149999999999999" customHeight="1">
      <c r="A762" s="451">
        <f>A743+1</f>
        <v>41</v>
      </c>
      <c r="B762" s="99" t="s">
        <v>1100</v>
      </c>
      <c r="C762" s="100" t="s">
        <v>1526</v>
      </c>
      <c r="D762" s="101" t="s">
        <v>1120</v>
      </c>
      <c r="E762" s="102"/>
      <c r="F762" s="102"/>
      <c r="G762" s="100"/>
      <c r="H762" s="103" t="s">
        <v>1527</v>
      </c>
      <c r="I762" s="100" t="s">
        <v>1526</v>
      </c>
      <c r="J762" s="167" t="s">
        <v>2435</v>
      </c>
      <c r="K762" s="104" t="s">
        <v>847</v>
      </c>
      <c r="L762" s="100" t="s">
        <v>1526</v>
      </c>
      <c r="M762" s="105" t="s">
        <v>1121</v>
      </c>
      <c r="N762" s="106"/>
    </row>
    <row r="763" spans="1:16" ht="16.149999999999999" customHeight="1">
      <c r="A763" s="108"/>
      <c r="B763" s="109" t="s">
        <v>588</v>
      </c>
      <c r="C763" s="110" t="s">
        <v>1582</v>
      </c>
      <c r="D763" s="110" t="s">
        <v>589</v>
      </c>
      <c r="E763" s="110" t="s">
        <v>86</v>
      </c>
      <c r="F763" s="110" t="s">
        <v>590</v>
      </c>
      <c r="G763" s="110" t="s">
        <v>86</v>
      </c>
      <c r="H763" s="111" t="s">
        <v>2973</v>
      </c>
      <c r="I763" s="110"/>
      <c r="J763" s="110"/>
      <c r="K763" s="110"/>
      <c r="L763" s="110"/>
      <c r="M763" s="112"/>
      <c r="N763" s="113"/>
    </row>
    <row r="764" spans="1:16" ht="16.149999999999999" customHeight="1">
      <c r="A764" s="108"/>
      <c r="B764" s="109"/>
      <c r="C764" s="110"/>
      <c r="D764" s="110"/>
      <c r="E764" s="110"/>
      <c r="F764" s="110"/>
      <c r="G764" s="110"/>
      <c r="H764" s="111"/>
      <c r="I764" s="110"/>
      <c r="J764" s="792"/>
      <c r="K764" s="792"/>
      <c r="L764" s="110"/>
      <c r="M764" s="112"/>
      <c r="N764" s="113"/>
    </row>
    <row r="765" spans="1:16" ht="16.149999999999999" customHeight="1">
      <c r="A765" s="115"/>
      <c r="F765" s="117"/>
      <c r="G765" s="118"/>
      <c r="H765" s="119">
        <f>기계경비산출표!$E$109*1000</f>
        <v>81180000</v>
      </c>
      <c r="I765" s="110" t="s">
        <v>972</v>
      </c>
      <c r="J765" s="120">
        <v>1889</v>
      </c>
      <c r="K765" s="118" t="s">
        <v>2974</v>
      </c>
      <c r="L765" s="121" t="s">
        <v>1582</v>
      </c>
      <c r="M765" s="112">
        <f>TRUNC(H765*J765*(10^-7))</f>
        <v>15334</v>
      </c>
      <c r="N765" s="113" t="s">
        <v>975</v>
      </c>
    </row>
    <row r="766" spans="1:16" ht="16.149999999999999" customHeight="1">
      <c r="A766" s="115"/>
      <c r="B766" s="122"/>
      <c r="C766" s="118"/>
      <c r="D766" s="33"/>
      <c r="E766" s="110"/>
      <c r="F766" s="118"/>
      <c r="G766" s="118"/>
      <c r="H766" s="123"/>
      <c r="I766" s="118"/>
      <c r="J766" s="110"/>
      <c r="K766" s="110"/>
      <c r="L766" s="110"/>
      <c r="M766" s="112"/>
      <c r="N766" s="113"/>
    </row>
    <row r="767" spans="1:16" ht="16.149999999999999" customHeight="1">
      <c r="A767" s="124"/>
      <c r="B767" s="125" t="s">
        <v>1115</v>
      </c>
      <c r="C767" s="126"/>
      <c r="D767" s="126"/>
      <c r="E767" s="126"/>
      <c r="F767" s="126"/>
      <c r="G767" s="126"/>
      <c r="H767" s="127"/>
      <c r="I767" s="126"/>
      <c r="J767" s="126"/>
      <c r="K767" s="126"/>
      <c r="L767" s="126"/>
      <c r="M767" s="128"/>
      <c r="N767" s="129"/>
    </row>
    <row r="768" spans="1:16" ht="16.149999999999999" customHeight="1">
      <c r="A768" s="130"/>
      <c r="B768" s="131" t="s">
        <v>3185</v>
      </c>
      <c r="C768" s="118"/>
      <c r="D768" s="33">
        <f>SUMIF('노임(2015)'!$B$4:$B$87,B768,'노임(2015)'!$C$4:$C$87)+SUMIF('노임(2015)'!$E$4:$E$87,B768,'노임(2015)'!$F$4:$F$87)</f>
        <v>130411</v>
      </c>
      <c r="E768" s="110" t="s">
        <v>972</v>
      </c>
      <c r="F768" s="110" t="s">
        <v>973</v>
      </c>
      <c r="G768" s="132" t="s">
        <v>974</v>
      </c>
      <c r="H768" s="111"/>
      <c r="I768" s="110"/>
      <c r="J768" s="110"/>
      <c r="K768" s="133">
        <v>1</v>
      </c>
      <c r="L768" s="118" t="s">
        <v>1582</v>
      </c>
      <c r="M768" s="112">
        <f>TRUNC(D768*(1/8)*(16/12)*(25/20)*K768)</f>
        <v>27168</v>
      </c>
      <c r="N768" s="113" t="s">
        <v>975</v>
      </c>
    </row>
    <row r="769" spans="1:16" ht="16.149999999999999" customHeight="1">
      <c r="A769" s="130"/>
      <c r="B769" s="109"/>
      <c r="C769" s="118"/>
      <c r="D769" s="33"/>
      <c r="E769" s="110"/>
      <c r="F769" s="110"/>
      <c r="G769" s="132"/>
      <c r="H769" s="111"/>
      <c r="I769" s="110"/>
      <c r="J769" s="110"/>
      <c r="K769" s="134"/>
      <c r="L769" s="118"/>
      <c r="M769" s="112"/>
      <c r="N769" s="113"/>
    </row>
    <row r="770" spans="1:16" ht="18.600000000000001" customHeight="1">
      <c r="A770" s="130"/>
      <c r="B770" s="109"/>
      <c r="C770" s="118"/>
      <c r="D770" s="33"/>
      <c r="E770" s="110"/>
      <c r="F770" s="110"/>
      <c r="G770" s="132"/>
      <c r="H770" s="111"/>
      <c r="I770" s="110"/>
      <c r="J770" s="110"/>
      <c r="K770" s="134"/>
      <c r="L770" s="118"/>
      <c r="M770" s="112"/>
      <c r="N770" s="113"/>
      <c r="O770" s="114" t="s">
        <v>3682</v>
      </c>
    </row>
    <row r="771" spans="1:16" ht="16.149999999999999" customHeight="1">
      <c r="A771" s="130"/>
      <c r="B771" s="109"/>
      <c r="C771" s="118"/>
      <c r="D771" s="110"/>
      <c r="E771" s="110"/>
      <c r="F771" s="110"/>
      <c r="G771" s="110"/>
      <c r="H771" s="111"/>
      <c r="I771" s="791"/>
      <c r="J771" s="791"/>
      <c r="K771" s="118" t="s">
        <v>1164</v>
      </c>
      <c r="L771" s="118" t="s">
        <v>1582</v>
      </c>
      <c r="M771" s="112">
        <f>(M768+M769+M770)</f>
        <v>27168</v>
      </c>
      <c r="N771" s="113" t="s">
        <v>975</v>
      </c>
      <c r="O771" s="114" t="s">
        <v>1115</v>
      </c>
    </row>
    <row r="772" spans="1:16" ht="18.600000000000001" customHeight="1">
      <c r="A772" s="130"/>
      <c r="B772" s="109"/>
      <c r="C772" s="118"/>
      <c r="D772" s="110"/>
      <c r="E772" s="110"/>
      <c r="F772" s="110"/>
      <c r="G772" s="110"/>
      <c r="H772" s="111"/>
      <c r="I772" s="118"/>
      <c r="J772" s="118"/>
      <c r="K772" s="118"/>
      <c r="L772" s="118"/>
      <c r="M772" s="112"/>
      <c r="N772" s="113"/>
      <c r="O772" s="114" t="s">
        <v>3682</v>
      </c>
    </row>
    <row r="773" spans="1:16" ht="18.600000000000001" customHeight="1">
      <c r="A773" s="135"/>
      <c r="B773" s="136"/>
      <c r="C773" s="137"/>
      <c r="D773" s="138"/>
      <c r="E773" s="138"/>
      <c r="F773" s="138"/>
      <c r="G773" s="138"/>
      <c r="H773" s="139"/>
      <c r="I773" s="137"/>
      <c r="J773" s="137"/>
      <c r="K773" s="137"/>
      <c r="L773" s="137"/>
      <c r="M773" s="140"/>
      <c r="N773" s="141"/>
      <c r="O773" s="114" t="s">
        <v>3682</v>
      </c>
    </row>
    <row r="774" spans="1:16" ht="16.149999999999999" customHeight="1">
      <c r="A774" s="124"/>
      <c r="B774" s="125" t="s">
        <v>1116</v>
      </c>
      <c r="C774" s="142"/>
      <c r="D774" s="126"/>
      <c r="E774" s="126"/>
      <c r="F774" s="126"/>
      <c r="G774" s="126"/>
      <c r="H774" s="127"/>
      <c r="I774" s="126"/>
      <c r="J774" s="126"/>
      <c r="K774" s="126"/>
      <c r="L774" s="126"/>
      <c r="M774" s="128"/>
      <c r="N774" s="129"/>
    </row>
    <row r="775" spans="1:16" ht="16.149999999999999" customHeight="1">
      <c r="A775" s="130"/>
      <c r="B775" s="131" t="s">
        <v>2461</v>
      </c>
      <c r="C775" s="118" t="s">
        <v>1526</v>
      </c>
      <c r="D775" s="118">
        <v>8</v>
      </c>
      <c r="E775" s="110" t="s">
        <v>456</v>
      </c>
      <c r="F775" s="118" t="s">
        <v>972</v>
      </c>
      <c r="G775" s="110"/>
      <c r="H775" s="123">
        <f>중기기준!$G$35</f>
        <v>1114.9000000000001</v>
      </c>
      <c r="I775" s="110" t="s">
        <v>975</v>
      </c>
      <c r="J775" s="110"/>
      <c r="K775" s="110"/>
      <c r="L775" s="118" t="s">
        <v>1582</v>
      </c>
      <c r="M775" s="112">
        <f>TRUNC(D775*H775,2)</f>
        <v>8919.2000000000007</v>
      </c>
      <c r="N775" s="113" t="s">
        <v>975</v>
      </c>
    </row>
    <row r="776" spans="1:16" ht="16.149999999999999" customHeight="1">
      <c r="A776" s="130"/>
      <c r="B776" s="109" t="s">
        <v>1556</v>
      </c>
      <c r="C776" s="118" t="s">
        <v>1526</v>
      </c>
      <c r="D776" s="145">
        <v>0.23</v>
      </c>
      <c r="E776" s="110"/>
      <c r="F776" s="118" t="s">
        <v>972</v>
      </c>
      <c r="G776" s="110"/>
      <c r="H776" s="123">
        <f>M775</f>
        <v>8919.2000000000007</v>
      </c>
      <c r="I776" s="110" t="s">
        <v>975</v>
      </c>
      <c r="J776" s="110"/>
      <c r="K776" s="110"/>
      <c r="L776" s="118" t="s">
        <v>1582</v>
      </c>
      <c r="M776" s="112">
        <f>TRUNC((D776*H776),2)</f>
        <v>2051.41</v>
      </c>
      <c r="N776" s="113" t="s">
        <v>975</v>
      </c>
    </row>
    <row r="777" spans="1:16" ht="16.149999999999999" customHeight="1">
      <c r="A777" s="130"/>
      <c r="B777" s="109"/>
      <c r="C777" s="110"/>
      <c r="D777" s="110"/>
      <c r="E777" s="110"/>
      <c r="F777" s="110"/>
      <c r="G777" s="110"/>
      <c r="H777" s="111"/>
      <c r="I777" s="110"/>
      <c r="J777" s="110"/>
      <c r="K777" s="118" t="s">
        <v>1164</v>
      </c>
      <c r="L777" s="118" t="s">
        <v>1582</v>
      </c>
      <c r="M777" s="112">
        <f>TRUNC(SUM(M775:M776))</f>
        <v>10970</v>
      </c>
      <c r="N777" s="113" t="s">
        <v>975</v>
      </c>
    </row>
    <row r="778" spans="1:16" ht="18.600000000000001" customHeight="1">
      <c r="A778" s="135"/>
      <c r="B778" s="136"/>
      <c r="C778" s="138"/>
      <c r="D778" s="138"/>
      <c r="E778" s="138"/>
      <c r="F778" s="138"/>
      <c r="G778" s="138"/>
      <c r="H778" s="139"/>
      <c r="I778" s="138"/>
      <c r="J778" s="138"/>
      <c r="K778" s="137"/>
      <c r="L778" s="137"/>
      <c r="M778" s="140"/>
      <c r="N778" s="141"/>
      <c r="O778" s="114" t="s">
        <v>3682</v>
      </c>
    </row>
    <row r="779" spans="1:16" s="152" customFormat="1" ht="16.149999999999999" customHeight="1">
      <c r="A779" s="146"/>
      <c r="B779" s="147"/>
      <c r="C779" s="148"/>
      <c r="D779" s="148"/>
      <c r="E779" s="148"/>
      <c r="F779" s="148"/>
      <c r="G779" s="148"/>
      <c r="H779" s="149"/>
      <c r="I779" s="148"/>
      <c r="J779" s="148"/>
      <c r="K779" s="148" t="s">
        <v>1118</v>
      </c>
      <c r="L779" s="148" t="s">
        <v>1582</v>
      </c>
      <c r="M779" s="150">
        <f>M765+M771+M777</f>
        <v>53472</v>
      </c>
      <c r="N779" s="151"/>
    </row>
    <row r="780" spans="1:16" ht="16.149999999999999" customHeight="1">
      <c r="A780" s="153"/>
      <c r="B780" s="125"/>
      <c r="C780" s="153"/>
      <c r="D780" s="153"/>
      <c r="E780" s="153"/>
      <c r="F780" s="153"/>
      <c r="G780" s="153"/>
      <c r="H780" s="154"/>
      <c r="I780" s="153"/>
      <c r="J780" s="153"/>
      <c r="K780" s="153"/>
      <c r="L780" s="153"/>
      <c r="M780" s="128"/>
      <c r="N780" s="142"/>
    </row>
    <row r="781" spans="1:16" s="107" customFormat="1" ht="16.149999999999999" customHeight="1">
      <c r="A781" s="451">
        <f>A762+1</f>
        <v>42</v>
      </c>
      <c r="B781" s="99" t="s">
        <v>1100</v>
      </c>
      <c r="C781" s="100" t="s">
        <v>1526</v>
      </c>
      <c r="D781" s="101" t="s">
        <v>1356</v>
      </c>
      <c r="E781" s="102"/>
      <c r="F781" s="102"/>
      <c r="G781" s="100"/>
      <c r="H781" s="103" t="s">
        <v>1527</v>
      </c>
      <c r="I781" s="100" t="s">
        <v>1526</v>
      </c>
      <c r="J781" s="102" t="s">
        <v>1150</v>
      </c>
      <c r="K781" s="104" t="s">
        <v>847</v>
      </c>
      <c r="L781" s="100" t="s">
        <v>1526</v>
      </c>
      <c r="M781" s="105" t="s">
        <v>1122</v>
      </c>
      <c r="N781" s="106"/>
      <c r="P781" s="114"/>
    </row>
    <row r="782" spans="1:16" ht="16.149999999999999" customHeight="1">
      <c r="A782" s="108"/>
      <c r="B782" s="109" t="s">
        <v>588</v>
      </c>
      <c r="C782" s="110" t="s">
        <v>1582</v>
      </c>
      <c r="D782" s="110" t="s">
        <v>589</v>
      </c>
      <c r="E782" s="110" t="s">
        <v>86</v>
      </c>
      <c r="F782" s="110" t="s">
        <v>590</v>
      </c>
      <c r="G782" s="110" t="s">
        <v>86</v>
      </c>
      <c r="H782" s="111" t="s">
        <v>2973</v>
      </c>
      <c r="I782" s="110"/>
      <c r="J782" s="110"/>
      <c r="K782" s="110"/>
      <c r="L782" s="110"/>
      <c r="M782" s="112"/>
      <c r="N782" s="113"/>
    </row>
    <row r="783" spans="1:16" ht="16.149999999999999" customHeight="1">
      <c r="A783" s="108"/>
      <c r="B783" s="109"/>
      <c r="C783" s="110"/>
      <c r="D783" s="110"/>
      <c r="E783" s="110"/>
      <c r="F783" s="110"/>
      <c r="G783" s="110"/>
      <c r="H783" s="111"/>
      <c r="I783" s="110"/>
      <c r="J783" s="792"/>
      <c r="K783" s="792"/>
      <c r="L783" s="110"/>
      <c r="M783" s="112"/>
      <c r="N783" s="113"/>
    </row>
    <row r="784" spans="1:16" ht="16.149999999999999" customHeight="1">
      <c r="A784" s="115"/>
      <c r="F784" s="117"/>
      <c r="G784" s="118"/>
      <c r="H784" s="119">
        <f>기계경비산출표!$E$142*1000</f>
        <v>1134000</v>
      </c>
      <c r="I784" s="110" t="s">
        <v>972</v>
      </c>
      <c r="J784" s="120">
        <v>3640</v>
      </c>
      <c r="K784" s="118" t="s">
        <v>2974</v>
      </c>
      <c r="L784" s="121" t="s">
        <v>1582</v>
      </c>
      <c r="M784" s="112">
        <f>TRUNC(H784*J784*(10^-7))</f>
        <v>412</v>
      </c>
      <c r="N784" s="113" t="s">
        <v>975</v>
      </c>
    </row>
    <row r="785" spans="1:16" ht="16.149999999999999" customHeight="1">
      <c r="A785" s="115"/>
      <c r="B785" s="122"/>
      <c r="C785" s="118"/>
      <c r="D785" s="33"/>
      <c r="E785" s="110"/>
      <c r="F785" s="118"/>
      <c r="G785" s="118"/>
      <c r="H785" s="123"/>
      <c r="I785" s="118"/>
      <c r="J785" s="110"/>
      <c r="K785" s="110"/>
      <c r="L785" s="110"/>
      <c r="M785" s="112"/>
      <c r="N785" s="113"/>
    </row>
    <row r="786" spans="1:16" ht="16.149999999999999" customHeight="1">
      <c r="A786" s="124"/>
      <c r="B786" s="125" t="s">
        <v>1115</v>
      </c>
      <c r="C786" s="126"/>
      <c r="D786" s="269">
        <f>SUMIF('노임(2015)'!$B$4:$B$87,B786,'노임(2015)'!$C$4:$C$87)+SUMIF('노임(2015)'!$E$4:$E$87,B786,'노임(2015)'!$F$4:$F$87)</f>
        <v>0</v>
      </c>
      <c r="E786" s="126"/>
      <c r="F786" s="126"/>
      <c r="G786" s="126"/>
      <c r="H786" s="127"/>
      <c r="I786" s="126"/>
      <c r="J786" s="126"/>
      <c r="K786" s="126"/>
      <c r="L786" s="126"/>
      <c r="M786" s="128"/>
      <c r="N786" s="129"/>
    </row>
    <row r="787" spans="1:16" ht="16.149999999999999" customHeight="1">
      <c r="A787" s="130"/>
      <c r="B787" s="131" t="s">
        <v>3189</v>
      </c>
      <c r="C787" s="118"/>
      <c r="D787" s="33">
        <f>SUMIF('노임(2015)'!$B$4:$B$87,B787,'노임(2015)'!$C$4:$C$87)+SUMIF('노임(2015)'!$E$4:$E$87,B787,'노임(2015)'!$F$4:$F$87)</f>
        <v>90909</v>
      </c>
      <c r="E787" s="110" t="s">
        <v>972</v>
      </c>
      <c r="F787" s="110" t="s">
        <v>973</v>
      </c>
      <c r="G787" s="132" t="s">
        <v>974</v>
      </c>
      <c r="H787" s="111"/>
      <c r="I787" s="110"/>
      <c r="J787" s="110"/>
      <c r="K787" s="133">
        <v>1</v>
      </c>
      <c r="L787" s="118" t="s">
        <v>1582</v>
      </c>
      <c r="M787" s="112">
        <f>TRUNC(D787*(1/8)*(16/12)*(25/20)*K787)</f>
        <v>18939</v>
      </c>
      <c r="N787" s="113" t="s">
        <v>975</v>
      </c>
    </row>
    <row r="788" spans="1:16" ht="16.149999999999999" customHeight="1">
      <c r="A788" s="130"/>
      <c r="B788" s="109"/>
      <c r="C788" s="118"/>
      <c r="D788" s="33"/>
      <c r="E788" s="110"/>
      <c r="F788" s="110"/>
      <c r="G788" s="132"/>
      <c r="H788" s="111"/>
      <c r="I788" s="110"/>
      <c r="J788" s="110"/>
      <c r="K788" s="134"/>
      <c r="L788" s="118"/>
      <c r="M788" s="112"/>
      <c r="N788" s="113"/>
    </row>
    <row r="789" spans="1:16" ht="18.600000000000001" customHeight="1">
      <c r="A789" s="130"/>
      <c r="B789" s="109"/>
      <c r="C789" s="118"/>
      <c r="D789" s="33"/>
      <c r="E789" s="110"/>
      <c r="F789" s="110"/>
      <c r="G789" s="132"/>
      <c r="H789" s="111"/>
      <c r="I789" s="110"/>
      <c r="J789" s="110"/>
      <c r="K789" s="134"/>
      <c r="L789" s="118"/>
      <c r="M789" s="112"/>
      <c r="N789" s="113"/>
      <c r="O789" s="114" t="s">
        <v>3682</v>
      </c>
    </row>
    <row r="790" spans="1:16" ht="16.149999999999999" customHeight="1">
      <c r="A790" s="130"/>
      <c r="B790" s="109"/>
      <c r="C790" s="118"/>
      <c r="D790" s="110"/>
      <c r="E790" s="110"/>
      <c r="F790" s="110"/>
      <c r="G790" s="110"/>
      <c r="H790" s="111"/>
      <c r="I790" s="791"/>
      <c r="J790" s="791"/>
      <c r="K790" s="118" t="s">
        <v>1164</v>
      </c>
      <c r="L790" s="118" t="s">
        <v>1582</v>
      </c>
      <c r="M790" s="112">
        <f>(M787+M788+M789)</f>
        <v>18939</v>
      </c>
      <c r="N790" s="113" t="s">
        <v>975</v>
      </c>
      <c r="O790" s="114" t="s">
        <v>1115</v>
      </c>
    </row>
    <row r="791" spans="1:16" ht="18.600000000000001" customHeight="1">
      <c r="A791" s="130"/>
      <c r="B791" s="109"/>
      <c r="C791" s="118"/>
      <c r="D791" s="110"/>
      <c r="E791" s="110"/>
      <c r="F791" s="110"/>
      <c r="G791" s="110"/>
      <c r="H791" s="111"/>
      <c r="I791" s="118"/>
      <c r="J791" s="118"/>
      <c r="K791" s="118"/>
      <c r="L791" s="118"/>
      <c r="M791" s="112"/>
      <c r="N791" s="113"/>
      <c r="O791" s="114" t="s">
        <v>3682</v>
      </c>
    </row>
    <row r="792" spans="1:16" ht="18.600000000000001" customHeight="1">
      <c r="A792" s="135"/>
      <c r="B792" s="136"/>
      <c r="C792" s="137"/>
      <c r="D792" s="138"/>
      <c r="E792" s="138"/>
      <c r="F792" s="138"/>
      <c r="G792" s="138"/>
      <c r="H792" s="139"/>
      <c r="I792" s="137"/>
      <c r="J792" s="137"/>
      <c r="K792" s="137"/>
      <c r="L792" s="137"/>
      <c r="M792" s="140"/>
      <c r="N792" s="141"/>
      <c r="O792" s="114" t="s">
        <v>3682</v>
      </c>
    </row>
    <row r="793" spans="1:16" ht="16.149999999999999" customHeight="1">
      <c r="A793" s="124"/>
      <c r="B793" s="125" t="s">
        <v>1116</v>
      </c>
      <c r="C793" s="142"/>
      <c r="D793" s="126"/>
      <c r="E793" s="126"/>
      <c r="F793" s="126"/>
      <c r="G793" s="126"/>
      <c r="H793" s="127"/>
      <c r="I793" s="126"/>
      <c r="J793" s="126"/>
      <c r="K793" s="126"/>
      <c r="L793" s="126"/>
      <c r="M793" s="128"/>
      <c r="N793" s="129"/>
    </row>
    <row r="794" spans="1:16" ht="16.149999999999999" customHeight="1">
      <c r="A794" s="130"/>
      <c r="B794" s="131" t="s">
        <v>970</v>
      </c>
      <c r="C794" s="118" t="s">
        <v>1526</v>
      </c>
      <c r="D794" s="118">
        <v>0.7</v>
      </c>
      <c r="E794" s="110" t="s">
        <v>456</v>
      </c>
      <c r="F794" s="118" t="s">
        <v>972</v>
      </c>
      <c r="G794" s="110"/>
      <c r="H794" s="123">
        <f>중기기준!$G$33</f>
        <v>1324.27</v>
      </c>
      <c r="I794" s="110" t="s">
        <v>975</v>
      </c>
      <c r="J794" s="110"/>
      <c r="K794" s="110"/>
      <c r="L794" s="118" t="s">
        <v>1582</v>
      </c>
      <c r="M794" s="112">
        <f>TRUNC(D794*H794,2)</f>
        <v>926.98</v>
      </c>
      <c r="N794" s="113" t="s">
        <v>975</v>
      </c>
    </row>
    <row r="795" spans="1:16" ht="16.149999999999999" customHeight="1">
      <c r="A795" s="130"/>
      <c r="B795" s="109" t="s">
        <v>1556</v>
      </c>
      <c r="C795" s="118" t="s">
        <v>1526</v>
      </c>
      <c r="D795" s="145">
        <v>0.1</v>
      </c>
      <c r="E795" s="110"/>
      <c r="F795" s="118" t="s">
        <v>972</v>
      </c>
      <c r="G795" s="110"/>
      <c r="H795" s="123">
        <f>M794</f>
        <v>926.98</v>
      </c>
      <c r="I795" s="110" t="s">
        <v>975</v>
      </c>
      <c r="J795" s="110"/>
      <c r="K795" s="110"/>
      <c r="L795" s="118" t="s">
        <v>1582</v>
      </c>
      <c r="M795" s="112">
        <f>TRUNC((D795*H795),2)</f>
        <v>92.69</v>
      </c>
      <c r="N795" s="113" t="s">
        <v>975</v>
      </c>
    </row>
    <row r="796" spans="1:16" ht="16.149999999999999" customHeight="1">
      <c r="A796" s="130"/>
      <c r="B796" s="109"/>
      <c r="C796" s="110"/>
      <c r="D796" s="110"/>
      <c r="E796" s="110"/>
      <c r="F796" s="110"/>
      <c r="G796" s="110"/>
      <c r="H796" s="111"/>
      <c r="I796" s="110"/>
      <c r="J796" s="110"/>
      <c r="K796" s="118" t="s">
        <v>1164</v>
      </c>
      <c r="L796" s="118" t="s">
        <v>1582</v>
      </c>
      <c r="M796" s="112">
        <f>TRUNC(SUM(M794:M795))</f>
        <v>1019</v>
      </c>
      <c r="N796" s="113" t="s">
        <v>975</v>
      </c>
    </row>
    <row r="797" spans="1:16" ht="18.600000000000001" customHeight="1">
      <c r="A797" s="135"/>
      <c r="B797" s="136"/>
      <c r="C797" s="138"/>
      <c r="D797" s="138"/>
      <c r="E797" s="138"/>
      <c r="F797" s="138"/>
      <c r="G797" s="138"/>
      <c r="H797" s="139"/>
      <c r="I797" s="138"/>
      <c r="J797" s="138"/>
      <c r="K797" s="137"/>
      <c r="L797" s="137"/>
      <c r="M797" s="140"/>
      <c r="N797" s="141"/>
      <c r="O797" s="114" t="s">
        <v>3682</v>
      </c>
      <c r="P797" s="152"/>
    </row>
    <row r="798" spans="1:16" s="152" customFormat="1" ht="16.149999999999999" customHeight="1">
      <c r="A798" s="146"/>
      <c r="B798" s="147"/>
      <c r="C798" s="148"/>
      <c r="D798" s="148"/>
      <c r="E798" s="148"/>
      <c r="F798" s="148"/>
      <c r="G798" s="148"/>
      <c r="H798" s="149"/>
      <c r="I798" s="148"/>
      <c r="J798" s="148"/>
      <c r="K798" s="148" t="s">
        <v>1118</v>
      </c>
      <c r="L798" s="148" t="s">
        <v>1582</v>
      </c>
      <c r="M798" s="150">
        <f>M784+M790+M796</f>
        <v>20370</v>
      </c>
      <c r="N798" s="151"/>
      <c r="P798" s="114"/>
    </row>
    <row r="799" spans="1:16" s="152" customFormat="1" ht="16.149999999999999" customHeight="1">
      <c r="A799" s="169"/>
      <c r="B799" s="163"/>
      <c r="C799" s="169"/>
      <c r="D799" s="169"/>
      <c r="E799" s="169"/>
      <c r="F799" s="169"/>
      <c r="G799" s="169"/>
      <c r="H799" s="170"/>
      <c r="I799" s="169"/>
      <c r="J799" s="169"/>
      <c r="K799" s="169"/>
      <c r="L799" s="169"/>
      <c r="M799" s="166"/>
      <c r="N799" s="165"/>
      <c r="O799" s="114"/>
      <c r="P799" s="114"/>
    </row>
    <row r="800" spans="1:16" s="107" customFormat="1" ht="16.149999999999999" customHeight="1">
      <c r="A800" s="451">
        <f>A781+1</f>
        <v>43</v>
      </c>
      <c r="B800" s="99" t="s">
        <v>1100</v>
      </c>
      <c r="C800" s="100" t="s">
        <v>1526</v>
      </c>
      <c r="D800" s="101" t="s">
        <v>430</v>
      </c>
      <c r="E800" s="102"/>
      <c r="F800" s="102"/>
      <c r="G800" s="100"/>
      <c r="H800" s="103" t="s">
        <v>1527</v>
      </c>
      <c r="I800" s="100" t="s">
        <v>1526</v>
      </c>
      <c r="J800" s="102" t="s">
        <v>1586</v>
      </c>
      <c r="K800" s="104" t="s">
        <v>847</v>
      </c>
      <c r="L800" s="100" t="s">
        <v>1526</v>
      </c>
      <c r="M800" s="105" t="str">
        <f>기계경비산출표!$B$143</f>
        <v>1730-0015</v>
      </c>
      <c r="N800" s="106"/>
    </row>
    <row r="801" spans="1:15" ht="16.149999999999999" customHeight="1">
      <c r="A801" s="108"/>
      <c r="B801" s="109" t="s">
        <v>588</v>
      </c>
      <c r="C801" s="110" t="s">
        <v>1582</v>
      </c>
      <c r="D801" s="110" t="s">
        <v>589</v>
      </c>
      <c r="E801" s="110" t="s">
        <v>86</v>
      </c>
      <c r="F801" s="110" t="s">
        <v>590</v>
      </c>
      <c r="G801" s="110" t="s">
        <v>86</v>
      </c>
      <c r="H801" s="111" t="s">
        <v>513</v>
      </c>
      <c r="I801" s="110"/>
      <c r="J801" s="110"/>
      <c r="K801" s="110"/>
      <c r="L801" s="110"/>
      <c r="M801" s="112"/>
      <c r="N801" s="113"/>
    </row>
    <row r="802" spans="1:15" ht="16.149999999999999" customHeight="1">
      <c r="A802" s="108"/>
      <c r="B802" s="109"/>
      <c r="C802" s="110"/>
      <c r="D802" s="110"/>
      <c r="E802" s="110"/>
      <c r="F802" s="110"/>
      <c r="G802" s="110"/>
      <c r="H802" s="111"/>
      <c r="I802" s="110"/>
      <c r="J802" s="792"/>
      <c r="K802" s="792"/>
      <c r="L802" s="110"/>
      <c r="M802" s="112"/>
      <c r="N802" s="113"/>
    </row>
    <row r="803" spans="1:15" ht="16.149999999999999" customHeight="1">
      <c r="A803" s="115"/>
      <c r="F803" s="117"/>
      <c r="G803" s="118"/>
      <c r="H803" s="119">
        <f>기계경비산출표!$E$143*1000</f>
        <v>1525000</v>
      </c>
      <c r="I803" s="110" t="s">
        <v>972</v>
      </c>
      <c r="J803" s="120">
        <v>3640</v>
      </c>
      <c r="K803" s="118" t="s">
        <v>514</v>
      </c>
      <c r="L803" s="121" t="s">
        <v>1582</v>
      </c>
      <c r="M803" s="112">
        <f>TRUNC(H803*J803*(10^-7))</f>
        <v>555</v>
      </c>
      <c r="N803" s="113" t="s">
        <v>975</v>
      </c>
    </row>
    <row r="804" spans="1:15" ht="16.149999999999999" customHeight="1">
      <c r="A804" s="115"/>
      <c r="B804" s="122"/>
      <c r="C804" s="118"/>
      <c r="D804" s="33"/>
      <c r="E804" s="110"/>
      <c r="F804" s="118"/>
      <c r="G804" s="118"/>
      <c r="H804" s="123"/>
      <c r="I804" s="118"/>
      <c r="J804" s="110"/>
      <c r="K804" s="110"/>
      <c r="L804" s="110"/>
      <c r="M804" s="112"/>
      <c r="N804" s="113"/>
    </row>
    <row r="805" spans="1:15" ht="16.149999999999999" customHeight="1">
      <c r="A805" s="124"/>
      <c r="B805" s="125" t="s">
        <v>1115</v>
      </c>
      <c r="C805" s="126"/>
      <c r="D805" s="126"/>
      <c r="E805" s="126"/>
      <c r="F805" s="126"/>
      <c r="G805" s="126"/>
      <c r="H805" s="127"/>
      <c r="I805" s="126"/>
      <c r="J805" s="126"/>
      <c r="K805" s="126"/>
      <c r="L805" s="126"/>
      <c r="M805" s="128"/>
      <c r="N805" s="129"/>
    </row>
    <row r="806" spans="1:15" ht="16.149999999999999" customHeight="1">
      <c r="A806" s="130"/>
      <c r="B806" s="131" t="s">
        <v>3189</v>
      </c>
      <c r="C806" s="118"/>
      <c r="D806" s="33">
        <f>SUMIF('노임(2015)'!$B$4:$B$87,B806,'노임(2015)'!$C$4:$C$87)+SUMIF('노임(2015)'!$E$4:$E$87,B806,'노임(2015)'!$F$4:$F$87)</f>
        <v>90909</v>
      </c>
      <c r="E806" s="110" t="s">
        <v>972</v>
      </c>
      <c r="F806" s="110" t="s">
        <v>973</v>
      </c>
      <c r="G806" s="132" t="s">
        <v>974</v>
      </c>
      <c r="H806" s="111"/>
      <c r="I806" s="110"/>
      <c r="J806" s="110"/>
      <c r="K806" s="133">
        <f>기계경비산출표!I143</f>
        <v>1</v>
      </c>
      <c r="L806" s="118" t="s">
        <v>1582</v>
      </c>
      <c r="M806" s="112">
        <f>TRUNC(D806*(1/8)*(16/12)*(25/20)*K806)</f>
        <v>18939</v>
      </c>
      <c r="N806" s="113" t="s">
        <v>975</v>
      </c>
    </row>
    <row r="807" spans="1:15" ht="16.149999999999999" customHeight="1">
      <c r="A807" s="130"/>
      <c r="B807" s="131"/>
      <c r="C807" s="118"/>
      <c r="D807" s="33">
        <f>SUMIF('노임(2015)'!$B$4:$B$87,B807,'노임(2015)'!$C$4:$C$87)+SUMIF('노임(2015)'!$E$4:$E$87,B807,'노임(2015)'!$F$4:$F$87)</f>
        <v>0</v>
      </c>
      <c r="E807" s="110"/>
      <c r="F807" s="110"/>
      <c r="G807" s="132"/>
      <c r="H807" s="111"/>
      <c r="I807" s="110"/>
      <c r="J807" s="110"/>
      <c r="K807" s="134"/>
      <c r="L807" s="118"/>
      <c r="M807" s="112"/>
      <c r="N807" s="113"/>
    </row>
    <row r="808" spans="1:15" ht="18.600000000000001" customHeight="1">
      <c r="A808" s="130"/>
      <c r="B808" s="109"/>
      <c r="C808" s="118"/>
      <c r="D808" s="33"/>
      <c r="E808" s="110"/>
      <c r="F808" s="110"/>
      <c r="G808" s="132"/>
      <c r="H808" s="111"/>
      <c r="I808" s="110"/>
      <c r="J808" s="110"/>
      <c r="K808" s="134"/>
      <c r="L808" s="118"/>
      <c r="M808" s="112"/>
      <c r="N808" s="113"/>
      <c r="O808" s="114" t="s">
        <v>3682</v>
      </c>
    </row>
    <row r="809" spans="1:15" ht="16.149999999999999" customHeight="1">
      <c r="A809" s="130"/>
      <c r="B809" s="109"/>
      <c r="C809" s="118"/>
      <c r="D809" s="110"/>
      <c r="E809" s="110"/>
      <c r="F809" s="110"/>
      <c r="G809" s="110"/>
      <c r="H809" s="111"/>
      <c r="I809" s="791"/>
      <c r="J809" s="791"/>
      <c r="K809" s="118" t="s">
        <v>1164</v>
      </c>
      <c r="L809" s="118" t="s">
        <v>1582</v>
      </c>
      <c r="M809" s="112">
        <f>TRUNC(M806+M807+M808)</f>
        <v>18939</v>
      </c>
      <c r="N809" s="113" t="s">
        <v>975</v>
      </c>
      <c r="O809" s="114" t="s">
        <v>1115</v>
      </c>
    </row>
    <row r="810" spans="1:15" ht="18.600000000000001" customHeight="1">
      <c r="A810" s="130"/>
      <c r="B810" s="109"/>
      <c r="C810" s="118"/>
      <c r="D810" s="110"/>
      <c r="E810" s="110"/>
      <c r="F810" s="110"/>
      <c r="G810" s="110"/>
      <c r="H810" s="111"/>
      <c r="I810" s="118"/>
      <c r="J810" s="118"/>
      <c r="K810" s="118"/>
      <c r="L810" s="118"/>
      <c r="M810" s="112"/>
      <c r="N810" s="113"/>
      <c r="O810" s="114" t="s">
        <v>3682</v>
      </c>
    </row>
    <row r="811" spans="1:15" ht="18.600000000000001" customHeight="1">
      <c r="A811" s="135"/>
      <c r="B811" s="136"/>
      <c r="C811" s="137"/>
      <c r="D811" s="138"/>
      <c r="E811" s="138"/>
      <c r="F811" s="138"/>
      <c r="G811" s="138"/>
      <c r="H811" s="139"/>
      <c r="I811" s="137"/>
      <c r="J811" s="137"/>
      <c r="K811" s="137"/>
      <c r="L811" s="137"/>
      <c r="M811" s="140"/>
      <c r="N811" s="141"/>
      <c r="O811" s="114" t="s">
        <v>3682</v>
      </c>
    </row>
    <row r="812" spans="1:15" ht="16.149999999999999" customHeight="1">
      <c r="A812" s="124"/>
      <c r="B812" s="125" t="s">
        <v>1116</v>
      </c>
      <c r="C812" s="142"/>
      <c r="D812" s="126"/>
      <c r="E812" s="126"/>
      <c r="F812" s="126"/>
      <c r="G812" s="126"/>
      <c r="H812" s="127"/>
      <c r="I812" s="126"/>
      <c r="J812" s="126"/>
      <c r="K812" s="126"/>
      <c r="L812" s="126"/>
      <c r="M812" s="128"/>
      <c r="N812" s="129"/>
    </row>
    <row r="813" spans="1:15" ht="16.149999999999999" customHeight="1">
      <c r="A813" s="130"/>
      <c r="B813" s="131" t="s">
        <v>1123</v>
      </c>
      <c r="C813" s="118" t="s">
        <v>1526</v>
      </c>
      <c r="D813" s="118">
        <v>1</v>
      </c>
      <c r="E813" s="110" t="s">
        <v>456</v>
      </c>
      <c r="F813" s="118" t="s">
        <v>972</v>
      </c>
      <c r="G813" s="110"/>
      <c r="H813" s="123">
        <f>중기기준!G33</f>
        <v>1324.27</v>
      </c>
      <c r="I813" s="110" t="s">
        <v>975</v>
      </c>
      <c r="J813" s="110"/>
      <c r="K813" s="110"/>
      <c r="L813" s="118" t="s">
        <v>1582</v>
      </c>
      <c r="M813" s="112">
        <f>TRUNC(D813*H813,2)</f>
        <v>1324.27</v>
      </c>
      <c r="N813" s="113" t="s">
        <v>975</v>
      </c>
    </row>
    <row r="814" spans="1:15" ht="16.149999999999999" customHeight="1">
      <c r="A814" s="130"/>
      <c r="B814" s="109" t="s">
        <v>1556</v>
      </c>
      <c r="C814" s="118" t="s">
        <v>1526</v>
      </c>
      <c r="D814" s="145">
        <v>0.2</v>
      </c>
      <c r="E814" s="110"/>
      <c r="F814" s="118" t="s">
        <v>972</v>
      </c>
      <c r="G814" s="110"/>
      <c r="H814" s="123">
        <f>M813</f>
        <v>1324.27</v>
      </c>
      <c r="I814" s="110" t="s">
        <v>975</v>
      </c>
      <c r="J814" s="110"/>
      <c r="K814" s="110"/>
      <c r="L814" s="118" t="s">
        <v>1582</v>
      </c>
      <c r="M814" s="112">
        <f>TRUNC(D814*H814,2)</f>
        <v>264.85000000000002</v>
      </c>
      <c r="N814" s="113" t="s">
        <v>975</v>
      </c>
    </row>
    <row r="815" spans="1:15" ht="16.149999999999999" customHeight="1">
      <c r="A815" s="130"/>
      <c r="B815" s="109"/>
      <c r="C815" s="110"/>
      <c r="D815" s="110"/>
      <c r="E815" s="110"/>
      <c r="F815" s="110"/>
      <c r="G815" s="110"/>
      <c r="H815" s="111"/>
      <c r="I815" s="110"/>
      <c r="J815" s="110"/>
      <c r="K815" s="118" t="s">
        <v>1164</v>
      </c>
      <c r="L815" s="118" t="s">
        <v>1582</v>
      </c>
      <c r="M815" s="112">
        <f>TRUNC(SUM(M813:M814))</f>
        <v>1589</v>
      </c>
      <c r="N815" s="113" t="s">
        <v>975</v>
      </c>
    </row>
    <row r="816" spans="1:15" ht="18.600000000000001" customHeight="1">
      <c r="A816" s="135"/>
      <c r="B816" s="136"/>
      <c r="C816" s="138"/>
      <c r="D816" s="138"/>
      <c r="E816" s="138"/>
      <c r="F816" s="138"/>
      <c r="G816" s="138"/>
      <c r="H816" s="139"/>
      <c r="I816" s="138"/>
      <c r="J816" s="138"/>
      <c r="K816" s="137"/>
      <c r="L816" s="137"/>
      <c r="M816" s="140"/>
      <c r="N816" s="141"/>
      <c r="O816" s="114" t="s">
        <v>3682</v>
      </c>
    </row>
    <row r="817" spans="1:16" s="152" customFormat="1" ht="16.149999999999999" customHeight="1">
      <c r="A817" s="146"/>
      <c r="B817" s="147"/>
      <c r="C817" s="148"/>
      <c r="D817" s="148"/>
      <c r="E817" s="148"/>
      <c r="F817" s="148"/>
      <c r="G817" s="148"/>
      <c r="H817" s="149"/>
      <c r="I817" s="148"/>
      <c r="J817" s="148"/>
      <c r="K817" s="148" t="s">
        <v>1118</v>
      </c>
      <c r="L817" s="148" t="s">
        <v>1582</v>
      </c>
      <c r="M817" s="150">
        <f>M803+M809+M815</f>
        <v>21083</v>
      </c>
      <c r="N817" s="151"/>
    </row>
    <row r="818" spans="1:16" s="152" customFormat="1" ht="16.149999999999999" customHeight="1">
      <c r="A818" s="548"/>
      <c r="B818" s="549"/>
      <c r="C818" s="548"/>
      <c r="D818" s="548"/>
      <c r="E818" s="548"/>
      <c r="F818" s="548"/>
      <c r="G818" s="548"/>
      <c r="H818" s="550"/>
      <c r="I818" s="548"/>
      <c r="J818" s="548"/>
      <c r="K818" s="548"/>
      <c r="L818" s="548"/>
      <c r="M818" s="551"/>
      <c r="N818" s="552"/>
      <c r="O818" s="114"/>
    </row>
    <row r="819" spans="1:16" s="107" customFormat="1" ht="16.149999999999999" customHeight="1">
      <c r="A819" s="451">
        <f>A800+1</f>
        <v>44</v>
      </c>
      <c r="B819" s="99" t="s">
        <v>1100</v>
      </c>
      <c r="C819" s="100" t="s">
        <v>1526</v>
      </c>
      <c r="D819" s="101" t="s">
        <v>2436</v>
      </c>
      <c r="E819" s="102"/>
      <c r="F819" s="102"/>
      <c r="G819" s="100"/>
      <c r="H819" s="103" t="s">
        <v>1527</v>
      </c>
      <c r="I819" s="100" t="s">
        <v>1526</v>
      </c>
      <c r="J819" s="102" t="s">
        <v>1124</v>
      </c>
      <c r="K819" s="104" t="s">
        <v>847</v>
      </c>
      <c r="L819" s="100" t="s">
        <v>1526</v>
      </c>
      <c r="M819" s="105" t="s">
        <v>1125</v>
      </c>
      <c r="N819" s="106"/>
      <c r="P819" s="114"/>
    </row>
    <row r="820" spans="1:16" ht="16.149999999999999" customHeight="1">
      <c r="A820" s="108"/>
      <c r="B820" s="109" t="s">
        <v>588</v>
      </c>
      <c r="C820" s="110" t="s">
        <v>1582</v>
      </c>
      <c r="D820" s="110" t="s">
        <v>589</v>
      </c>
      <c r="E820" s="110" t="s">
        <v>86</v>
      </c>
      <c r="F820" s="110" t="s">
        <v>590</v>
      </c>
      <c r="G820" s="110" t="s">
        <v>86</v>
      </c>
      <c r="H820" s="111" t="s">
        <v>2973</v>
      </c>
      <c r="I820" s="110"/>
      <c r="J820" s="110"/>
      <c r="K820" s="110"/>
      <c r="L820" s="110"/>
      <c r="M820" s="112"/>
      <c r="N820" s="113"/>
    </row>
    <row r="821" spans="1:16" ht="16.149999999999999" customHeight="1">
      <c r="A821" s="108"/>
      <c r="B821" s="109"/>
      <c r="C821" s="110"/>
      <c r="D821" s="110"/>
      <c r="E821" s="110"/>
      <c r="F821" s="110"/>
      <c r="G821" s="110"/>
      <c r="H821" s="111"/>
      <c r="I821" s="110"/>
      <c r="J821" s="792"/>
      <c r="K821" s="792"/>
      <c r="L821" s="110"/>
      <c r="M821" s="112"/>
      <c r="N821" s="113"/>
    </row>
    <row r="822" spans="1:16" ht="16.149999999999999" customHeight="1">
      <c r="A822" s="115"/>
      <c r="F822" s="117"/>
      <c r="G822" s="118"/>
      <c r="H822" s="119">
        <f>기계경비산출표!$E$144*1000</f>
        <v>77297000</v>
      </c>
      <c r="I822" s="110" t="s">
        <v>972</v>
      </c>
      <c r="J822" s="120">
        <v>1768</v>
      </c>
      <c r="K822" s="118" t="s">
        <v>2974</v>
      </c>
      <c r="L822" s="121" t="s">
        <v>1582</v>
      </c>
      <c r="M822" s="112">
        <f>TRUNC(H822*J822*(10^-7))</f>
        <v>13666</v>
      </c>
      <c r="N822" s="113" t="s">
        <v>975</v>
      </c>
    </row>
    <row r="823" spans="1:16" ht="16.149999999999999" customHeight="1">
      <c r="A823" s="115"/>
      <c r="B823" s="122"/>
      <c r="C823" s="118"/>
      <c r="D823" s="33"/>
      <c r="E823" s="110"/>
      <c r="F823" s="118"/>
      <c r="G823" s="118"/>
      <c r="H823" s="123"/>
      <c r="I823" s="118"/>
      <c r="J823" s="110"/>
      <c r="K823" s="110"/>
      <c r="L823" s="110"/>
      <c r="M823" s="112"/>
      <c r="N823" s="113"/>
    </row>
    <row r="824" spans="1:16" ht="16.149999999999999" customHeight="1">
      <c r="A824" s="124"/>
      <c r="B824" s="125" t="s">
        <v>1115</v>
      </c>
      <c r="C824" s="126"/>
      <c r="D824" s="269">
        <f>SUMIF('노임(2015)'!$B$4:$B$87,B824,'노임(2015)'!$C$4:$C$87)+SUMIF('노임(2015)'!$E$4:$E$87,B824,'노임(2015)'!$F$4:$F$87)</f>
        <v>0</v>
      </c>
      <c r="E824" s="126"/>
      <c r="F824" s="126"/>
      <c r="G824" s="126"/>
      <c r="H824" s="127"/>
      <c r="I824" s="126"/>
      <c r="J824" s="126"/>
      <c r="K824" s="126"/>
      <c r="L824" s="126"/>
      <c r="M824" s="128"/>
      <c r="N824" s="129"/>
    </row>
    <row r="825" spans="1:16" ht="16.149999999999999" customHeight="1">
      <c r="A825" s="130"/>
      <c r="B825" s="131" t="s">
        <v>3185</v>
      </c>
      <c r="C825" s="118"/>
      <c r="D825" s="33">
        <f>SUMIF('노임(2015)'!$B$4:$B$87,B825,'노임(2015)'!$C$4:$C$87)+SUMIF('노임(2015)'!$E$4:$E$87,B825,'노임(2015)'!$F$4:$F$87)</f>
        <v>130411</v>
      </c>
      <c r="E825" s="110" t="s">
        <v>972</v>
      </c>
      <c r="F825" s="110" t="s">
        <v>973</v>
      </c>
      <c r="G825" s="132" t="s">
        <v>974</v>
      </c>
      <c r="H825" s="111"/>
      <c r="I825" s="110"/>
      <c r="J825" s="110"/>
      <c r="K825" s="133">
        <v>1</v>
      </c>
      <c r="L825" s="118" t="s">
        <v>1582</v>
      </c>
      <c r="M825" s="112">
        <f>TRUNC(D825*(1/8)*(16/12)*(25/20)*K825)</f>
        <v>27168</v>
      </c>
      <c r="N825" s="113" t="s">
        <v>975</v>
      </c>
    </row>
    <row r="826" spans="1:16" ht="16.149999999999999" customHeight="1">
      <c r="A826" s="130"/>
      <c r="B826" s="109"/>
      <c r="C826" s="118"/>
      <c r="D826" s="33"/>
      <c r="E826" s="110"/>
      <c r="F826" s="110"/>
      <c r="G826" s="132"/>
      <c r="H826" s="111"/>
      <c r="I826" s="110"/>
      <c r="J826" s="110"/>
      <c r="K826" s="134"/>
      <c r="L826" s="118"/>
      <c r="M826" s="112"/>
      <c r="N826" s="113"/>
    </row>
    <row r="827" spans="1:16" ht="18.600000000000001" customHeight="1">
      <c r="A827" s="130"/>
      <c r="B827" s="109"/>
      <c r="C827" s="118"/>
      <c r="D827" s="33"/>
      <c r="E827" s="110"/>
      <c r="F827" s="110"/>
      <c r="G827" s="132"/>
      <c r="H827" s="111"/>
      <c r="I827" s="110"/>
      <c r="J827" s="110"/>
      <c r="K827" s="134"/>
      <c r="L827" s="118"/>
      <c r="M827" s="112"/>
      <c r="N827" s="113"/>
      <c r="O827" s="114" t="s">
        <v>3682</v>
      </c>
    </row>
    <row r="828" spans="1:16" ht="16.149999999999999" customHeight="1">
      <c r="A828" s="130"/>
      <c r="B828" s="109"/>
      <c r="C828" s="118"/>
      <c r="D828" s="110"/>
      <c r="E828" s="110"/>
      <c r="F828" s="110"/>
      <c r="G828" s="110"/>
      <c r="H828" s="111"/>
      <c r="I828" s="791"/>
      <c r="J828" s="791"/>
      <c r="K828" s="118" t="s">
        <v>1164</v>
      </c>
      <c r="L828" s="118" t="s">
        <v>1582</v>
      </c>
      <c r="M828" s="112">
        <f>(M825+M826+M827)</f>
        <v>27168</v>
      </c>
      <c r="N828" s="113" t="s">
        <v>975</v>
      </c>
      <c r="O828" s="114" t="s">
        <v>1115</v>
      </c>
    </row>
    <row r="829" spans="1:16" ht="18.600000000000001" customHeight="1">
      <c r="A829" s="130"/>
      <c r="B829" s="109"/>
      <c r="C829" s="118"/>
      <c r="D829" s="110"/>
      <c r="E829" s="110"/>
      <c r="F829" s="110"/>
      <c r="G829" s="110"/>
      <c r="H829" s="111"/>
      <c r="I829" s="118"/>
      <c r="J829" s="118"/>
      <c r="K829" s="118"/>
      <c r="L829" s="118"/>
      <c r="M829" s="112"/>
      <c r="N829" s="113"/>
      <c r="O829" s="114" t="s">
        <v>3682</v>
      </c>
    </row>
    <row r="830" spans="1:16" ht="18.600000000000001" customHeight="1">
      <c r="A830" s="135"/>
      <c r="B830" s="136"/>
      <c r="C830" s="137"/>
      <c r="D830" s="138"/>
      <c r="E830" s="138"/>
      <c r="F830" s="138"/>
      <c r="G830" s="138"/>
      <c r="H830" s="139"/>
      <c r="I830" s="137"/>
      <c r="J830" s="137"/>
      <c r="K830" s="137"/>
      <c r="L830" s="137"/>
      <c r="M830" s="140"/>
      <c r="N830" s="141"/>
      <c r="O830" s="114" t="s">
        <v>3682</v>
      </c>
    </row>
    <row r="831" spans="1:16" ht="16.149999999999999" customHeight="1">
      <c r="A831" s="124"/>
      <c r="B831" s="125" t="s">
        <v>1116</v>
      </c>
      <c r="C831" s="142"/>
      <c r="D831" s="126"/>
      <c r="E831" s="126"/>
      <c r="F831" s="126"/>
      <c r="G831" s="126"/>
      <c r="H831" s="127"/>
      <c r="I831" s="126"/>
      <c r="J831" s="126"/>
      <c r="K831" s="126"/>
      <c r="L831" s="126"/>
      <c r="M831" s="128"/>
      <c r="N831" s="129"/>
    </row>
    <row r="832" spans="1:16" ht="16.149999999999999" customHeight="1">
      <c r="A832" s="130"/>
      <c r="B832" s="131" t="s">
        <v>2461</v>
      </c>
      <c r="C832" s="118" t="s">
        <v>1526</v>
      </c>
      <c r="D832" s="118">
        <v>5.8</v>
      </c>
      <c r="E832" s="110" t="s">
        <v>456</v>
      </c>
      <c r="F832" s="118" t="s">
        <v>972</v>
      </c>
      <c r="G832" s="110"/>
      <c r="H832" s="123">
        <f>중기기준!$G$35</f>
        <v>1114.9000000000001</v>
      </c>
      <c r="I832" s="110" t="s">
        <v>975</v>
      </c>
      <c r="J832" s="110"/>
      <c r="K832" s="110"/>
      <c r="L832" s="118" t="s">
        <v>1582</v>
      </c>
      <c r="M832" s="112">
        <f>TRUNC(D832*H832,2)</f>
        <v>6466.42</v>
      </c>
      <c r="N832" s="113" t="s">
        <v>975</v>
      </c>
    </row>
    <row r="833" spans="1:16" ht="16.149999999999999" customHeight="1">
      <c r="A833" s="130"/>
      <c r="B833" s="109" t="s">
        <v>1556</v>
      </c>
      <c r="C833" s="118" t="s">
        <v>1526</v>
      </c>
      <c r="D833" s="145">
        <v>0.2</v>
      </c>
      <c r="E833" s="110"/>
      <c r="F833" s="118" t="s">
        <v>972</v>
      </c>
      <c r="G833" s="110"/>
      <c r="H833" s="123">
        <f>M832</f>
        <v>6466.42</v>
      </c>
      <c r="I833" s="110" t="s">
        <v>975</v>
      </c>
      <c r="J833" s="110"/>
      <c r="K833" s="110"/>
      <c r="L833" s="118" t="s">
        <v>1582</v>
      </c>
      <c r="M833" s="112">
        <f>TRUNC((D833*H833),2)</f>
        <v>1293.28</v>
      </c>
      <c r="N833" s="113" t="s">
        <v>975</v>
      </c>
    </row>
    <row r="834" spans="1:16" ht="16.149999999999999" customHeight="1">
      <c r="A834" s="130"/>
      <c r="B834" s="109"/>
      <c r="C834" s="110"/>
      <c r="D834" s="110"/>
      <c r="E834" s="110"/>
      <c r="F834" s="110"/>
      <c r="G834" s="110"/>
      <c r="H834" s="111"/>
      <c r="I834" s="110"/>
      <c r="J834" s="110"/>
      <c r="K834" s="118" t="s">
        <v>1164</v>
      </c>
      <c r="L834" s="118" t="s">
        <v>1582</v>
      </c>
      <c r="M834" s="112">
        <f>TRUNC(SUM(M832:M833))</f>
        <v>7759</v>
      </c>
      <c r="N834" s="113" t="s">
        <v>975</v>
      </c>
    </row>
    <row r="835" spans="1:16" ht="18.600000000000001" customHeight="1">
      <c r="A835" s="135"/>
      <c r="B835" s="136"/>
      <c r="C835" s="138"/>
      <c r="D835" s="138"/>
      <c r="E835" s="138"/>
      <c r="F835" s="138"/>
      <c r="G835" s="138"/>
      <c r="H835" s="139"/>
      <c r="I835" s="138"/>
      <c r="J835" s="138"/>
      <c r="K835" s="137"/>
      <c r="L835" s="137"/>
      <c r="M835" s="140"/>
      <c r="N835" s="141"/>
      <c r="O835" s="114" t="s">
        <v>3682</v>
      </c>
      <c r="P835" s="152"/>
    </row>
    <row r="836" spans="1:16" s="152" customFormat="1" ht="16.149999999999999" customHeight="1">
      <c r="A836" s="146"/>
      <c r="B836" s="147"/>
      <c r="C836" s="148"/>
      <c r="D836" s="148"/>
      <c r="E836" s="148"/>
      <c r="F836" s="148"/>
      <c r="G836" s="148"/>
      <c r="H836" s="149"/>
      <c r="I836" s="148"/>
      <c r="J836" s="148"/>
      <c r="K836" s="148" t="s">
        <v>1118</v>
      </c>
      <c r="L836" s="148" t="s">
        <v>1582</v>
      </c>
      <c r="M836" s="150">
        <f>M822+M828+M834</f>
        <v>48593</v>
      </c>
      <c r="N836" s="151"/>
      <c r="P836" s="114"/>
    </row>
    <row r="837" spans="1:16" s="152" customFormat="1" ht="16.149999999999999" customHeight="1">
      <c r="A837" s="169"/>
      <c r="B837" s="163"/>
      <c r="C837" s="169"/>
      <c r="D837" s="169"/>
      <c r="E837" s="169"/>
      <c r="F837" s="169"/>
      <c r="G837" s="169"/>
      <c r="H837" s="170"/>
      <c r="I837" s="169"/>
      <c r="J837" s="169"/>
      <c r="K837" s="169"/>
      <c r="L837" s="169"/>
      <c r="M837" s="166"/>
      <c r="N837" s="165"/>
      <c r="O837" s="114"/>
      <c r="P837" s="114"/>
    </row>
    <row r="838" spans="1:16" s="107" customFormat="1" ht="16.149999999999999" customHeight="1">
      <c r="A838" s="451">
        <f>A819+1</f>
        <v>45</v>
      </c>
      <c r="B838" s="99" t="s">
        <v>1100</v>
      </c>
      <c r="C838" s="100" t="s">
        <v>1526</v>
      </c>
      <c r="D838" s="101" t="s">
        <v>2436</v>
      </c>
      <c r="E838" s="102"/>
      <c r="F838" s="102"/>
      <c r="G838" s="100"/>
      <c r="H838" s="103" t="s">
        <v>1527</v>
      </c>
      <c r="I838" s="100" t="s">
        <v>1526</v>
      </c>
      <c r="J838" s="102" t="s">
        <v>1126</v>
      </c>
      <c r="K838" s="104" t="s">
        <v>847</v>
      </c>
      <c r="L838" s="100" t="s">
        <v>1526</v>
      </c>
      <c r="M838" s="105" t="s">
        <v>1127</v>
      </c>
      <c r="N838" s="106"/>
    </row>
    <row r="839" spans="1:16" ht="16.149999999999999" customHeight="1">
      <c r="A839" s="108"/>
      <c r="B839" s="109" t="s">
        <v>588</v>
      </c>
      <c r="C839" s="110" t="s">
        <v>1582</v>
      </c>
      <c r="D839" s="110" t="s">
        <v>589</v>
      </c>
      <c r="E839" s="110" t="s">
        <v>86</v>
      </c>
      <c r="F839" s="110" t="s">
        <v>590</v>
      </c>
      <c r="G839" s="110" t="s">
        <v>86</v>
      </c>
      <c r="H839" s="111" t="s">
        <v>2973</v>
      </c>
      <c r="I839" s="110"/>
      <c r="J839" s="110"/>
      <c r="K839" s="110"/>
      <c r="L839" s="110"/>
      <c r="M839" s="112"/>
      <c r="N839" s="113"/>
    </row>
    <row r="840" spans="1:16" ht="16.149999999999999" customHeight="1">
      <c r="A840" s="108"/>
      <c r="B840" s="109"/>
      <c r="C840" s="110"/>
      <c r="D840" s="110"/>
      <c r="E840" s="110"/>
      <c r="F840" s="110"/>
      <c r="G840" s="110"/>
      <c r="H840" s="111"/>
      <c r="I840" s="110"/>
      <c r="J840" s="792"/>
      <c r="K840" s="792"/>
      <c r="L840" s="110"/>
      <c r="M840" s="112"/>
      <c r="N840" s="113"/>
    </row>
    <row r="841" spans="1:16" ht="16.149999999999999" customHeight="1">
      <c r="A841" s="115"/>
      <c r="F841" s="117"/>
      <c r="G841" s="118"/>
      <c r="H841" s="119">
        <f>기계경비산출표!$E$146*1000</f>
        <v>162573000</v>
      </c>
      <c r="I841" s="110" t="s">
        <v>972</v>
      </c>
      <c r="J841" s="120">
        <v>1590</v>
      </c>
      <c r="K841" s="118" t="s">
        <v>2974</v>
      </c>
      <c r="L841" s="121" t="s">
        <v>1582</v>
      </c>
      <c r="M841" s="112">
        <f>TRUNC(H841*J841*(10^-7))</f>
        <v>25849</v>
      </c>
      <c r="N841" s="113" t="s">
        <v>975</v>
      </c>
    </row>
    <row r="842" spans="1:16" ht="16.149999999999999" customHeight="1">
      <c r="A842" s="115"/>
      <c r="B842" s="122"/>
      <c r="C842" s="118"/>
      <c r="D842" s="33"/>
      <c r="E842" s="110"/>
      <c r="F842" s="118"/>
      <c r="G842" s="118"/>
      <c r="H842" s="123"/>
      <c r="I842" s="118"/>
      <c r="J842" s="110"/>
      <c r="K842" s="110"/>
      <c r="L842" s="110"/>
      <c r="M842" s="112"/>
      <c r="N842" s="113"/>
    </row>
    <row r="843" spans="1:16" ht="16.149999999999999" customHeight="1">
      <c r="A843" s="124"/>
      <c r="B843" s="125" t="s">
        <v>1115</v>
      </c>
      <c r="C843" s="126"/>
      <c r="D843" s="126"/>
      <c r="E843" s="126"/>
      <c r="F843" s="126"/>
      <c r="G843" s="126"/>
      <c r="H843" s="127"/>
      <c r="I843" s="126"/>
      <c r="J843" s="126"/>
      <c r="K843" s="126"/>
      <c r="L843" s="126"/>
      <c r="M843" s="128"/>
      <c r="N843" s="129"/>
    </row>
    <row r="844" spans="1:16" ht="16.149999999999999" customHeight="1">
      <c r="A844" s="130"/>
      <c r="B844" s="131" t="s">
        <v>3185</v>
      </c>
      <c r="C844" s="118"/>
      <c r="D844" s="33">
        <f>SUMIF('노임(2015)'!$B$4:$B$87,B844,'노임(2015)'!$C$4:$C$87)+SUMIF('노임(2015)'!$E$4:$E$87,B844,'노임(2015)'!$F$4:$F$87)</f>
        <v>130411</v>
      </c>
      <c r="E844" s="110" t="s">
        <v>972</v>
      </c>
      <c r="F844" s="110" t="s">
        <v>973</v>
      </c>
      <c r="G844" s="132" t="s">
        <v>974</v>
      </c>
      <c r="H844" s="111"/>
      <c r="I844" s="110"/>
      <c r="J844" s="110"/>
      <c r="K844" s="133">
        <v>1</v>
      </c>
      <c r="L844" s="118" t="s">
        <v>1582</v>
      </c>
      <c r="M844" s="112">
        <f>TRUNC(D844*(1/8)*(16/12)*(25/20)*K844)</f>
        <v>27168</v>
      </c>
      <c r="N844" s="113" t="s">
        <v>975</v>
      </c>
    </row>
    <row r="845" spans="1:16" ht="16.149999999999999" customHeight="1">
      <c r="A845" s="130"/>
      <c r="B845" s="109"/>
      <c r="C845" s="118"/>
      <c r="D845" s="33"/>
      <c r="E845" s="110"/>
      <c r="F845" s="110"/>
      <c r="G845" s="132"/>
      <c r="H845" s="111"/>
      <c r="I845" s="110"/>
      <c r="J845" s="110"/>
      <c r="K845" s="134"/>
      <c r="L845" s="118"/>
      <c r="M845" s="112"/>
      <c r="N845" s="113"/>
    </row>
    <row r="846" spans="1:16" ht="18.600000000000001" customHeight="1">
      <c r="A846" s="130"/>
      <c r="B846" s="109"/>
      <c r="C846" s="118"/>
      <c r="D846" s="33"/>
      <c r="E846" s="110"/>
      <c r="F846" s="110"/>
      <c r="G846" s="132"/>
      <c r="H846" s="111"/>
      <c r="I846" s="110"/>
      <c r="J846" s="110"/>
      <c r="K846" s="134"/>
      <c r="L846" s="118"/>
      <c r="M846" s="112"/>
      <c r="N846" s="113"/>
      <c r="O846" s="114" t="s">
        <v>3682</v>
      </c>
    </row>
    <row r="847" spans="1:16" ht="16.149999999999999" customHeight="1">
      <c r="A847" s="130"/>
      <c r="B847" s="109"/>
      <c r="C847" s="118"/>
      <c r="D847" s="110"/>
      <c r="E847" s="110"/>
      <c r="F847" s="110"/>
      <c r="G847" s="110"/>
      <c r="H847" s="111"/>
      <c r="I847" s="791"/>
      <c r="J847" s="791"/>
      <c r="K847" s="118" t="s">
        <v>1164</v>
      </c>
      <c r="L847" s="118" t="s">
        <v>1582</v>
      </c>
      <c r="M847" s="112">
        <f>(M844+M845+M846)</f>
        <v>27168</v>
      </c>
      <c r="N847" s="113" t="s">
        <v>975</v>
      </c>
      <c r="O847" s="114" t="s">
        <v>1115</v>
      </c>
    </row>
    <row r="848" spans="1:16" ht="18.600000000000001" customHeight="1">
      <c r="A848" s="130"/>
      <c r="B848" s="109"/>
      <c r="C848" s="118"/>
      <c r="D848" s="110"/>
      <c r="E848" s="110"/>
      <c r="F848" s="110"/>
      <c r="G848" s="110"/>
      <c r="H848" s="111"/>
      <c r="I848" s="118"/>
      <c r="J848" s="118"/>
      <c r="K848" s="118"/>
      <c r="L848" s="118"/>
      <c r="M848" s="112"/>
      <c r="N848" s="113"/>
      <c r="O848" s="114" t="s">
        <v>3682</v>
      </c>
    </row>
    <row r="849" spans="1:16" ht="18.600000000000001" customHeight="1">
      <c r="A849" s="135"/>
      <c r="B849" s="136"/>
      <c r="C849" s="137"/>
      <c r="D849" s="138"/>
      <c r="E849" s="138"/>
      <c r="F849" s="138"/>
      <c r="G849" s="138"/>
      <c r="H849" s="139"/>
      <c r="I849" s="137"/>
      <c r="J849" s="137"/>
      <c r="K849" s="137"/>
      <c r="L849" s="137"/>
      <c r="M849" s="140"/>
      <c r="N849" s="141"/>
      <c r="O849" s="114" t="s">
        <v>3682</v>
      </c>
    </row>
    <row r="850" spans="1:16" ht="16.149999999999999" customHeight="1">
      <c r="A850" s="124"/>
      <c r="B850" s="125" t="s">
        <v>1116</v>
      </c>
      <c r="C850" s="142"/>
      <c r="D850" s="126"/>
      <c r="E850" s="126"/>
      <c r="F850" s="126"/>
      <c r="G850" s="126"/>
      <c r="H850" s="127"/>
      <c r="I850" s="126"/>
      <c r="J850" s="126"/>
      <c r="K850" s="126"/>
      <c r="L850" s="126"/>
      <c r="M850" s="128"/>
      <c r="N850" s="129"/>
    </row>
    <row r="851" spans="1:16" ht="16.149999999999999" customHeight="1">
      <c r="A851" s="130"/>
      <c r="B851" s="131" t="s">
        <v>2461</v>
      </c>
      <c r="C851" s="118" t="s">
        <v>1526</v>
      </c>
      <c r="D851" s="118">
        <v>8.6</v>
      </c>
      <c r="E851" s="110" t="s">
        <v>456</v>
      </c>
      <c r="F851" s="118" t="s">
        <v>972</v>
      </c>
      <c r="G851" s="110"/>
      <c r="H851" s="123">
        <f>중기기준!$G$35</f>
        <v>1114.9000000000001</v>
      </c>
      <c r="I851" s="110" t="s">
        <v>975</v>
      </c>
      <c r="J851" s="110"/>
      <c r="K851" s="110"/>
      <c r="L851" s="118" t="s">
        <v>1582</v>
      </c>
      <c r="M851" s="112">
        <f>TRUNC(D851*H851,2)</f>
        <v>9588.14</v>
      </c>
      <c r="N851" s="113" t="s">
        <v>975</v>
      </c>
    </row>
    <row r="852" spans="1:16" ht="16.149999999999999" customHeight="1">
      <c r="A852" s="130"/>
      <c r="B852" s="109" t="s">
        <v>1556</v>
      </c>
      <c r="C852" s="118" t="s">
        <v>1526</v>
      </c>
      <c r="D852" s="145">
        <v>0.2</v>
      </c>
      <c r="E852" s="110"/>
      <c r="F852" s="118" t="s">
        <v>972</v>
      </c>
      <c r="G852" s="110"/>
      <c r="H852" s="123">
        <f>M851</f>
        <v>9588.14</v>
      </c>
      <c r="I852" s="110" t="s">
        <v>975</v>
      </c>
      <c r="J852" s="110"/>
      <c r="K852" s="110"/>
      <c r="L852" s="118" t="s">
        <v>1582</v>
      </c>
      <c r="M852" s="112">
        <f>TRUNC((D852*H852),2)</f>
        <v>1917.62</v>
      </c>
      <c r="N852" s="113" t="s">
        <v>975</v>
      </c>
    </row>
    <row r="853" spans="1:16" ht="16.149999999999999" customHeight="1">
      <c r="A853" s="130"/>
      <c r="B853" s="109"/>
      <c r="C853" s="110"/>
      <c r="D853" s="110"/>
      <c r="E853" s="110"/>
      <c r="F853" s="110"/>
      <c r="G853" s="110"/>
      <c r="H853" s="111"/>
      <c r="I853" s="110"/>
      <c r="J853" s="110"/>
      <c r="K853" s="118" t="s">
        <v>1164</v>
      </c>
      <c r="L853" s="118" t="s">
        <v>1582</v>
      </c>
      <c r="M853" s="112">
        <f>TRUNC(SUM(M851:M852))</f>
        <v>11505</v>
      </c>
      <c r="N853" s="113" t="s">
        <v>975</v>
      </c>
    </row>
    <row r="854" spans="1:16" ht="18.600000000000001" customHeight="1">
      <c r="A854" s="135"/>
      <c r="B854" s="136"/>
      <c r="C854" s="138"/>
      <c r="D854" s="138"/>
      <c r="E854" s="138"/>
      <c r="F854" s="138"/>
      <c r="G854" s="138"/>
      <c r="H854" s="139"/>
      <c r="I854" s="138"/>
      <c r="J854" s="138"/>
      <c r="K854" s="137"/>
      <c r="L854" s="137"/>
      <c r="M854" s="140"/>
      <c r="N854" s="141"/>
      <c r="O854" s="114" t="s">
        <v>3682</v>
      </c>
    </row>
    <row r="855" spans="1:16" s="152" customFormat="1" ht="16.149999999999999" customHeight="1">
      <c r="A855" s="146"/>
      <c r="B855" s="147"/>
      <c r="C855" s="148"/>
      <c r="D855" s="148"/>
      <c r="E855" s="148"/>
      <c r="F855" s="148"/>
      <c r="G855" s="148"/>
      <c r="H855" s="149"/>
      <c r="I855" s="148"/>
      <c r="J855" s="148"/>
      <c r="K855" s="148" t="s">
        <v>1118</v>
      </c>
      <c r="L855" s="148" t="s">
        <v>1582</v>
      </c>
      <c r="M855" s="150">
        <f>M841+M847+M853</f>
        <v>64522</v>
      </c>
      <c r="N855" s="151"/>
    </row>
    <row r="856" spans="1:16" ht="16.149999999999999" customHeight="1">
      <c r="A856" s="153"/>
      <c r="B856" s="125"/>
      <c r="C856" s="153"/>
      <c r="D856" s="153"/>
      <c r="E856" s="153"/>
      <c r="F856" s="153"/>
      <c r="G856" s="153"/>
      <c r="H856" s="154"/>
      <c r="I856" s="153"/>
      <c r="J856" s="153"/>
      <c r="K856" s="153"/>
      <c r="L856" s="153"/>
      <c r="M856" s="128"/>
      <c r="N856" s="142"/>
    </row>
    <row r="857" spans="1:16" s="107" customFormat="1" ht="16.149999999999999" customHeight="1">
      <c r="A857" s="451">
        <f>A838+1</f>
        <v>46</v>
      </c>
      <c r="B857" s="99" t="s">
        <v>1100</v>
      </c>
      <c r="C857" s="100" t="s">
        <v>1526</v>
      </c>
      <c r="D857" s="101" t="s">
        <v>2436</v>
      </c>
      <c r="E857" s="102"/>
      <c r="F857" s="102"/>
      <c r="G857" s="100"/>
      <c r="H857" s="103" t="s">
        <v>1527</v>
      </c>
      <c r="I857" s="100" t="s">
        <v>1526</v>
      </c>
      <c r="J857" s="102" t="s">
        <v>1128</v>
      </c>
      <c r="K857" s="104" t="s">
        <v>847</v>
      </c>
      <c r="L857" s="100" t="s">
        <v>1526</v>
      </c>
      <c r="M857" s="105" t="s">
        <v>1129</v>
      </c>
      <c r="N857" s="106"/>
      <c r="P857" s="114"/>
    </row>
    <row r="858" spans="1:16" ht="16.149999999999999" customHeight="1">
      <c r="A858" s="108"/>
      <c r="B858" s="109" t="s">
        <v>588</v>
      </c>
      <c r="C858" s="110" t="s">
        <v>1582</v>
      </c>
      <c r="D858" s="110" t="s">
        <v>589</v>
      </c>
      <c r="E858" s="110" t="s">
        <v>86</v>
      </c>
      <c r="F858" s="110" t="s">
        <v>590</v>
      </c>
      <c r="G858" s="110" t="s">
        <v>86</v>
      </c>
      <c r="H858" s="111" t="s">
        <v>2973</v>
      </c>
      <c r="I858" s="110"/>
      <c r="J858" s="110"/>
      <c r="K858" s="110"/>
      <c r="L858" s="110"/>
      <c r="M858" s="112"/>
      <c r="N858" s="113"/>
    </row>
    <row r="859" spans="1:16" ht="16.149999999999999" customHeight="1">
      <c r="A859" s="108"/>
      <c r="B859" s="109"/>
      <c r="C859" s="110"/>
      <c r="D859" s="110"/>
      <c r="E859" s="110"/>
      <c r="F859" s="110"/>
      <c r="G859" s="110"/>
      <c r="H859" s="111"/>
      <c r="I859" s="110"/>
      <c r="J859" s="792"/>
      <c r="K859" s="792"/>
      <c r="L859" s="110"/>
      <c r="M859" s="112"/>
      <c r="N859" s="113"/>
    </row>
    <row r="860" spans="1:16" ht="16.149999999999999" customHeight="1">
      <c r="A860" s="115"/>
      <c r="F860" s="117"/>
      <c r="G860" s="118"/>
      <c r="H860" s="119">
        <f>기계경비산출표!$E$148*1000</f>
        <v>243860000</v>
      </c>
      <c r="I860" s="110" t="s">
        <v>972</v>
      </c>
      <c r="J860" s="120">
        <v>1590</v>
      </c>
      <c r="K860" s="118" t="s">
        <v>2974</v>
      </c>
      <c r="L860" s="121" t="s">
        <v>1582</v>
      </c>
      <c r="M860" s="112">
        <f>TRUNC(H860*J860*(10^-7))</f>
        <v>38773</v>
      </c>
      <c r="N860" s="113" t="s">
        <v>975</v>
      </c>
    </row>
    <row r="861" spans="1:16" ht="16.149999999999999" customHeight="1">
      <c r="A861" s="115"/>
      <c r="B861" s="122"/>
      <c r="C861" s="118"/>
      <c r="D861" s="33"/>
      <c r="E861" s="110"/>
      <c r="F861" s="118"/>
      <c r="G861" s="118"/>
      <c r="H861" s="123"/>
      <c r="I861" s="118"/>
      <c r="J861" s="110"/>
      <c r="K861" s="110"/>
      <c r="L861" s="110"/>
      <c r="M861" s="112"/>
      <c r="N861" s="113"/>
    </row>
    <row r="862" spans="1:16" ht="16.149999999999999" customHeight="1">
      <c r="A862" s="124"/>
      <c r="B862" s="125" t="s">
        <v>1115</v>
      </c>
      <c r="C862" s="126"/>
      <c r="D862" s="269">
        <f>SUMIF('노임(2015)'!$B$4:$B$87,B862,'노임(2015)'!$C$4:$C$87)+SUMIF('노임(2015)'!$E$4:$E$87,B862,'노임(2015)'!$F$4:$F$87)</f>
        <v>0</v>
      </c>
      <c r="E862" s="126"/>
      <c r="F862" s="126"/>
      <c r="G862" s="126"/>
      <c r="H862" s="127"/>
      <c r="I862" s="126"/>
      <c r="J862" s="126"/>
      <c r="K862" s="126"/>
      <c r="L862" s="126"/>
      <c r="M862" s="128"/>
      <c r="N862" s="129"/>
    </row>
    <row r="863" spans="1:16" ht="16.149999999999999" customHeight="1">
      <c r="A863" s="130"/>
      <c r="B863" s="131" t="s">
        <v>3185</v>
      </c>
      <c r="C863" s="118"/>
      <c r="D863" s="33">
        <f>SUMIF('노임(2015)'!$B$4:$B$87,B863,'노임(2015)'!$C$4:$C$87)+SUMIF('노임(2015)'!$E$4:$E$87,B863,'노임(2015)'!$F$4:$F$87)</f>
        <v>130411</v>
      </c>
      <c r="E863" s="110" t="s">
        <v>972</v>
      </c>
      <c r="F863" s="110" t="s">
        <v>973</v>
      </c>
      <c r="G863" s="132" t="s">
        <v>974</v>
      </c>
      <c r="H863" s="111"/>
      <c r="I863" s="110"/>
      <c r="J863" s="110"/>
      <c r="K863" s="133">
        <v>1</v>
      </c>
      <c r="L863" s="118" t="s">
        <v>1582</v>
      </c>
      <c r="M863" s="112">
        <f>TRUNC(D863*(1/8)*(16/12)*(25/20)*K863)</f>
        <v>27168</v>
      </c>
      <c r="N863" s="113" t="s">
        <v>975</v>
      </c>
    </row>
    <row r="864" spans="1:16" ht="16.149999999999999" customHeight="1">
      <c r="A864" s="130"/>
      <c r="B864" s="109"/>
      <c r="C864" s="118"/>
      <c r="D864" s="33"/>
      <c r="E864" s="110"/>
      <c r="F864" s="110"/>
      <c r="G864" s="132"/>
      <c r="H864" s="111"/>
      <c r="I864" s="110"/>
      <c r="J864" s="110"/>
      <c r="K864" s="134"/>
      <c r="L864" s="118"/>
      <c r="M864" s="112"/>
      <c r="N864" s="113"/>
    </row>
    <row r="865" spans="1:16" ht="18.600000000000001" customHeight="1">
      <c r="A865" s="130"/>
      <c r="B865" s="109"/>
      <c r="C865" s="118"/>
      <c r="D865" s="33"/>
      <c r="E865" s="110"/>
      <c r="F865" s="110"/>
      <c r="G865" s="132"/>
      <c r="H865" s="111"/>
      <c r="I865" s="110"/>
      <c r="J865" s="110"/>
      <c r="K865" s="134"/>
      <c r="L865" s="118"/>
      <c r="M865" s="112"/>
      <c r="N865" s="113"/>
      <c r="O865" s="114" t="s">
        <v>3682</v>
      </c>
    </row>
    <row r="866" spans="1:16" ht="16.149999999999999" customHeight="1">
      <c r="A866" s="130"/>
      <c r="B866" s="109"/>
      <c r="C866" s="118"/>
      <c r="D866" s="110"/>
      <c r="E866" s="110"/>
      <c r="F866" s="110"/>
      <c r="G866" s="110"/>
      <c r="H866" s="111"/>
      <c r="I866" s="791"/>
      <c r="J866" s="791"/>
      <c r="K866" s="118" t="s">
        <v>1164</v>
      </c>
      <c r="L866" s="118" t="s">
        <v>1582</v>
      </c>
      <c r="M866" s="112">
        <f>(M863+M864+M865)</f>
        <v>27168</v>
      </c>
      <c r="N866" s="113" t="s">
        <v>975</v>
      </c>
      <c r="O866" s="114" t="s">
        <v>1115</v>
      </c>
    </row>
    <row r="867" spans="1:16" ht="18.600000000000001" customHeight="1">
      <c r="A867" s="130"/>
      <c r="B867" s="109"/>
      <c r="C867" s="118"/>
      <c r="D867" s="110"/>
      <c r="E867" s="110"/>
      <c r="F867" s="110"/>
      <c r="G867" s="110"/>
      <c r="H867" s="111"/>
      <c r="I867" s="118"/>
      <c r="J867" s="118"/>
      <c r="K867" s="118"/>
      <c r="L867" s="118"/>
      <c r="M867" s="112"/>
      <c r="N867" s="113"/>
      <c r="O867" s="114" t="s">
        <v>3682</v>
      </c>
    </row>
    <row r="868" spans="1:16" ht="18.600000000000001" customHeight="1">
      <c r="A868" s="135"/>
      <c r="B868" s="136"/>
      <c r="C868" s="137"/>
      <c r="D868" s="138"/>
      <c r="E868" s="138"/>
      <c r="F868" s="138"/>
      <c r="G868" s="138"/>
      <c r="H868" s="139"/>
      <c r="I868" s="137"/>
      <c r="J868" s="137"/>
      <c r="K868" s="137"/>
      <c r="L868" s="137"/>
      <c r="M868" s="140"/>
      <c r="N868" s="141"/>
      <c r="O868" s="114" t="s">
        <v>3682</v>
      </c>
    </row>
    <row r="869" spans="1:16" ht="16.149999999999999" customHeight="1">
      <c r="A869" s="124"/>
      <c r="B869" s="125" t="s">
        <v>1116</v>
      </c>
      <c r="C869" s="142"/>
      <c r="D869" s="126"/>
      <c r="E869" s="126"/>
      <c r="F869" s="126"/>
      <c r="G869" s="126"/>
      <c r="H869" s="127"/>
      <c r="I869" s="126"/>
      <c r="J869" s="126"/>
      <c r="K869" s="126"/>
      <c r="L869" s="126"/>
      <c r="M869" s="128"/>
      <c r="N869" s="129"/>
    </row>
    <row r="870" spans="1:16" ht="16.149999999999999" customHeight="1">
      <c r="A870" s="130"/>
      <c r="B870" s="131" t="s">
        <v>2461</v>
      </c>
      <c r="C870" s="118" t="s">
        <v>1526</v>
      </c>
      <c r="D870" s="118">
        <v>10.5</v>
      </c>
      <c r="E870" s="110" t="s">
        <v>456</v>
      </c>
      <c r="F870" s="118" t="s">
        <v>972</v>
      </c>
      <c r="G870" s="110"/>
      <c r="H870" s="123">
        <f>중기기준!$G$35</f>
        <v>1114.9000000000001</v>
      </c>
      <c r="I870" s="110" t="s">
        <v>975</v>
      </c>
      <c r="J870" s="110"/>
      <c r="K870" s="110"/>
      <c r="L870" s="118" t="s">
        <v>1582</v>
      </c>
      <c r="M870" s="112">
        <f>TRUNC(D870*H870,2)</f>
        <v>11706.45</v>
      </c>
      <c r="N870" s="113" t="s">
        <v>975</v>
      </c>
    </row>
    <row r="871" spans="1:16" ht="16.149999999999999" customHeight="1">
      <c r="A871" s="130"/>
      <c r="B871" s="109" t="s">
        <v>1556</v>
      </c>
      <c r="C871" s="118" t="s">
        <v>1526</v>
      </c>
      <c r="D871" s="145">
        <v>0.2</v>
      </c>
      <c r="E871" s="110"/>
      <c r="F871" s="118" t="s">
        <v>972</v>
      </c>
      <c r="G871" s="110"/>
      <c r="H871" s="123">
        <f>M870</f>
        <v>11706.45</v>
      </c>
      <c r="I871" s="110" t="s">
        <v>975</v>
      </c>
      <c r="J871" s="110"/>
      <c r="K871" s="110"/>
      <c r="L871" s="118" t="s">
        <v>1582</v>
      </c>
      <c r="M871" s="112">
        <f>TRUNC((D871*H871),2)</f>
        <v>2341.29</v>
      </c>
      <c r="N871" s="113" t="s">
        <v>975</v>
      </c>
    </row>
    <row r="872" spans="1:16" ht="16.149999999999999" customHeight="1">
      <c r="A872" s="130"/>
      <c r="B872" s="109"/>
      <c r="C872" s="110"/>
      <c r="D872" s="110"/>
      <c r="E872" s="110"/>
      <c r="F872" s="110"/>
      <c r="G872" s="110"/>
      <c r="H872" s="111"/>
      <c r="I872" s="110"/>
      <c r="J872" s="110"/>
      <c r="K872" s="118" t="s">
        <v>1164</v>
      </c>
      <c r="L872" s="118" t="s">
        <v>1582</v>
      </c>
      <c r="M872" s="112">
        <f>TRUNC(SUM(M870:M871))</f>
        <v>14047</v>
      </c>
      <c r="N872" s="113" t="s">
        <v>975</v>
      </c>
    </row>
    <row r="873" spans="1:16" ht="18.600000000000001" customHeight="1">
      <c r="A873" s="135"/>
      <c r="B873" s="136"/>
      <c r="C873" s="138"/>
      <c r="D873" s="138"/>
      <c r="E873" s="138"/>
      <c r="F873" s="138"/>
      <c r="G873" s="138"/>
      <c r="H873" s="139"/>
      <c r="I873" s="138"/>
      <c r="J873" s="138"/>
      <c r="K873" s="137"/>
      <c r="L873" s="137"/>
      <c r="M873" s="140"/>
      <c r="N873" s="141"/>
      <c r="O873" s="114" t="s">
        <v>3682</v>
      </c>
      <c r="P873" s="152"/>
    </row>
    <row r="874" spans="1:16" s="152" customFormat="1" ht="16.149999999999999" customHeight="1">
      <c r="A874" s="146"/>
      <c r="B874" s="147"/>
      <c r="C874" s="148"/>
      <c r="D874" s="148"/>
      <c r="E874" s="148"/>
      <c r="F874" s="148"/>
      <c r="G874" s="148"/>
      <c r="H874" s="149"/>
      <c r="I874" s="148"/>
      <c r="J874" s="148"/>
      <c r="K874" s="148" t="s">
        <v>1118</v>
      </c>
      <c r="L874" s="148" t="s">
        <v>1582</v>
      </c>
      <c r="M874" s="150">
        <f>M860+M866+M872</f>
        <v>79988</v>
      </c>
      <c r="N874" s="151"/>
      <c r="P874" s="114"/>
    </row>
    <row r="875" spans="1:16" s="152" customFormat="1" ht="16.149999999999999" customHeight="1">
      <c r="A875" s="169"/>
      <c r="B875" s="163"/>
      <c r="C875" s="169"/>
      <c r="D875" s="169"/>
      <c r="E875" s="169"/>
      <c r="F875" s="169"/>
      <c r="G875" s="169"/>
      <c r="H875" s="170"/>
      <c r="I875" s="169"/>
      <c r="J875" s="169"/>
      <c r="K875" s="169"/>
      <c r="L875" s="169"/>
      <c r="M875" s="166"/>
      <c r="N875" s="165"/>
      <c r="O875" s="114"/>
      <c r="P875" s="114"/>
    </row>
    <row r="876" spans="1:16" s="107" customFormat="1" ht="16.149999999999999" customHeight="1">
      <c r="A876" s="451">
        <f>A857+1</f>
        <v>47</v>
      </c>
      <c r="B876" s="99" t="s">
        <v>1100</v>
      </c>
      <c r="C876" s="100" t="s">
        <v>1526</v>
      </c>
      <c r="D876" s="101" t="s">
        <v>2436</v>
      </c>
      <c r="E876" s="102"/>
      <c r="F876" s="102"/>
      <c r="G876" s="100"/>
      <c r="H876" s="103" t="s">
        <v>1527</v>
      </c>
      <c r="I876" s="100" t="s">
        <v>1526</v>
      </c>
      <c r="J876" s="102" t="s">
        <v>1130</v>
      </c>
      <c r="K876" s="104" t="s">
        <v>847</v>
      </c>
      <c r="L876" s="100" t="s">
        <v>1526</v>
      </c>
      <c r="M876" s="105" t="s">
        <v>1131</v>
      </c>
      <c r="N876" s="106"/>
    </row>
    <row r="877" spans="1:16" ht="16.149999999999999" customHeight="1">
      <c r="A877" s="108"/>
      <c r="B877" s="109" t="s">
        <v>588</v>
      </c>
      <c r="C877" s="110" t="s">
        <v>1582</v>
      </c>
      <c r="D877" s="110" t="s">
        <v>589</v>
      </c>
      <c r="E877" s="110" t="s">
        <v>86</v>
      </c>
      <c r="F877" s="110" t="s">
        <v>590</v>
      </c>
      <c r="G877" s="110" t="s">
        <v>86</v>
      </c>
      <c r="H877" s="111" t="s">
        <v>2973</v>
      </c>
      <c r="I877" s="110"/>
      <c r="J877" s="110"/>
      <c r="K877" s="110"/>
      <c r="L877" s="110"/>
      <c r="M877" s="112"/>
      <c r="N877" s="113"/>
    </row>
    <row r="878" spans="1:16" ht="16.149999999999999" customHeight="1">
      <c r="A878" s="108"/>
      <c r="B878" s="109"/>
      <c r="C878" s="110"/>
      <c r="D878" s="110"/>
      <c r="E878" s="110"/>
      <c r="F878" s="110"/>
      <c r="G878" s="110"/>
      <c r="H878" s="111"/>
      <c r="I878" s="110"/>
      <c r="J878" s="792"/>
      <c r="K878" s="792"/>
      <c r="L878" s="110"/>
      <c r="M878" s="112"/>
      <c r="N878" s="113"/>
    </row>
    <row r="879" spans="1:16" ht="16.149999999999999" customHeight="1">
      <c r="A879" s="115"/>
      <c r="F879" s="117"/>
      <c r="G879" s="118"/>
      <c r="H879" s="119">
        <f>기계경비산출표!$E$151*1000</f>
        <v>402220000</v>
      </c>
      <c r="I879" s="110" t="s">
        <v>972</v>
      </c>
      <c r="J879" s="120">
        <v>1604</v>
      </c>
      <c r="K879" s="118" t="s">
        <v>2974</v>
      </c>
      <c r="L879" s="121" t="s">
        <v>1582</v>
      </c>
      <c r="M879" s="112">
        <f>TRUNC(H879*J879*(10^-7))</f>
        <v>64516</v>
      </c>
      <c r="N879" s="113" t="s">
        <v>975</v>
      </c>
    </row>
    <row r="880" spans="1:16" ht="16.149999999999999" customHeight="1">
      <c r="A880" s="115"/>
      <c r="B880" s="122"/>
      <c r="C880" s="118"/>
      <c r="D880" s="33"/>
      <c r="E880" s="110"/>
      <c r="F880" s="118"/>
      <c r="G880" s="118"/>
      <c r="H880" s="123"/>
      <c r="I880" s="118"/>
      <c r="J880" s="110"/>
      <c r="K880" s="110"/>
      <c r="L880" s="110"/>
      <c r="M880" s="112"/>
      <c r="N880" s="113"/>
    </row>
    <row r="881" spans="1:16" ht="16.149999999999999" customHeight="1">
      <c r="A881" s="124"/>
      <c r="B881" s="125" t="s">
        <v>1115</v>
      </c>
      <c r="C881" s="126"/>
      <c r="D881" s="126"/>
      <c r="E881" s="126"/>
      <c r="F881" s="126"/>
      <c r="G881" s="126"/>
      <c r="H881" s="127"/>
      <c r="I881" s="126"/>
      <c r="J881" s="126"/>
      <c r="K881" s="126"/>
      <c r="L881" s="126"/>
      <c r="M881" s="128"/>
      <c r="N881" s="129"/>
    </row>
    <row r="882" spans="1:16" ht="16.149999999999999" customHeight="1">
      <c r="A882" s="130"/>
      <c r="B882" s="131" t="s">
        <v>3185</v>
      </c>
      <c r="C882" s="118"/>
      <c r="D882" s="33">
        <f>SUMIF('노임(2015)'!$B$4:$B$87,B882,'노임(2015)'!$C$4:$C$87)+SUMIF('노임(2015)'!$E$4:$E$87,B882,'노임(2015)'!$F$4:$F$87)</f>
        <v>130411</v>
      </c>
      <c r="E882" s="110" t="s">
        <v>972</v>
      </c>
      <c r="F882" s="110" t="s">
        <v>973</v>
      </c>
      <c r="G882" s="132" t="s">
        <v>974</v>
      </c>
      <c r="H882" s="111"/>
      <c r="I882" s="110"/>
      <c r="J882" s="110"/>
      <c r="K882" s="133">
        <v>1</v>
      </c>
      <c r="L882" s="118" t="s">
        <v>1582</v>
      </c>
      <c r="M882" s="112">
        <f>TRUNC(D882*(1/8)*(16/12)*(25/20)*K882)</f>
        <v>27168</v>
      </c>
      <c r="N882" s="113" t="s">
        <v>975</v>
      </c>
    </row>
    <row r="883" spans="1:16" ht="16.149999999999999" customHeight="1">
      <c r="A883" s="130"/>
      <c r="B883" s="109"/>
      <c r="C883" s="118"/>
      <c r="D883" s="33"/>
      <c r="E883" s="110"/>
      <c r="F883" s="110"/>
      <c r="G883" s="132"/>
      <c r="H883" s="111"/>
      <c r="I883" s="110"/>
      <c r="J883" s="110"/>
      <c r="K883" s="134"/>
      <c r="L883" s="118"/>
      <c r="M883" s="112"/>
      <c r="N883" s="113"/>
    </row>
    <row r="884" spans="1:16" ht="18.600000000000001" customHeight="1">
      <c r="A884" s="130"/>
      <c r="B884" s="109"/>
      <c r="C884" s="118"/>
      <c r="D884" s="33"/>
      <c r="E884" s="110"/>
      <c r="F884" s="110"/>
      <c r="G884" s="132"/>
      <c r="H884" s="111"/>
      <c r="I884" s="110"/>
      <c r="J884" s="110"/>
      <c r="K884" s="134"/>
      <c r="L884" s="118"/>
      <c r="M884" s="112"/>
      <c r="N884" s="113"/>
      <c r="O884" s="114" t="s">
        <v>3682</v>
      </c>
    </row>
    <row r="885" spans="1:16" ht="16.149999999999999" customHeight="1">
      <c r="A885" s="130"/>
      <c r="B885" s="109"/>
      <c r="C885" s="118"/>
      <c r="D885" s="110"/>
      <c r="E885" s="110"/>
      <c r="F885" s="110"/>
      <c r="G885" s="110"/>
      <c r="H885" s="111"/>
      <c r="I885" s="791"/>
      <c r="J885" s="791"/>
      <c r="K885" s="118" t="s">
        <v>1164</v>
      </c>
      <c r="L885" s="118" t="s">
        <v>1582</v>
      </c>
      <c r="M885" s="112">
        <f>(M882+M883+M884)</f>
        <v>27168</v>
      </c>
      <c r="N885" s="113" t="s">
        <v>975</v>
      </c>
      <c r="O885" s="114" t="s">
        <v>1115</v>
      </c>
    </row>
    <row r="886" spans="1:16" ht="18.600000000000001" customHeight="1">
      <c r="A886" s="130"/>
      <c r="B886" s="109"/>
      <c r="C886" s="118"/>
      <c r="D886" s="110"/>
      <c r="E886" s="110"/>
      <c r="F886" s="110"/>
      <c r="G886" s="110"/>
      <c r="H886" s="111"/>
      <c r="I886" s="118"/>
      <c r="J886" s="118"/>
      <c r="K886" s="118"/>
      <c r="L886" s="118"/>
      <c r="M886" s="112"/>
      <c r="N886" s="113"/>
      <c r="O886" s="114" t="s">
        <v>3682</v>
      </c>
    </row>
    <row r="887" spans="1:16" ht="18.600000000000001" customHeight="1">
      <c r="A887" s="135"/>
      <c r="B887" s="136"/>
      <c r="C887" s="137"/>
      <c r="D887" s="138"/>
      <c r="E887" s="138"/>
      <c r="F887" s="138"/>
      <c r="G887" s="138"/>
      <c r="H887" s="139"/>
      <c r="I887" s="137"/>
      <c r="J887" s="137"/>
      <c r="K887" s="137"/>
      <c r="L887" s="137"/>
      <c r="M887" s="140"/>
      <c r="N887" s="141"/>
      <c r="O887" s="114" t="s">
        <v>3682</v>
      </c>
    </row>
    <row r="888" spans="1:16" ht="16.149999999999999" customHeight="1">
      <c r="A888" s="124"/>
      <c r="B888" s="125" t="s">
        <v>1116</v>
      </c>
      <c r="C888" s="142"/>
      <c r="D888" s="126"/>
      <c r="E888" s="126"/>
      <c r="F888" s="126"/>
      <c r="G888" s="126"/>
      <c r="H888" s="127"/>
      <c r="I888" s="126"/>
      <c r="J888" s="126"/>
      <c r="K888" s="126"/>
      <c r="L888" s="126"/>
      <c r="M888" s="128"/>
      <c r="N888" s="129"/>
    </row>
    <row r="889" spans="1:16" ht="16.149999999999999" customHeight="1">
      <c r="A889" s="130"/>
      <c r="B889" s="131" t="s">
        <v>2461</v>
      </c>
      <c r="C889" s="118" t="s">
        <v>1526</v>
      </c>
      <c r="D889" s="118">
        <v>12</v>
      </c>
      <c r="E889" s="110" t="s">
        <v>456</v>
      </c>
      <c r="F889" s="118" t="s">
        <v>972</v>
      </c>
      <c r="G889" s="110"/>
      <c r="H889" s="123">
        <f>중기기준!$G$35</f>
        <v>1114.9000000000001</v>
      </c>
      <c r="I889" s="110" t="s">
        <v>975</v>
      </c>
      <c r="J889" s="110"/>
      <c r="K889" s="110"/>
      <c r="L889" s="118" t="s">
        <v>1582</v>
      </c>
      <c r="M889" s="112">
        <f>TRUNC(D889*H889,2)</f>
        <v>13378.8</v>
      </c>
      <c r="N889" s="113" t="s">
        <v>975</v>
      </c>
    </row>
    <row r="890" spans="1:16" ht="16.149999999999999" customHeight="1">
      <c r="A890" s="130"/>
      <c r="B890" s="109" t="s">
        <v>1556</v>
      </c>
      <c r="C890" s="118" t="s">
        <v>1526</v>
      </c>
      <c r="D890" s="145">
        <v>0.2</v>
      </c>
      <c r="E890" s="110"/>
      <c r="F890" s="118" t="s">
        <v>972</v>
      </c>
      <c r="G890" s="110"/>
      <c r="H890" s="123">
        <f>M889</f>
        <v>13378.8</v>
      </c>
      <c r="I890" s="110" t="s">
        <v>975</v>
      </c>
      <c r="J890" s="110"/>
      <c r="K890" s="110"/>
      <c r="L890" s="118" t="s">
        <v>1582</v>
      </c>
      <c r="M890" s="112">
        <f>TRUNC((D890*H890),2)</f>
        <v>2675.76</v>
      </c>
      <c r="N890" s="113" t="s">
        <v>975</v>
      </c>
    </row>
    <row r="891" spans="1:16" ht="16.149999999999999" customHeight="1">
      <c r="A891" s="130"/>
      <c r="B891" s="109"/>
      <c r="C891" s="110"/>
      <c r="D891" s="110"/>
      <c r="E891" s="110"/>
      <c r="F891" s="110"/>
      <c r="G891" s="110"/>
      <c r="H891" s="111"/>
      <c r="I891" s="110"/>
      <c r="J891" s="110"/>
      <c r="K891" s="118" t="s">
        <v>1164</v>
      </c>
      <c r="L891" s="118" t="s">
        <v>1582</v>
      </c>
      <c r="M891" s="112">
        <f>TRUNC(SUM(M889:M890))</f>
        <v>16054</v>
      </c>
      <c r="N891" s="113" t="s">
        <v>975</v>
      </c>
    </row>
    <row r="892" spans="1:16" ht="18.600000000000001" customHeight="1">
      <c r="A892" s="135"/>
      <c r="B892" s="136"/>
      <c r="C892" s="138"/>
      <c r="D892" s="138"/>
      <c r="E892" s="138"/>
      <c r="F892" s="138"/>
      <c r="G892" s="138"/>
      <c r="H892" s="139"/>
      <c r="I892" s="138"/>
      <c r="J892" s="138"/>
      <c r="K892" s="137"/>
      <c r="L892" s="137"/>
      <c r="M892" s="140"/>
      <c r="N892" s="141"/>
      <c r="O892" s="114" t="s">
        <v>3682</v>
      </c>
    </row>
    <row r="893" spans="1:16" s="152" customFormat="1" ht="16.149999999999999" customHeight="1">
      <c r="A893" s="146"/>
      <c r="B893" s="147"/>
      <c r="C893" s="148"/>
      <c r="D893" s="148"/>
      <c r="E893" s="148"/>
      <c r="F893" s="148"/>
      <c r="G893" s="148"/>
      <c r="H893" s="149"/>
      <c r="I893" s="148"/>
      <c r="J893" s="148"/>
      <c r="K893" s="148" t="s">
        <v>1118</v>
      </c>
      <c r="L893" s="148" t="s">
        <v>1582</v>
      </c>
      <c r="M893" s="150">
        <f>M879+M885+M891</f>
        <v>107738</v>
      </c>
      <c r="N893" s="151"/>
    </row>
    <row r="894" spans="1:16" ht="16.149999999999999" customHeight="1">
      <c r="A894" s="155"/>
      <c r="B894" s="136"/>
      <c r="C894" s="155"/>
      <c r="D894" s="155"/>
      <c r="E894" s="155"/>
      <c r="F894" s="155"/>
      <c r="G894" s="155"/>
      <c r="H894" s="156"/>
      <c r="I894" s="155"/>
      <c r="J894" s="155"/>
      <c r="K894" s="155"/>
      <c r="L894" s="155"/>
      <c r="M894" s="140"/>
      <c r="N894" s="137"/>
      <c r="P894" s="107"/>
    </row>
    <row r="895" spans="1:16" s="107" customFormat="1" ht="16.149999999999999" customHeight="1">
      <c r="A895" s="451">
        <f>A876+1</f>
        <v>48</v>
      </c>
      <c r="B895" s="99" t="s">
        <v>1100</v>
      </c>
      <c r="C895" s="100" t="s">
        <v>1526</v>
      </c>
      <c r="D895" s="101" t="s">
        <v>2436</v>
      </c>
      <c r="E895" s="102"/>
      <c r="F895" s="102"/>
      <c r="G895" s="100"/>
      <c r="H895" s="103" t="s">
        <v>1527</v>
      </c>
      <c r="I895" s="100" t="s">
        <v>1526</v>
      </c>
      <c r="J895" s="102" t="s">
        <v>1132</v>
      </c>
      <c r="K895" s="104" t="s">
        <v>847</v>
      </c>
      <c r="L895" s="100" t="s">
        <v>1526</v>
      </c>
      <c r="M895" s="105" t="s">
        <v>1133</v>
      </c>
      <c r="N895" s="106"/>
      <c r="P895" s="114"/>
    </row>
    <row r="896" spans="1:16" ht="16.149999999999999" customHeight="1">
      <c r="A896" s="108"/>
      <c r="B896" s="109" t="s">
        <v>588</v>
      </c>
      <c r="C896" s="110" t="s">
        <v>1582</v>
      </c>
      <c r="D896" s="110" t="s">
        <v>589</v>
      </c>
      <c r="E896" s="110" t="s">
        <v>86</v>
      </c>
      <c r="F896" s="110" t="s">
        <v>590</v>
      </c>
      <c r="G896" s="110" t="s">
        <v>86</v>
      </c>
      <c r="H896" s="111" t="s">
        <v>2973</v>
      </c>
      <c r="I896" s="110"/>
      <c r="J896" s="110"/>
      <c r="K896" s="110"/>
      <c r="L896" s="110"/>
      <c r="M896" s="112"/>
      <c r="N896" s="113"/>
    </row>
    <row r="897" spans="1:16" ht="16.149999999999999" customHeight="1">
      <c r="A897" s="108"/>
      <c r="B897" s="109"/>
      <c r="C897" s="110"/>
      <c r="D897" s="110"/>
      <c r="E897" s="110"/>
      <c r="F897" s="110"/>
      <c r="G897" s="110"/>
      <c r="H897" s="111"/>
      <c r="I897" s="110"/>
      <c r="J897" s="792"/>
      <c r="K897" s="792"/>
      <c r="L897" s="110"/>
      <c r="M897" s="112"/>
      <c r="N897" s="113"/>
    </row>
    <row r="898" spans="1:16" ht="16.149999999999999" customHeight="1">
      <c r="A898" s="115"/>
      <c r="F898" s="117"/>
      <c r="G898" s="118"/>
      <c r="H898" s="119">
        <f>기계경비산출표!$E$152*1000</f>
        <v>429339000</v>
      </c>
      <c r="I898" s="110" t="s">
        <v>972</v>
      </c>
      <c r="J898" s="120">
        <v>1604</v>
      </c>
      <c r="K898" s="118" t="s">
        <v>2974</v>
      </c>
      <c r="L898" s="121" t="s">
        <v>1582</v>
      </c>
      <c r="M898" s="112">
        <f>TRUNC(H898*J898*(10^-7))</f>
        <v>68865</v>
      </c>
      <c r="N898" s="113" t="s">
        <v>975</v>
      </c>
    </row>
    <row r="899" spans="1:16" ht="16.149999999999999" customHeight="1">
      <c r="A899" s="115"/>
      <c r="B899" s="122"/>
      <c r="C899" s="118"/>
      <c r="D899" s="33"/>
      <c r="E899" s="110"/>
      <c r="F899" s="118"/>
      <c r="G899" s="118"/>
      <c r="H899" s="123"/>
      <c r="I899" s="118"/>
      <c r="J899" s="110"/>
      <c r="K899" s="110"/>
      <c r="L899" s="110"/>
      <c r="M899" s="112"/>
      <c r="N899" s="113"/>
    </row>
    <row r="900" spans="1:16" ht="16.149999999999999" customHeight="1">
      <c r="A900" s="124"/>
      <c r="B900" s="125" t="s">
        <v>1115</v>
      </c>
      <c r="C900" s="126"/>
      <c r="D900" s="269">
        <f>SUMIF('노임(2015)'!$B$4:$B$87,B900,'노임(2015)'!$C$4:$C$87)+SUMIF('노임(2015)'!$E$4:$E$87,B900,'노임(2015)'!$F$4:$F$87)</f>
        <v>0</v>
      </c>
      <c r="E900" s="126"/>
      <c r="F900" s="126"/>
      <c r="G900" s="126"/>
      <c r="H900" s="127"/>
      <c r="I900" s="126"/>
      <c r="J900" s="126"/>
      <c r="K900" s="126"/>
      <c r="L900" s="126"/>
      <c r="M900" s="128"/>
      <c r="N900" s="129"/>
    </row>
    <row r="901" spans="1:16" ht="16.149999999999999" customHeight="1">
      <c r="A901" s="130"/>
      <c r="B901" s="131" t="s">
        <v>3185</v>
      </c>
      <c r="C901" s="118"/>
      <c r="D901" s="33">
        <f>SUMIF('노임(2015)'!$B$4:$B$87,B901,'노임(2015)'!$C$4:$C$87)+SUMIF('노임(2015)'!$E$4:$E$87,B901,'노임(2015)'!$F$4:$F$87)</f>
        <v>130411</v>
      </c>
      <c r="E901" s="110" t="s">
        <v>972</v>
      </c>
      <c r="F901" s="110" t="s">
        <v>973</v>
      </c>
      <c r="G901" s="132" t="s">
        <v>974</v>
      </c>
      <c r="H901" s="111"/>
      <c r="I901" s="110"/>
      <c r="J901" s="110"/>
      <c r="K901" s="133">
        <v>1</v>
      </c>
      <c r="L901" s="118" t="s">
        <v>1582</v>
      </c>
      <c r="M901" s="112">
        <f>TRUNC(D901*(1/8)*(16/12)*(25/20)*K901)</f>
        <v>27168</v>
      </c>
      <c r="N901" s="113" t="s">
        <v>975</v>
      </c>
    </row>
    <row r="902" spans="1:16" ht="16.149999999999999" customHeight="1">
      <c r="A902" s="130"/>
      <c r="B902" s="109"/>
      <c r="C902" s="118"/>
      <c r="D902" s="33"/>
      <c r="E902" s="110"/>
      <c r="F902" s="110"/>
      <c r="G902" s="132"/>
      <c r="H902" s="111"/>
      <c r="I902" s="110"/>
      <c r="J902" s="110"/>
      <c r="K902" s="134"/>
      <c r="L902" s="118"/>
      <c r="M902" s="112"/>
      <c r="N902" s="113"/>
    </row>
    <row r="903" spans="1:16" ht="18.600000000000001" customHeight="1">
      <c r="A903" s="130"/>
      <c r="B903" s="109"/>
      <c r="C903" s="118"/>
      <c r="D903" s="33"/>
      <c r="E903" s="110"/>
      <c r="F903" s="110"/>
      <c r="G903" s="132"/>
      <c r="H903" s="111"/>
      <c r="I903" s="110"/>
      <c r="J903" s="110"/>
      <c r="K903" s="134"/>
      <c r="L903" s="118"/>
      <c r="M903" s="112"/>
      <c r="N903" s="113"/>
      <c r="O903" s="114" t="s">
        <v>3682</v>
      </c>
    </row>
    <row r="904" spans="1:16" ht="16.149999999999999" customHeight="1">
      <c r="A904" s="130"/>
      <c r="B904" s="109"/>
      <c r="C904" s="118"/>
      <c r="D904" s="110"/>
      <c r="E904" s="110"/>
      <c r="F904" s="110"/>
      <c r="G904" s="110"/>
      <c r="H904" s="111"/>
      <c r="I904" s="791"/>
      <c r="J904" s="791"/>
      <c r="K904" s="118" t="s">
        <v>1164</v>
      </c>
      <c r="L904" s="118" t="s">
        <v>1582</v>
      </c>
      <c r="M904" s="112">
        <f>(M901+M902+M903)</f>
        <v>27168</v>
      </c>
      <c r="N904" s="113" t="s">
        <v>975</v>
      </c>
      <c r="O904" s="114" t="s">
        <v>1115</v>
      </c>
    </row>
    <row r="905" spans="1:16" ht="18.600000000000001" customHeight="1">
      <c r="A905" s="130"/>
      <c r="B905" s="109"/>
      <c r="C905" s="118"/>
      <c r="D905" s="110"/>
      <c r="E905" s="110"/>
      <c r="F905" s="110"/>
      <c r="G905" s="110"/>
      <c r="H905" s="111"/>
      <c r="I905" s="118"/>
      <c r="J905" s="118"/>
      <c r="K905" s="118"/>
      <c r="L905" s="118"/>
      <c r="M905" s="112"/>
      <c r="N905" s="113"/>
      <c r="O905" s="114" t="s">
        <v>3682</v>
      </c>
    </row>
    <row r="906" spans="1:16" ht="18.600000000000001" customHeight="1">
      <c r="A906" s="135"/>
      <c r="B906" s="136"/>
      <c r="C906" s="137"/>
      <c r="D906" s="138"/>
      <c r="E906" s="138"/>
      <c r="F906" s="138"/>
      <c r="G906" s="138"/>
      <c r="H906" s="139"/>
      <c r="I906" s="137"/>
      <c r="J906" s="137"/>
      <c r="K906" s="137"/>
      <c r="L906" s="137"/>
      <c r="M906" s="140"/>
      <c r="N906" s="141"/>
      <c r="O906" s="114" t="s">
        <v>3682</v>
      </c>
    </row>
    <row r="907" spans="1:16" ht="16.149999999999999" customHeight="1">
      <c r="A907" s="124"/>
      <c r="B907" s="125" t="s">
        <v>1116</v>
      </c>
      <c r="C907" s="142"/>
      <c r="D907" s="126"/>
      <c r="E907" s="126"/>
      <c r="F907" s="126"/>
      <c r="G907" s="126"/>
      <c r="H907" s="127"/>
      <c r="I907" s="126"/>
      <c r="J907" s="126"/>
      <c r="K907" s="126"/>
      <c r="L907" s="126"/>
      <c r="M907" s="128"/>
      <c r="N907" s="129"/>
    </row>
    <row r="908" spans="1:16" ht="16.149999999999999" customHeight="1">
      <c r="A908" s="130"/>
      <c r="B908" s="131" t="s">
        <v>2461</v>
      </c>
      <c r="C908" s="118" t="s">
        <v>1526</v>
      </c>
      <c r="D908" s="118">
        <v>17.2</v>
      </c>
      <c r="E908" s="110" t="s">
        <v>456</v>
      </c>
      <c r="F908" s="118" t="s">
        <v>972</v>
      </c>
      <c r="G908" s="110"/>
      <c r="H908" s="123">
        <f>중기기준!$G$35</f>
        <v>1114.9000000000001</v>
      </c>
      <c r="I908" s="110" t="s">
        <v>975</v>
      </c>
      <c r="J908" s="110"/>
      <c r="K908" s="110"/>
      <c r="L908" s="118" t="s">
        <v>1582</v>
      </c>
      <c r="M908" s="112">
        <f>TRUNC(D908*H908,2)</f>
        <v>19176.28</v>
      </c>
      <c r="N908" s="113" t="s">
        <v>975</v>
      </c>
    </row>
    <row r="909" spans="1:16" ht="16.149999999999999" customHeight="1">
      <c r="A909" s="130"/>
      <c r="B909" s="109" t="s">
        <v>1556</v>
      </c>
      <c r="C909" s="118" t="s">
        <v>1526</v>
      </c>
      <c r="D909" s="145">
        <v>0.2</v>
      </c>
      <c r="E909" s="110"/>
      <c r="F909" s="118" t="s">
        <v>972</v>
      </c>
      <c r="G909" s="110"/>
      <c r="H909" s="123">
        <f>M908</f>
        <v>19176.28</v>
      </c>
      <c r="I909" s="110" t="s">
        <v>975</v>
      </c>
      <c r="J909" s="110"/>
      <c r="K909" s="110"/>
      <c r="L909" s="118" t="s">
        <v>1582</v>
      </c>
      <c r="M909" s="112">
        <f>TRUNC((D909*H909),2)</f>
        <v>3835.25</v>
      </c>
      <c r="N909" s="113" t="s">
        <v>975</v>
      </c>
    </row>
    <row r="910" spans="1:16" ht="16.149999999999999" customHeight="1">
      <c r="A910" s="130"/>
      <c r="B910" s="109"/>
      <c r="C910" s="110"/>
      <c r="D910" s="110"/>
      <c r="E910" s="110"/>
      <c r="F910" s="110"/>
      <c r="G910" s="110"/>
      <c r="H910" s="111"/>
      <c r="I910" s="110"/>
      <c r="J910" s="110"/>
      <c r="K910" s="118" t="s">
        <v>1164</v>
      </c>
      <c r="L910" s="118" t="s">
        <v>1582</v>
      </c>
      <c r="M910" s="112">
        <f>TRUNC(SUM(M908:M909))</f>
        <v>23011</v>
      </c>
      <c r="N910" s="113" t="s">
        <v>975</v>
      </c>
    </row>
    <row r="911" spans="1:16" ht="18.600000000000001" customHeight="1">
      <c r="A911" s="135"/>
      <c r="B911" s="136"/>
      <c r="C911" s="138"/>
      <c r="D911" s="138"/>
      <c r="E911" s="138"/>
      <c r="F911" s="138"/>
      <c r="G911" s="138"/>
      <c r="H911" s="139"/>
      <c r="I911" s="138"/>
      <c r="J911" s="138"/>
      <c r="K911" s="137"/>
      <c r="L911" s="137"/>
      <c r="M911" s="140"/>
      <c r="N911" s="141"/>
      <c r="O911" s="114" t="s">
        <v>3682</v>
      </c>
      <c r="P911" s="152"/>
    </row>
    <row r="912" spans="1:16" s="152" customFormat="1" ht="16.149999999999999" customHeight="1">
      <c r="A912" s="146"/>
      <c r="B912" s="147"/>
      <c r="C912" s="148"/>
      <c r="D912" s="148"/>
      <c r="E912" s="148"/>
      <c r="F912" s="148"/>
      <c r="G912" s="148"/>
      <c r="H912" s="149"/>
      <c r="I912" s="148"/>
      <c r="J912" s="148"/>
      <c r="K912" s="148" t="s">
        <v>1118</v>
      </c>
      <c r="L912" s="148" t="s">
        <v>1582</v>
      </c>
      <c r="M912" s="150">
        <f>M898+M904+M910</f>
        <v>119044</v>
      </c>
      <c r="N912" s="151"/>
      <c r="P912" s="114"/>
    </row>
    <row r="913" spans="1:16" s="152" customFormat="1" ht="16.149999999999999" customHeight="1">
      <c r="A913" s="169"/>
      <c r="B913" s="163"/>
      <c r="C913" s="169"/>
      <c r="D913" s="169"/>
      <c r="E913" s="169"/>
      <c r="F913" s="169"/>
      <c r="G913" s="169"/>
      <c r="H913" s="170"/>
      <c r="I913" s="169"/>
      <c r="J913" s="169"/>
      <c r="K913" s="169"/>
      <c r="L913" s="169"/>
      <c r="M913" s="166"/>
      <c r="N913" s="165"/>
      <c r="O913" s="114"/>
      <c r="P913" s="114"/>
    </row>
    <row r="914" spans="1:16" s="107" customFormat="1" ht="16.149999999999999" customHeight="1">
      <c r="A914" s="451">
        <f>A895+1</f>
        <v>49</v>
      </c>
      <c r="B914" s="99" t="s">
        <v>1100</v>
      </c>
      <c r="C914" s="100" t="s">
        <v>1526</v>
      </c>
      <c r="D914" s="101" t="s">
        <v>2436</v>
      </c>
      <c r="E914" s="102"/>
      <c r="F914" s="102"/>
      <c r="G914" s="100"/>
      <c r="H914" s="103" t="s">
        <v>1527</v>
      </c>
      <c r="I914" s="100" t="s">
        <v>1526</v>
      </c>
      <c r="J914" s="102" t="s">
        <v>1134</v>
      </c>
      <c r="K914" s="104" t="s">
        <v>847</v>
      </c>
      <c r="L914" s="100" t="s">
        <v>1526</v>
      </c>
      <c r="M914" s="105" t="s">
        <v>1135</v>
      </c>
      <c r="N914" s="106"/>
    </row>
    <row r="915" spans="1:16" ht="16.149999999999999" customHeight="1">
      <c r="A915" s="108"/>
      <c r="B915" s="109" t="s">
        <v>588</v>
      </c>
      <c r="C915" s="110" t="s">
        <v>1582</v>
      </c>
      <c r="D915" s="110" t="s">
        <v>589</v>
      </c>
      <c r="E915" s="110" t="s">
        <v>86</v>
      </c>
      <c r="F915" s="110" t="s">
        <v>590</v>
      </c>
      <c r="G915" s="110" t="s">
        <v>86</v>
      </c>
      <c r="H915" s="111" t="s">
        <v>2973</v>
      </c>
      <c r="I915" s="110"/>
      <c r="J915" s="110"/>
      <c r="K915" s="110"/>
      <c r="L915" s="110"/>
      <c r="M915" s="112"/>
      <c r="N915" s="113"/>
    </row>
    <row r="916" spans="1:16" ht="16.149999999999999" customHeight="1">
      <c r="A916" s="108"/>
      <c r="B916" s="109"/>
      <c r="C916" s="110"/>
      <c r="D916" s="110"/>
      <c r="E916" s="110"/>
      <c r="F916" s="110"/>
      <c r="G916" s="110"/>
      <c r="H916" s="111"/>
      <c r="I916" s="110"/>
      <c r="J916" s="792"/>
      <c r="K916" s="792"/>
      <c r="L916" s="110"/>
      <c r="M916" s="112"/>
      <c r="N916" s="113"/>
    </row>
    <row r="917" spans="1:16" ht="16.149999999999999" customHeight="1">
      <c r="A917" s="115"/>
      <c r="F917" s="117"/>
      <c r="G917" s="118"/>
      <c r="H917" s="119">
        <f>기계경비산출표!$E$153*1000</f>
        <v>579281000</v>
      </c>
      <c r="I917" s="110" t="s">
        <v>972</v>
      </c>
      <c r="J917" s="120">
        <v>1604</v>
      </c>
      <c r="K917" s="118" t="s">
        <v>2974</v>
      </c>
      <c r="L917" s="121" t="s">
        <v>1582</v>
      </c>
      <c r="M917" s="112">
        <f>TRUNC(H917*J917*(10^-7))</f>
        <v>92916</v>
      </c>
      <c r="N917" s="113" t="s">
        <v>975</v>
      </c>
    </row>
    <row r="918" spans="1:16" ht="16.149999999999999" customHeight="1">
      <c r="A918" s="115"/>
      <c r="B918" s="122"/>
      <c r="C918" s="118"/>
      <c r="D918" s="33"/>
      <c r="E918" s="110"/>
      <c r="F918" s="118"/>
      <c r="G918" s="118"/>
      <c r="H918" s="123"/>
      <c r="I918" s="118"/>
      <c r="J918" s="110"/>
      <c r="K918" s="110"/>
      <c r="L918" s="110"/>
      <c r="M918" s="112"/>
      <c r="N918" s="113"/>
    </row>
    <row r="919" spans="1:16" ht="16.149999999999999" customHeight="1">
      <c r="A919" s="124"/>
      <c r="B919" s="125" t="s">
        <v>1115</v>
      </c>
      <c r="C919" s="126"/>
      <c r="D919" s="126"/>
      <c r="E919" s="126"/>
      <c r="F919" s="126"/>
      <c r="G919" s="126"/>
      <c r="H919" s="127"/>
      <c r="I919" s="126"/>
      <c r="J919" s="126"/>
      <c r="K919" s="126"/>
      <c r="L919" s="126"/>
      <c r="M919" s="128"/>
      <c r="N919" s="129"/>
    </row>
    <row r="920" spans="1:16" ht="16.149999999999999" customHeight="1">
      <c r="A920" s="130"/>
      <c r="B920" s="131" t="s">
        <v>3185</v>
      </c>
      <c r="C920" s="118"/>
      <c r="D920" s="33">
        <f>SUMIF('노임(2015)'!$B$4:$B$87,B920,'노임(2015)'!$C$4:$C$87)+SUMIF('노임(2015)'!$E$4:$E$87,B920,'노임(2015)'!$F$4:$F$87)</f>
        <v>130411</v>
      </c>
      <c r="E920" s="110" t="s">
        <v>972</v>
      </c>
      <c r="F920" s="110" t="s">
        <v>973</v>
      </c>
      <c r="G920" s="132" t="s">
        <v>974</v>
      </c>
      <c r="H920" s="111"/>
      <c r="I920" s="110"/>
      <c r="J920" s="110"/>
      <c r="K920" s="133">
        <v>1</v>
      </c>
      <c r="L920" s="118" t="s">
        <v>1582</v>
      </c>
      <c r="M920" s="112">
        <f>TRUNC(D920*(1/8)*(16/12)*(25/20)*K920)</f>
        <v>27168</v>
      </c>
      <c r="N920" s="113" t="s">
        <v>975</v>
      </c>
    </row>
    <row r="921" spans="1:16" ht="16.149999999999999" customHeight="1">
      <c r="A921" s="130"/>
      <c r="B921" s="109"/>
      <c r="C921" s="118"/>
      <c r="D921" s="33"/>
      <c r="E921" s="110"/>
      <c r="F921" s="110"/>
      <c r="G921" s="132"/>
      <c r="H921" s="111"/>
      <c r="I921" s="110"/>
      <c r="J921" s="110"/>
      <c r="K921" s="134"/>
      <c r="L921" s="118"/>
      <c r="M921" s="112"/>
      <c r="N921" s="113"/>
    </row>
    <row r="922" spans="1:16" ht="18.600000000000001" customHeight="1">
      <c r="A922" s="130"/>
      <c r="B922" s="109"/>
      <c r="C922" s="118"/>
      <c r="D922" s="33"/>
      <c r="E922" s="110"/>
      <c r="F922" s="110"/>
      <c r="G922" s="132"/>
      <c r="H922" s="111"/>
      <c r="I922" s="110"/>
      <c r="J922" s="110"/>
      <c r="K922" s="134"/>
      <c r="L922" s="118"/>
      <c r="M922" s="112"/>
      <c r="N922" s="113"/>
      <c r="O922" s="114" t="s">
        <v>3682</v>
      </c>
    </row>
    <row r="923" spans="1:16" ht="16.149999999999999" customHeight="1">
      <c r="A923" s="130"/>
      <c r="B923" s="109"/>
      <c r="C923" s="118"/>
      <c r="D923" s="110"/>
      <c r="E923" s="110"/>
      <c r="F923" s="110"/>
      <c r="G923" s="110"/>
      <c r="H923" s="111"/>
      <c r="I923" s="791"/>
      <c r="J923" s="791"/>
      <c r="K923" s="118" t="s">
        <v>1164</v>
      </c>
      <c r="L923" s="118" t="s">
        <v>1582</v>
      </c>
      <c r="M923" s="112">
        <f>(M920+M921+M922)</f>
        <v>27168</v>
      </c>
      <c r="N923" s="113" t="s">
        <v>975</v>
      </c>
      <c r="O923" s="114" t="s">
        <v>1115</v>
      </c>
    </row>
    <row r="924" spans="1:16" ht="18.600000000000001" customHeight="1">
      <c r="A924" s="130"/>
      <c r="B924" s="109"/>
      <c r="C924" s="118"/>
      <c r="D924" s="110"/>
      <c r="E924" s="110"/>
      <c r="F924" s="110"/>
      <c r="G924" s="110"/>
      <c r="H924" s="111"/>
      <c r="I924" s="118"/>
      <c r="J924" s="118"/>
      <c r="K924" s="118"/>
      <c r="L924" s="118"/>
      <c r="M924" s="112"/>
      <c r="N924" s="113"/>
      <c r="O924" s="114" t="s">
        <v>3682</v>
      </c>
    </row>
    <row r="925" spans="1:16" ht="18.600000000000001" customHeight="1">
      <c r="A925" s="135"/>
      <c r="B925" s="136"/>
      <c r="C925" s="137"/>
      <c r="D925" s="138"/>
      <c r="E925" s="138"/>
      <c r="F925" s="138"/>
      <c r="G925" s="138"/>
      <c r="H925" s="139"/>
      <c r="I925" s="137"/>
      <c r="J925" s="137"/>
      <c r="K925" s="137"/>
      <c r="L925" s="137"/>
      <c r="M925" s="140"/>
      <c r="N925" s="141"/>
      <c r="O925" s="114" t="s">
        <v>3682</v>
      </c>
    </row>
    <row r="926" spans="1:16" ht="16.149999999999999" customHeight="1">
      <c r="A926" s="124"/>
      <c r="B926" s="125" t="s">
        <v>1116</v>
      </c>
      <c r="C926" s="142"/>
      <c r="D926" s="126"/>
      <c r="E926" s="126"/>
      <c r="F926" s="126"/>
      <c r="G926" s="126"/>
      <c r="H926" s="127"/>
      <c r="I926" s="126"/>
      <c r="J926" s="126"/>
      <c r="K926" s="126"/>
      <c r="L926" s="126"/>
      <c r="M926" s="128"/>
      <c r="N926" s="129"/>
    </row>
    <row r="927" spans="1:16" ht="16.149999999999999" customHeight="1">
      <c r="A927" s="130"/>
      <c r="B927" s="131" t="s">
        <v>2461</v>
      </c>
      <c r="C927" s="118" t="s">
        <v>1526</v>
      </c>
      <c r="D927" s="118">
        <v>19.100000000000001</v>
      </c>
      <c r="E927" s="110" t="s">
        <v>456</v>
      </c>
      <c r="F927" s="118" t="s">
        <v>972</v>
      </c>
      <c r="G927" s="110"/>
      <c r="H927" s="123">
        <f>중기기준!$G$35</f>
        <v>1114.9000000000001</v>
      </c>
      <c r="I927" s="110" t="s">
        <v>975</v>
      </c>
      <c r="J927" s="110"/>
      <c r="K927" s="110"/>
      <c r="L927" s="118" t="s">
        <v>1582</v>
      </c>
      <c r="M927" s="112">
        <f>TRUNC(D927*H927,2)</f>
        <v>21294.59</v>
      </c>
      <c r="N927" s="113" t="s">
        <v>975</v>
      </c>
    </row>
    <row r="928" spans="1:16" ht="16.149999999999999" customHeight="1">
      <c r="A928" s="130"/>
      <c r="B928" s="109" t="s">
        <v>1556</v>
      </c>
      <c r="C928" s="118" t="s">
        <v>1526</v>
      </c>
      <c r="D928" s="145">
        <v>0.2</v>
      </c>
      <c r="E928" s="110"/>
      <c r="F928" s="118" t="s">
        <v>972</v>
      </c>
      <c r="G928" s="110"/>
      <c r="H928" s="123">
        <f>M927</f>
        <v>21294.59</v>
      </c>
      <c r="I928" s="110" t="s">
        <v>975</v>
      </c>
      <c r="J928" s="110"/>
      <c r="K928" s="110"/>
      <c r="L928" s="118" t="s">
        <v>1582</v>
      </c>
      <c r="M928" s="112">
        <f>TRUNC((D928*H928),2)</f>
        <v>4258.91</v>
      </c>
      <c r="N928" s="113" t="s">
        <v>975</v>
      </c>
    </row>
    <row r="929" spans="1:16" ht="16.149999999999999" customHeight="1">
      <c r="A929" s="130"/>
      <c r="B929" s="109"/>
      <c r="C929" s="110"/>
      <c r="D929" s="110"/>
      <c r="E929" s="110"/>
      <c r="F929" s="110"/>
      <c r="G929" s="110"/>
      <c r="H929" s="111"/>
      <c r="I929" s="110"/>
      <c r="J929" s="110"/>
      <c r="K929" s="118" t="s">
        <v>1164</v>
      </c>
      <c r="L929" s="118" t="s">
        <v>1582</v>
      </c>
      <c r="M929" s="112">
        <f>TRUNC(SUM(M927:M928))</f>
        <v>25553</v>
      </c>
      <c r="N929" s="113" t="s">
        <v>975</v>
      </c>
    </row>
    <row r="930" spans="1:16" ht="18.600000000000001" customHeight="1">
      <c r="A930" s="135"/>
      <c r="B930" s="136"/>
      <c r="C930" s="138"/>
      <c r="D930" s="138"/>
      <c r="E930" s="138"/>
      <c r="F930" s="138"/>
      <c r="G930" s="138"/>
      <c r="H930" s="139"/>
      <c r="I930" s="138"/>
      <c r="J930" s="138"/>
      <c r="K930" s="137"/>
      <c r="L930" s="137"/>
      <c r="M930" s="140"/>
      <c r="N930" s="141"/>
      <c r="O930" s="114" t="s">
        <v>3682</v>
      </c>
    </row>
    <row r="931" spans="1:16" s="152" customFormat="1" ht="16.149999999999999" customHeight="1">
      <c r="A931" s="146"/>
      <c r="B931" s="147"/>
      <c r="C931" s="148"/>
      <c r="D931" s="148"/>
      <c r="E931" s="148"/>
      <c r="F931" s="148"/>
      <c r="G931" s="148"/>
      <c r="H931" s="149"/>
      <c r="I931" s="148"/>
      <c r="J931" s="148"/>
      <c r="K931" s="148" t="s">
        <v>1118</v>
      </c>
      <c r="L931" s="148" t="s">
        <v>1582</v>
      </c>
      <c r="M931" s="150">
        <f>M917+M923+M929</f>
        <v>145637</v>
      </c>
      <c r="N931" s="151"/>
    </row>
    <row r="932" spans="1:16" ht="16.149999999999999" customHeight="1">
      <c r="A932" s="153"/>
      <c r="B932" s="125"/>
      <c r="C932" s="153"/>
      <c r="D932" s="153"/>
      <c r="E932" s="153"/>
      <c r="F932" s="153"/>
      <c r="G932" s="153"/>
      <c r="H932" s="154"/>
      <c r="I932" s="153"/>
      <c r="J932" s="153"/>
      <c r="K932" s="153"/>
      <c r="L932" s="153"/>
      <c r="M932" s="128"/>
      <c r="N932" s="142"/>
    </row>
    <row r="933" spans="1:16" s="107" customFormat="1" ht="16.149999999999999" customHeight="1">
      <c r="A933" s="451">
        <f>A914+1</f>
        <v>50</v>
      </c>
      <c r="B933" s="99" t="s">
        <v>1100</v>
      </c>
      <c r="C933" s="100" t="s">
        <v>1526</v>
      </c>
      <c r="D933" s="101" t="s">
        <v>3238</v>
      </c>
      <c r="E933" s="102"/>
      <c r="F933" s="102"/>
      <c r="G933" s="100"/>
      <c r="H933" s="103" t="s">
        <v>1527</v>
      </c>
      <c r="I933" s="100" t="s">
        <v>1526</v>
      </c>
      <c r="J933" s="102" t="s">
        <v>1124</v>
      </c>
      <c r="K933" s="104" t="s">
        <v>847</v>
      </c>
      <c r="L933" s="100" t="s">
        <v>1526</v>
      </c>
      <c r="M933" s="105" t="s">
        <v>1136</v>
      </c>
      <c r="N933" s="106"/>
      <c r="P933" s="114"/>
    </row>
    <row r="934" spans="1:16" ht="16.149999999999999" customHeight="1">
      <c r="A934" s="108"/>
      <c r="B934" s="109" t="s">
        <v>588</v>
      </c>
      <c r="C934" s="110" t="s">
        <v>1582</v>
      </c>
      <c r="D934" s="110" t="s">
        <v>589</v>
      </c>
      <c r="E934" s="110" t="s">
        <v>86</v>
      </c>
      <c r="F934" s="110" t="s">
        <v>590</v>
      </c>
      <c r="G934" s="110" t="s">
        <v>86</v>
      </c>
      <c r="H934" s="111" t="s">
        <v>2973</v>
      </c>
      <c r="I934" s="110"/>
      <c r="J934" s="110"/>
      <c r="K934" s="110"/>
      <c r="L934" s="110"/>
      <c r="M934" s="112"/>
      <c r="N934" s="113"/>
    </row>
    <row r="935" spans="1:16" ht="16.149999999999999" customHeight="1">
      <c r="A935" s="108"/>
      <c r="B935" s="109"/>
      <c r="C935" s="110"/>
      <c r="D935" s="110"/>
      <c r="E935" s="110"/>
      <c r="F935" s="110"/>
      <c r="G935" s="110"/>
      <c r="H935" s="111"/>
      <c r="I935" s="110"/>
      <c r="J935" s="792"/>
      <c r="K935" s="792"/>
      <c r="L935" s="110"/>
      <c r="M935" s="112"/>
      <c r="N935" s="113"/>
    </row>
    <row r="936" spans="1:16" ht="16.149999999999999" customHeight="1">
      <c r="A936" s="115"/>
      <c r="F936" s="117"/>
      <c r="G936" s="118"/>
      <c r="H936" s="119">
        <f>기계경비산출표!$E$156*1000</f>
        <v>113600000</v>
      </c>
      <c r="I936" s="110" t="s">
        <v>972</v>
      </c>
      <c r="J936" s="120">
        <v>2232</v>
      </c>
      <c r="K936" s="118" t="s">
        <v>2974</v>
      </c>
      <c r="L936" s="121" t="s">
        <v>1582</v>
      </c>
      <c r="M936" s="112">
        <f>TRUNC(H936*J936*(10^-7))</f>
        <v>25355</v>
      </c>
      <c r="N936" s="113" t="s">
        <v>975</v>
      </c>
    </row>
    <row r="937" spans="1:16" ht="16.149999999999999" customHeight="1">
      <c r="A937" s="115"/>
      <c r="B937" s="122"/>
      <c r="C937" s="118"/>
      <c r="D937" s="33"/>
      <c r="E937" s="110"/>
      <c r="F937" s="118"/>
      <c r="G937" s="118"/>
      <c r="H937" s="123"/>
      <c r="I937" s="118"/>
      <c r="J937" s="110"/>
      <c r="K937" s="110"/>
      <c r="L937" s="110"/>
      <c r="M937" s="112"/>
      <c r="N937" s="113"/>
    </row>
    <row r="938" spans="1:16" ht="16.149999999999999" customHeight="1">
      <c r="A938" s="124"/>
      <c r="B938" s="125" t="s">
        <v>1115</v>
      </c>
      <c r="C938" s="126"/>
      <c r="D938" s="269">
        <f>SUMIF('노임(2015)'!$B$4:$B$87,B938,'노임(2015)'!$C$4:$C$87)+SUMIF('노임(2015)'!$E$4:$E$87,B938,'노임(2015)'!$F$4:$F$87)</f>
        <v>0</v>
      </c>
      <c r="E938" s="126"/>
      <c r="F938" s="126"/>
      <c r="G938" s="126"/>
      <c r="H938" s="127"/>
      <c r="I938" s="126"/>
      <c r="J938" s="126"/>
      <c r="K938" s="126"/>
      <c r="L938" s="126"/>
      <c r="M938" s="128"/>
      <c r="N938" s="129"/>
    </row>
    <row r="939" spans="1:16" ht="16.149999999999999" customHeight="1">
      <c r="A939" s="130"/>
      <c r="B939" s="131" t="s">
        <v>3185</v>
      </c>
      <c r="C939" s="118"/>
      <c r="D939" s="33">
        <f>SUMIF('노임(2015)'!$B$4:$B$87,B939,'노임(2015)'!$C$4:$C$87)+SUMIF('노임(2015)'!$E$4:$E$87,B939,'노임(2015)'!$F$4:$F$87)</f>
        <v>130411</v>
      </c>
      <c r="E939" s="110" t="s">
        <v>972</v>
      </c>
      <c r="F939" s="110" t="s">
        <v>973</v>
      </c>
      <c r="G939" s="132" t="s">
        <v>974</v>
      </c>
      <c r="H939" s="111"/>
      <c r="I939" s="110"/>
      <c r="J939" s="110"/>
      <c r="K939" s="133">
        <v>1</v>
      </c>
      <c r="L939" s="118" t="s">
        <v>1582</v>
      </c>
      <c r="M939" s="112">
        <f>TRUNC(D939*(1/8)*(16/12)*(25/20)*K939)</f>
        <v>27168</v>
      </c>
      <c r="N939" s="113" t="s">
        <v>975</v>
      </c>
    </row>
    <row r="940" spans="1:16" ht="16.149999999999999" customHeight="1">
      <c r="A940" s="130"/>
      <c r="B940" s="109"/>
      <c r="C940" s="118"/>
      <c r="D940" s="33"/>
      <c r="E940" s="110"/>
      <c r="F940" s="110"/>
      <c r="G940" s="132"/>
      <c r="H940" s="111"/>
      <c r="I940" s="110"/>
      <c r="J940" s="110"/>
      <c r="K940" s="134"/>
      <c r="L940" s="118"/>
      <c r="M940" s="112"/>
      <c r="N940" s="113"/>
    </row>
    <row r="941" spans="1:16" ht="18.600000000000001" customHeight="1">
      <c r="A941" s="130"/>
      <c r="B941" s="109"/>
      <c r="C941" s="118"/>
      <c r="D941" s="33"/>
      <c r="E941" s="110"/>
      <c r="F941" s="110"/>
      <c r="G941" s="132"/>
      <c r="H941" s="111"/>
      <c r="I941" s="110"/>
      <c r="J941" s="110"/>
      <c r="K941" s="134"/>
      <c r="L941" s="118"/>
      <c r="M941" s="112"/>
      <c r="N941" s="113"/>
      <c r="O941" s="114" t="s">
        <v>3682</v>
      </c>
    </row>
    <row r="942" spans="1:16" ht="16.149999999999999" customHeight="1">
      <c r="A942" s="130"/>
      <c r="B942" s="109"/>
      <c r="C942" s="118"/>
      <c r="D942" s="110"/>
      <c r="E942" s="110"/>
      <c r="F942" s="110"/>
      <c r="G942" s="110"/>
      <c r="H942" s="111"/>
      <c r="I942" s="791"/>
      <c r="J942" s="791"/>
      <c r="K942" s="118" t="s">
        <v>1164</v>
      </c>
      <c r="L942" s="118" t="s">
        <v>1582</v>
      </c>
      <c r="M942" s="112">
        <f>(M939+M940+M941)</f>
        <v>27168</v>
      </c>
      <c r="N942" s="113" t="s">
        <v>975</v>
      </c>
      <c r="O942" s="114" t="s">
        <v>1115</v>
      </c>
    </row>
    <row r="943" spans="1:16" ht="18.600000000000001" customHeight="1">
      <c r="A943" s="130"/>
      <c r="B943" s="109"/>
      <c r="C943" s="118"/>
      <c r="D943" s="110"/>
      <c r="E943" s="110"/>
      <c r="F943" s="110"/>
      <c r="G943" s="110"/>
      <c r="H943" s="111"/>
      <c r="I943" s="118"/>
      <c r="J943" s="118"/>
      <c r="K943" s="118"/>
      <c r="L943" s="118"/>
      <c r="M943" s="112"/>
      <c r="N943" s="113"/>
      <c r="O943" s="114" t="s">
        <v>3682</v>
      </c>
    </row>
    <row r="944" spans="1:16" ht="18.600000000000001" customHeight="1">
      <c r="A944" s="135"/>
      <c r="B944" s="136"/>
      <c r="C944" s="137"/>
      <c r="D944" s="138"/>
      <c r="E944" s="138"/>
      <c r="F944" s="138"/>
      <c r="G944" s="138"/>
      <c r="H944" s="139"/>
      <c r="I944" s="137"/>
      <c r="J944" s="137"/>
      <c r="K944" s="137"/>
      <c r="L944" s="137"/>
      <c r="M944" s="140"/>
      <c r="N944" s="141"/>
      <c r="O944" s="114" t="s">
        <v>3682</v>
      </c>
    </row>
    <row r="945" spans="1:16" ht="16.149999999999999" customHeight="1">
      <c r="A945" s="124"/>
      <c r="B945" s="125" t="s">
        <v>1116</v>
      </c>
      <c r="C945" s="142"/>
      <c r="D945" s="126"/>
      <c r="E945" s="126"/>
      <c r="F945" s="126"/>
      <c r="G945" s="126"/>
      <c r="H945" s="127"/>
      <c r="I945" s="126"/>
      <c r="J945" s="126"/>
      <c r="K945" s="126"/>
      <c r="L945" s="126"/>
      <c r="M945" s="128"/>
      <c r="N945" s="129"/>
    </row>
    <row r="946" spans="1:16" ht="16.149999999999999" customHeight="1">
      <c r="A946" s="130"/>
      <c r="B946" s="131" t="s">
        <v>2461</v>
      </c>
      <c r="C946" s="118" t="s">
        <v>1526</v>
      </c>
      <c r="D946" s="118">
        <v>3.8</v>
      </c>
      <c r="E946" s="110" t="s">
        <v>456</v>
      </c>
      <c r="F946" s="118" t="s">
        <v>972</v>
      </c>
      <c r="G946" s="110"/>
      <c r="H946" s="123">
        <f>중기기준!$G$35</f>
        <v>1114.9000000000001</v>
      </c>
      <c r="I946" s="110" t="s">
        <v>975</v>
      </c>
      <c r="J946" s="110"/>
      <c r="K946" s="110"/>
      <c r="L946" s="118" t="s">
        <v>1582</v>
      </c>
      <c r="M946" s="112">
        <f>TRUNC(D946*H946,2)</f>
        <v>4236.62</v>
      </c>
      <c r="N946" s="113" t="s">
        <v>975</v>
      </c>
    </row>
    <row r="947" spans="1:16" ht="16.149999999999999" customHeight="1">
      <c r="A947" s="130"/>
      <c r="B947" s="109" t="s">
        <v>1556</v>
      </c>
      <c r="C947" s="118" t="s">
        <v>1526</v>
      </c>
      <c r="D947" s="145">
        <v>0.39</v>
      </c>
      <c r="E947" s="110"/>
      <c r="F947" s="118" t="s">
        <v>972</v>
      </c>
      <c r="G947" s="110"/>
      <c r="H947" s="123">
        <f>M946</f>
        <v>4236.62</v>
      </c>
      <c r="I947" s="110" t="s">
        <v>975</v>
      </c>
      <c r="J947" s="110"/>
      <c r="K947" s="110"/>
      <c r="L947" s="118" t="s">
        <v>1582</v>
      </c>
      <c r="M947" s="112">
        <f>TRUNC((D947*H947),2)</f>
        <v>1652.28</v>
      </c>
      <c r="N947" s="113" t="s">
        <v>975</v>
      </c>
    </row>
    <row r="948" spans="1:16" ht="16.149999999999999" customHeight="1">
      <c r="A948" s="130"/>
      <c r="B948" s="109"/>
      <c r="C948" s="110"/>
      <c r="D948" s="110"/>
      <c r="E948" s="110"/>
      <c r="F948" s="110"/>
      <c r="G948" s="110"/>
      <c r="H948" s="111"/>
      <c r="I948" s="110"/>
      <c r="J948" s="110"/>
      <c r="K948" s="118" t="s">
        <v>1164</v>
      </c>
      <c r="L948" s="118" t="s">
        <v>1582</v>
      </c>
      <c r="M948" s="112">
        <f>TRUNC(SUM(M946:M947))</f>
        <v>5888</v>
      </c>
      <c r="N948" s="113" t="s">
        <v>975</v>
      </c>
    </row>
    <row r="949" spans="1:16" ht="18.600000000000001" customHeight="1">
      <c r="A949" s="135"/>
      <c r="B949" s="136"/>
      <c r="C949" s="138"/>
      <c r="D949" s="138"/>
      <c r="E949" s="138"/>
      <c r="F949" s="138"/>
      <c r="G949" s="138"/>
      <c r="H949" s="139"/>
      <c r="I949" s="138"/>
      <c r="J949" s="138"/>
      <c r="K949" s="137"/>
      <c r="L949" s="137"/>
      <c r="M949" s="140"/>
      <c r="N949" s="141"/>
      <c r="O949" s="114" t="s">
        <v>3682</v>
      </c>
      <c r="P949" s="152"/>
    </row>
    <row r="950" spans="1:16" s="152" customFormat="1" ht="16.149999999999999" customHeight="1">
      <c r="A950" s="146"/>
      <c r="B950" s="147"/>
      <c r="C950" s="148"/>
      <c r="D950" s="148"/>
      <c r="E950" s="148"/>
      <c r="F950" s="148"/>
      <c r="G950" s="148"/>
      <c r="H950" s="149"/>
      <c r="I950" s="148"/>
      <c r="J950" s="148"/>
      <c r="K950" s="148" t="s">
        <v>1118</v>
      </c>
      <c r="L950" s="148" t="s">
        <v>1582</v>
      </c>
      <c r="M950" s="150">
        <f>M936+M942+M948</f>
        <v>58411</v>
      </c>
      <c r="N950" s="151"/>
      <c r="P950" s="114"/>
    </row>
    <row r="951" spans="1:16" s="152" customFormat="1" ht="16.149999999999999" customHeight="1">
      <c r="A951" s="169"/>
      <c r="B951" s="163"/>
      <c r="C951" s="169"/>
      <c r="D951" s="169"/>
      <c r="E951" s="169"/>
      <c r="F951" s="169"/>
      <c r="G951" s="169"/>
      <c r="H951" s="170"/>
      <c r="I951" s="169"/>
      <c r="J951" s="169"/>
      <c r="K951" s="169"/>
      <c r="L951" s="169"/>
      <c r="M951" s="166"/>
      <c r="N951" s="165"/>
      <c r="O951" s="114"/>
      <c r="P951" s="114"/>
    </row>
    <row r="952" spans="1:16" s="107" customFormat="1" ht="16.149999999999999" customHeight="1">
      <c r="A952" s="451">
        <f>A933+1</f>
        <v>51</v>
      </c>
      <c r="B952" s="99" t="s">
        <v>1100</v>
      </c>
      <c r="C952" s="100" t="s">
        <v>1526</v>
      </c>
      <c r="D952" s="101" t="s">
        <v>3238</v>
      </c>
      <c r="E952" s="102"/>
      <c r="F952" s="102"/>
      <c r="G952" s="100"/>
      <c r="H952" s="103" t="s">
        <v>1527</v>
      </c>
      <c r="I952" s="100" t="s">
        <v>1526</v>
      </c>
      <c r="J952" s="102" t="s">
        <v>1392</v>
      </c>
      <c r="K952" s="104" t="s">
        <v>847</v>
      </c>
      <c r="L952" s="100" t="s">
        <v>1526</v>
      </c>
      <c r="M952" s="105" t="s">
        <v>1627</v>
      </c>
      <c r="N952" s="106"/>
    </row>
    <row r="953" spans="1:16" s="152" customFormat="1" ht="16.149999999999999" customHeight="1">
      <c r="A953" s="108"/>
      <c r="B953" s="109" t="s">
        <v>588</v>
      </c>
      <c r="C953" s="110" t="s">
        <v>1582</v>
      </c>
      <c r="D953" s="110" t="s">
        <v>589</v>
      </c>
      <c r="E953" s="110" t="s">
        <v>86</v>
      </c>
      <c r="F953" s="110" t="s">
        <v>590</v>
      </c>
      <c r="G953" s="110" t="s">
        <v>86</v>
      </c>
      <c r="H953" s="111" t="s">
        <v>2973</v>
      </c>
      <c r="I953" s="110"/>
      <c r="J953" s="110"/>
      <c r="K953" s="110"/>
      <c r="L953" s="110"/>
      <c r="M953" s="112"/>
      <c r="N953" s="113"/>
      <c r="O953" s="114"/>
      <c r="P953" s="114"/>
    </row>
    <row r="954" spans="1:16" s="152" customFormat="1" ht="16.149999999999999" customHeight="1">
      <c r="A954" s="108"/>
      <c r="B954" s="109"/>
      <c r="C954" s="110"/>
      <c r="D954" s="110"/>
      <c r="E954" s="110"/>
      <c r="F954" s="110"/>
      <c r="G954" s="110"/>
      <c r="H954" s="111"/>
      <c r="I954" s="110"/>
      <c r="J954" s="792"/>
      <c r="K954" s="792"/>
      <c r="L954" s="110"/>
      <c r="M954" s="112"/>
      <c r="N954" s="113"/>
      <c r="O954" s="114"/>
      <c r="P954" s="114"/>
    </row>
    <row r="955" spans="1:16" s="152" customFormat="1" ht="16.149999999999999" customHeight="1">
      <c r="A955" s="115"/>
      <c r="B955" s="116"/>
      <c r="C955" s="114"/>
      <c r="D955" s="114"/>
      <c r="E955" s="114"/>
      <c r="F955" s="117"/>
      <c r="G955" s="118"/>
      <c r="H955" s="119">
        <f>기계경비산출표!$E$157*1000</f>
        <v>167696000</v>
      </c>
      <c r="I955" s="110" t="s">
        <v>972</v>
      </c>
      <c r="J955" s="120">
        <v>2232</v>
      </c>
      <c r="K955" s="118" t="s">
        <v>2974</v>
      </c>
      <c r="L955" s="121" t="s">
        <v>1582</v>
      </c>
      <c r="M955" s="112">
        <f>TRUNC(H955*J955*(10^-7))</f>
        <v>37429</v>
      </c>
      <c r="N955" s="113" t="s">
        <v>975</v>
      </c>
      <c r="O955" s="114"/>
      <c r="P955" s="114"/>
    </row>
    <row r="956" spans="1:16" s="152" customFormat="1" ht="16.149999999999999" customHeight="1">
      <c r="A956" s="115"/>
      <c r="B956" s="122"/>
      <c r="C956" s="118"/>
      <c r="D956" s="33"/>
      <c r="E956" s="110"/>
      <c r="F956" s="118"/>
      <c r="G956" s="118"/>
      <c r="H956" s="123"/>
      <c r="I956" s="118"/>
      <c r="J956" s="110"/>
      <c r="K956" s="110"/>
      <c r="L956" s="110"/>
      <c r="M956" s="112"/>
      <c r="N956" s="113"/>
      <c r="O956" s="114"/>
      <c r="P956" s="114"/>
    </row>
    <row r="957" spans="1:16" s="152" customFormat="1" ht="16.149999999999999" customHeight="1">
      <c r="A957" s="124"/>
      <c r="B957" s="125" t="s">
        <v>1115</v>
      </c>
      <c r="C957" s="126"/>
      <c r="D957" s="126"/>
      <c r="E957" s="126"/>
      <c r="F957" s="126"/>
      <c r="G957" s="126"/>
      <c r="H957" s="127"/>
      <c r="I957" s="126"/>
      <c r="J957" s="126"/>
      <c r="K957" s="126"/>
      <c r="L957" s="126"/>
      <c r="M957" s="128"/>
      <c r="N957" s="129"/>
      <c r="O957" s="114"/>
      <c r="P957" s="114"/>
    </row>
    <row r="958" spans="1:16" s="152" customFormat="1" ht="16.149999999999999" customHeight="1">
      <c r="A958" s="130"/>
      <c r="B958" s="131" t="s">
        <v>3185</v>
      </c>
      <c r="C958" s="118"/>
      <c r="D958" s="33">
        <f>SUMIF('노임(2015)'!$B$4:$B$87,B958,'노임(2015)'!$C$4:$C$87)+SUMIF('노임(2015)'!$E$4:$E$87,B958,'노임(2015)'!$F$4:$F$87)</f>
        <v>130411</v>
      </c>
      <c r="E958" s="110" t="s">
        <v>972</v>
      </c>
      <c r="F958" s="110" t="s">
        <v>973</v>
      </c>
      <c r="G958" s="132" t="s">
        <v>974</v>
      </c>
      <c r="H958" s="111"/>
      <c r="I958" s="110"/>
      <c r="J958" s="110"/>
      <c r="K958" s="133">
        <v>1</v>
      </c>
      <c r="L958" s="118" t="s">
        <v>1582</v>
      </c>
      <c r="M958" s="112">
        <f>TRUNC(D958*(1/8)*(16/12)*(25/20)*K958)</f>
        <v>27168</v>
      </c>
      <c r="N958" s="113" t="s">
        <v>975</v>
      </c>
      <c r="O958" s="114"/>
      <c r="P958" s="114"/>
    </row>
    <row r="959" spans="1:16" s="152" customFormat="1" ht="16.149999999999999" customHeight="1">
      <c r="A959" s="130"/>
      <c r="B959" s="109"/>
      <c r="C959" s="118"/>
      <c r="D959" s="33"/>
      <c r="E959" s="110"/>
      <c r="F959" s="110"/>
      <c r="G959" s="132"/>
      <c r="H959" s="111"/>
      <c r="I959" s="110"/>
      <c r="J959" s="110"/>
      <c r="K959" s="134"/>
      <c r="L959" s="118"/>
      <c r="M959" s="112"/>
      <c r="N959" s="113"/>
      <c r="O959" s="114"/>
      <c r="P959" s="114"/>
    </row>
    <row r="960" spans="1:16" s="152" customFormat="1" ht="18.600000000000001" customHeight="1">
      <c r="A960" s="130"/>
      <c r="B960" s="109"/>
      <c r="C960" s="118"/>
      <c r="D960" s="33"/>
      <c r="E960" s="110"/>
      <c r="F960" s="110"/>
      <c r="G960" s="132"/>
      <c r="H960" s="111"/>
      <c r="I960" s="110"/>
      <c r="J960" s="110"/>
      <c r="K960" s="134"/>
      <c r="L960" s="118"/>
      <c r="M960" s="112"/>
      <c r="N960" s="113"/>
      <c r="O960" s="114" t="s">
        <v>3682</v>
      </c>
      <c r="P960" s="114"/>
    </row>
    <row r="961" spans="1:16" s="152" customFormat="1" ht="16.149999999999999" customHeight="1">
      <c r="A961" s="130"/>
      <c r="B961" s="109"/>
      <c r="C961" s="118"/>
      <c r="D961" s="110"/>
      <c r="E961" s="110"/>
      <c r="F961" s="110"/>
      <c r="G961" s="110"/>
      <c r="H961" s="111"/>
      <c r="I961" s="791"/>
      <c r="J961" s="791"/>
      <c r="K961" s="118" t="s">
        <v>1164</v>
      </c>
      <c r="L961" s="118" t="s">
        <v>1582</v>
      </c>
      <c r="M961" s="112">
        <f>(M958+M959+M960)</f>
        <v>27168</v>
      </c>
      <c r="N961" s="113" t="s">
        <v>975</v>
      </c>
      <c r="O961" s="114" t="s">
        <v>1115</v>
      </c>
      <c r="P961" s="114"/>
    </row>
    <row r="962" spans="1:16" s="152" customFormat="1" ht="18.600000000000001" customHeight="1">
      <c r="A962" s="130"/>
      <c r="B962" s="109"/>
      <c r="C962" s="118"/>
      <c r="D962" s="110"/>
      <c r="E962" s="110"/>
      <c r="F962" s="110"/>
      <c r="G962" s="110"/>
      <c r="H962" s="111"/>
      <c r="I962" s="118"/>
      <c r="J962" s="118"/>
      <c r="K962" s="118"/>
      <c r="L962" s="118"/>
      <c r="M962" s="112"/>
      <c r="N962" s="113"/>
      <c r="O962" s="114" t="s">
        <v>3682</v>
      </c>
      <c r="P962" s="114"/>
    </row>
    <row r="963" spans="1:16" s="152" customFormat="1" ht="18.600000000000001" customHeight="1">
      <c r="A963" s="135"/>
      <c r="B963" s="136"/>
      <c r="C963" s="137"/>
      <c r="D963" s="138"/>
      <c r="E963" s="138"/>
      <c r="F963" s="138"/>
      <c r="G963" s="138"/>
      <c r="H963" s="139"/>
      <c r="I963" s="137"/>
      <c r="J963" s="137"/>
      <c r="K963" s="137"/>
      <c r="L963" s="137"/>
      <c r="M963" s="140"/>
      <c r="N963" s="141"/>
      <c r="O963" s="114" t="s">
        <v>3682</v>
      </c>
      <c r="P963" s="114"/>
    </row>
    <row r="964" spans="1:16" s="152" customFormat="1" ht="16.149999999999999" customHeight="1">
      <c r="A964" s="124"/>
      <c r="B964" s="125" t="s">
        <v>1116</v>
      </c>
      <c r="C964" s="142"/>
      <c r="D964" s="126"/>
      <c r="E964" s="126"/>
      <c r="F964" s="126"/>
      <c r="G964" s="126"/>
      <c r="H964" s="127"/>
      <c r="I964" s="126"/>
      <c r="J964" s="126"/>
      <c r="K964" s="126"/>
      <c r="L964" s="126"/>
      <c r="M964" s="128"/>
      <c r="N964" s="129"/>
      <c r="O964" s="114"/>
      <c r="P964" s="114"/>
    </row>
    <row r="965" spans="1:16" s="152" customFormat="1" ht="16.149999999999999" customHeight="1">
      <c r="A965" s="130"/>
      <c r="B965" s="131" t="s">
        <v>2461</v>
      </c>
      <c r="C965" s="118" t="s">
        <v>1526</v>
      </c>
      <c r="D965" s="118">
        <v>4.7</v>
      </c>
      <c r="E965" s="110" t="s">
        <v>456</v>
      </c>
      <c r="F965" s="118" t="s">
        <v>972</v>
      </c>
      <c r="G965" s="110"/>
      <c r="H965" s="123">
        <f>중기기준!$G$35</f>
        <v>1114.9000000000001</v>
      </c>
      <c r="I965" s="110" t="s">
        <v>975</v>
      </c>
      <c r="J965" s="110"/>
      <c r="K965" s="110"/>
      <c r="L965" s="118" t="s">
        <v>1582</v>
      </c>
      <c r="M965" s="112">
        <f>TRUNC(D965*H965,2)</f>
        <v>5240.03</v>
      </c>
      <c r="N965" s="113" t="s">
        <v>975</v>
      </c>
      <c r="O965" s="114"/>
      <c r="P965" s="114"/>
    </row>
    <row r="966" spans="1:16" s="152" customFormat="1" ht="16.149999999999999" customHeight="1">
      <c r="A966" s="130"/>
      <c r="B966" s="109" t="s">
        <v>1556</v>
      </c>
      <c r="C966" s="118" t="s">
        <v>1526</v>
      </c>
      <c r="D966" s="145">
        <v>0.39</v>
      </c>
      <c r="E966" s="110"/>
      <c r="F966" s="118" t="s">
        <v>972</v>
      </c>
      <c r="G966" s="110"/>
      <c r="H966" s="123">
        <f>M965</f>
        <v>5240.03</v>
      </c>
      <c r="I966" s="110" t="s">
        <v>975</v>
      </c>
      <c r="J966" s="110"/>
      <c r="K966" s="110"/>
      <c r="L966" s="118" t="s">
        <v>1582</v>
      </c>
      <c r="M966" s="112">
        <f>TRUNC((D966*H966),2)</f>
        <v>2043.61</v>
      </c>
      <c r="N966" s="113" t="s">
        <v>975</v>
      </c>
      <c r="O966" s="114"/>
      <c r="P966" s="114"/>
    </row>
    <row r="967" spans="1:16" s="152" customFormat="1" ht="16.149999999999999" customHeight="1">
      <c r="A967" s="130"/>
      <c r="B967" s="109"/>
      <c r="C967" s="110"/>
      <c r="D967" s="110"/>
      <c r="E967" s="110"/>
      <c r="F967" s="110"/>
      <c r="G967" s="110"/>
      <c r="H967" s="111"/>
      <c r="I967" s="110"/>
      <c r="J967" s="110"/>
      <c r="K967" s="118" t="s">
        <v>1164</v>
      </c>
      <c r="L967" s="118" t="s">
        <v>1582</v>
      </c>
      <c r="M967" s="112">
        <f>TRUNC(SUM(M965:M966))</f>
        <v>7283</v>
      </c>
      <c r="N967" s="113" t="s">
        <v>975</v>
      </c>
      <c r="O967" s="114"/>
      <c r="P967" s="114"/>
    </row>
    <row r="968" spans="1:16" s="152" customFormat="1" ht="18.600000000000001" customHeight="1">
      <c r="A968" s="135"/>
      <c r="B968" s="136"/>
      <c r="C968" s="138"/>
      <c r="D968" s="138"/>
      <c r="E968" s="138"/>
      <c r="F968" s="138"/>
      <c r="G968" s="138"/>
      <c r="H968" s="139"/>
      <c r="I968" s="138"/>
      <c r="J968" s="138"/>
      <c r="K968" s="137"/>
      <c r="L968" s="137"/>
      <c r="M968" s="140"/>
      <c r="N968" s="141"/>
      <c r="O968" s="114" t="s">
        <v>3682</v>
      </c>
      <c r="P968" s="114"/>
    </row>
    <row r="969" spans="1:16" s="152" customFormat="1" ht="16.149999999999999" customHeight="1">
      <c r="A969" s="146"/>
      <c r="B969" s="147"/>
      <c r="C969" s="148"/>
      <c r="D969" s="148"/>
      <c r="E969" s="148"/>
      <c r="F969" s="148"/>
      <c r="G969" s="148"/>
      <c r="H969" s="149"/>
      <c r="I969" s="148"/>
      <c r="J969" s="148"/>
      <c r="K969" s="148" t="s">
        <v>1118</v>
      </c>
      <c r="L969" s="148" t="s">
        <v>1582</v>
      </c>
      <c r="M969" s="150">
        <f>M955+M961+M967</f>
        <v>71880</v>
      </c>
      <c r="N969" s="151"/>
    </row>
    <row r="970" spans="1:16" ht="16.149999999999999" customHeight="1">
      <c r="A970" s="114"/>
    </row>
    <row r="971" spans="1:16" s="107" customFormat="1" ht="16.149999999999999" customHeight="1">
      <c r="A971" s="451">
        <f>A952+1</f>
        <v>52</v>
      </c>
      <c r="B971" s="99" t="s">
        <v>1100</v>
      </c>
      <c r="C971" s="100" t="s">
        <v>1526</v>
      </c>
      <c r="D971" s="101" t="s">
        <v>3238</v>
      </c>
      <c r="E971" s="102"/>
      <c r="F971" s="102"/>
      <c r="G971" s="100"/>
      <c r="H971" s="103" t="s">
        <v>1527</v>
      </c>
      <c r="I971" s="100" t="s">
        <v>1526</v>
      </c>
      <c r="J971" s="102" t="s">
        <v>1126</v>
      </c>
      <c r="K971" s="104" t="s">
        <v>847</v>
      </c>
      <c r="L971" s="100" t="s">
        <v>1526</v>
      </c>
      <c r="M971" s="105" t="s">
        <v>1137</v>
      </c>
      <c r="N971" s="106"/>
      <c r="P971" s="114"/>
    </row>
    <row r="972" spans="1:16" ht="16.149999999999999" customHeight="1">
      <c r="A972" s="108"/>
      <c r="B972" s="109" t="s">
        <v>588</v>
      </c>
      <c r="C972" s="110" t="s">
        <v>1582</v>
      </c>
      <c r="D972" s="110" t="s">
        <v>589</v>
      </c>
      <c r="E972" s="110" t="s">
        <v>86</v>
      </c>
      <c r="F972" s="110" t="s">
        <v>590</v>
      </c>
      <c r="G972" s="110" t="s">
        <v>86</v>
      </c>
      <c r="H972" s="111" t="s">
        <v>2973</v>
      </c>
      <c r="I972" s="110"/>
      <c r="J972" s="110"/>
      <c r="K972" s="110"/>
      <c r="L972" s="110"/>
      <c r="M972" s="112"/>
      <c r="N972" s="113"/>
    </row>
    <row r="973" spans="1:16" ht="16.149999999999999" customHeight="1">
      <c r="A973" s="108"/>
      <c r="B973" s="109"/>
      <c r="C973" s="110"/>
      <c r="D973" s="110"/>
      <c r="E973" s="110"/>
      <c r="F973" s="110"/>
      <c r="G973" s="110"/>
      <c r="H973" s="111"/>
      <c r="I973" s="110"/>
      <c r="J973" s="792"/>
      <c r="K973" s="792"/>
      <c r="L973" s="110"/>
      <c r="M973" s="112"/>
      <c r="N973" s="113"/>
    </row>
    <row r="974" spans="1:16" ht="16.149999999999999" customHeight="1">
      <c r="A974" s="115"/>
      <c r="F974" s="117"/>
      <c r="G974" s="118"/>
      <c r="H974" s="119">
        <f>기계경비산출표!$E$158*1000</f>
        <v>215029000</v>
      </c>
      <c r="I974" s="110" t="s">
        <v>972</v>
      </c>
      <c r="J974" s="120">
        <v>2232</v>
      </c>
      <c r="K974" s="118" t="s">
        <v>2974</v>
      </c>
      <c r="L974" s="121" t="s">
        <v>1582</v>
      </c>
      <c r="M974" s="112">
        <f>TRUNC(H974*J974*(10^-7))</f>
        <v>47994</v>
      </c>
      <c r="N974" s="113" t="s">
        <v>975</v>
      </c>
    </row>
    <row r="975" spans="1:16" ht="16.149999999999999" customHeight="1">
      <c r="A975" s="115"/>
      <c r="B975" s="122"/>
      <c r="C975" s="118"/>
      <c r="D975" s="33"/>
      <c r="E975" s="110"/>
      <c r="F975" s="118"/>
      <c r="G975" s="118"/>
      <c r="H975" s="123"/>
      <c r="I975" s="118"/>
      <c r="J975" s="110"/>
      <c r="K975" s="110"/>
      <c r="L975" s="110"/>
      <c r="M975" s="112"/>
      <c r="N975" s="113"/>
    </row>
    <row r="976" spans="1:16" ht="16.149999999999999" customHeight="1">
      <c r="A976" s="124"/>
      <c r="B976" s="125" t="s">
        <v>1115</v>
      </c>
      <c r="C976" s="126"/>
      <c r="D976" s="269">
        <f>SUMIF('노임(2015)'!$B$4:$B$87,B976,'노임(2015)'!$C$4:$C$87)+SUMIF('노임(2015)'!$E$4:$E$87,B976,'노임(2015)'!$F$4:$F$87)</f>
        <v>0</v>
      </c>
      <c r="E976" s="126"/>
      <c r="F976" s="126"/>
      <c r="G976" s="126"/>
      <c r="H976" s="127"/>
      <c r="I976" s="126"/>
      <c r="J976" s="126"/>
      <c r="K976" s="126"/>
      <c r="L976" s="126"/>
      <c r="M976" s="128"/>
      <c r="N976" s="129"/>
    </row>
    <row r="977" spans="1:16" ht="16.149999999999999" customHeight="1">
      <c r="A977" s="130"/>
      <c r="B977" s="131" t="s">
        <v>3185</v>
      </c>
      <c r="C977" s="118"/>
      <c r="D977" s="33">
        <f>SUMIF('노임(2015)'!$B$4:$B$87,B977,'노임(2015)'!$C$4:$C$87)+SUMIF('노임(2015)'!$E$4:$E$87,B977,'노임(2015)'!$F$4:$F$87)</f>
        <v>130411</v>
      </c>
      <c r="E977" s="110" t="s">
        <v>972</v>
      </c>
      <c r="F977" s="110" t="s">
        <v>973</v>
      </c>
      <c r="G977" s="132" t="s">
        <v>974</v>
      </c>
      <c r="H977" s="111"/>
      <c r="I977" s="110"/>
      <c r="J977" s="110"/>
      <c r="K977" s="133">
        <v>1</v>
      </c>
      <c r="L977" s="118" t="s">
        <v>1582</v>
      </c>
      <c r="M977" s="112">
        <f>TRUNC(D977*(1/8)*(16/12)*(25/20)*K977)</f>
        <v>27168</v>
      </c>
      <c r="N977" s="113" t="s">
        <v>975</v>
      </c>
    </row>
    <row r="978" spans="1:16" ht="16.149999999999999" customHeight="1">
      <c r="A978" s="130"/>
      <c r="B978" s="109"/>
      <c r="C978" s="118"/>
      <c r="D978" s="33"/>
      <c r="E978" s="110"/>
      <c r="F978" s="110"/>
      <c r="G978" s="132"/>
      <c r="H978" s="111"/>
      <c r="I978" s="110"/>
      <c r="J978" s="110"/>
      <c r="K978" s="134"/>
      <c r="L978" s="118"/>
      <c r="M978" s="112"/>
      <c r="N978" s="113"/>
    </row>
    <row r="979" spans="1:16" ht="18.600000000000001" customHeight="1">
      <c r="A979" s="130"/>
      <c r="B979" s="109"/>
      <c r="C979" s="118"/>
      <c r="D979" s="33"/>
      <c r="E979" s="110"/>
      <c r="F979" s="110"/>
      <c r="G979" s="132"/>
      <c r="H979" s="111"/>
      <c r="I979" s="110"/>
      <c r="J979" s="110"/>
      <c r="K979" s="134"/>
      <c r="L979" s="118"/>
      <c r="M979" s="112"/>
      <c r="N979" s="113"/>
      <c r="O979" s="114" t="s">
        <v>3682</v>
      </c>
    </row>
    <row r="980" spans="1:16" ht="16.149999999999999" customHeight="1">
      <c r="A980" s="130"/>
      <c r="B980" s="109"/>
      <c r="C980" s="118"/>
      <c r="D980" s="110"/>
      <c r="E980" s="110"/>
      <c r="F980" s="110"/>
      <c r="G980" s="110"/>
      <c r="H980" s="111"/>
      <c r="I980" s="791"/>
      <c r="J980" s="791"/>
      <c r="K980" s="118" t="s">
        <v>1164</v>
      </c>
      <c r="L980" s="118" t="s">
        <v>1582</v>
      </c>
      <c r="M980" s="112">
        <f>(M977+M978+M979)</f>
        <v>27168</v>
      </c>
      <c r="N980" s="113" t="s">
        <v>975</v>
      </c>
      <c r="O980" s="114" t="s">
        <v>1115</v>
      </c>
    </row>
    <row r="981" spans="1:16" ht="18.600000000000001" customHeight="1">
      <c r="A981" s="130"/>
      <c r="B981" s="109"/>
      <c r="C981" s="118"/>
      <c r="D981" s="110"/>
      <c r="E981" s="110"/>
      <c r="F981" s="110"/>
      <c r="G981" s="110"/>
      <c r="H981" s="111"/>
      <c r="I981" s="118"/>
      <c r="J981" s="118"/>
      <c r="K981" s="118"/>
      <c r="L981" s="118"/>
      <c r="M981" s="112"/>
      <c r="N981" s="113"/>
      <c r="O981" s="114" t="s">
        <v>3682</v>
      </c>
    </row>
    <row r="982" spans="1:16" ht="18.600000000000001" customHeight="1">
      <c r="A982" s="135"/>
      <c r="B982" s="136"/>
      <c r="C982" s="137"/>
      <c r="D982" s="138"/>
      <c r="E982" s="138"/>
      <c r="F982" s="138"/>
      <c r="G982" s="138"/>
      <c r="H982" s="139"/>
      <c r="I982" s="137"/>
      <c r="J982" s="137"/>
      <c r="K982" s="137"/>
      <c r="L982" s="137"/>
      <c r="M982" s="140"/>
      <c r="N982" s="141"/>
      <c r="O982" s="114" t="s">
        <v>3682</v>
      </c>
    </row>
    <row r="983" spans="1:16" ht="16.149999999999999" customHeight="1">
      <c r="A983" s="124"/>
      <c r="B983" s="125" t="s">
        <v>1116</v>
      </c>
      <c r="C983" s="142"/>
      <c r="D983" s="126"/>
      <c r="E983" s="126"/>
      <c r="F983" s="126"/>
      <c r="G983" s="126"/>
      <c r="H983" s="127"/>
      <c r="I983" s="126"/>
      <c r="J983" s="126"/>
      <c r="K983" s="126"/>
      <c r="L983" s="126"/>
      <c r="M983" s="128"/>
      <c r="N983" s="129"/>
    </row>
    <row r="984" spans="1:16" ht="16.149999999999999" customHeight="1">
      <c r="A984" s="130"/>
      <c r="B984" s="131" t="s">
        <v>2461</v>
      </c>
      <c r="C984" s="118" t="s">
        <v>1526</v>
      </c>
      <c r="D984" s="118">
        <v>5.4</v>
      </c>
      <c r="E984" s="110" t="s">
        <v>456</v>
      </c>
      <c r="F984" s="118" t="s">
        <v>972</v>
      </c>
      <c r="G984" s="110"/>
      <c r="H984" s="123">
        <f>중기기준!$G$35</f>
        <v>1114.9000000000001</v>
      </c>
      <c r="I984" s="110" t="s">
        <v>975</v>
      </c>
      <c r="J984" s="110"/>
      <c r="K984" s="110"/>
      <c r="L984" s="118" t="s">
        <v>1582</v>
      </c>
      <c r="M984" s="112">
        <f>TRUNC(D984*H984,2)</f>
        <v>6020.46</v>
      </c>
      <c r="N984" s="113" t="s">
        <v>975</v>
      </c>
    </row>
    <row r="985" spans="1:16" ht="16.149999999999999" customHeight="1">
      <c r="A985" s="130"/>
      <c r="B985" s="109" t="s">
        <v>1556</v>
      </c>
      <c r="C985" s="118" t="s">
        <v>1526</v>
      </c>
      <c r="D985" s="145">
        <v>0.39</v>
      </c>
      <c r="E985" s="110"/>
      <c r="F985" s="118" t="s">
        <v>972</v>
      </c>
      <c r="G985" s="110"/>
      <c r="H985" s="123">
        <f>M984</f>
        <v>6020.46</v>
      </c>
      <c r="I985" s="110" t="s">
        <v>975</v>
      </c>
      <c r="J985" s="110"/>
      <c r="K985" s="110"/>
      <c r="L985" s="118" t="s">
        <v>1582</v>
      </c>
      <c r="M985" s="112">
        <f>TRUNC((D985*H985),2)</f>
        <v>2347.9699999999998</v>
      </c>
      <c r="N985" s="113" t="s">
        <v>975</v>
      </c>
    </row>
    <row r="986" spans="1:16" ht="16.149999999999999" customHeight="1">
      <c r="A986" s="130"/>
      <c r="B986" s="109"/>
      <c r="C986" s="110"/>
      <c r="D986" s="110"/>
      <c r="E986" s="110"/>
      <c r="F986" s="110"/>
      <c r="G986" s="110"/>
      <c r="H986" s="111"/>
      <c r="I986" s="110"/>
      <c r="J986" s="110"/>
      <c r="K986" s="118" t="s">
        <v>1164</v>
      </c>
      <c r="L986" s="118" t="s">
        <v>1582</v>
      </c>
      <c r="M986" s="112">
        <f>TRUNC(SUM(M984:M985))</f>
        <v>8368</v>
      </c>
      <c r="N986" s="113" t="s">
        <v>975</v>
      </c>
    </row>
    <row r="987" spans="1:16" ht="18.600000000000001" customHeight="1">
      <c r="A987" s="135"/>
      <c r="B987" s="136"/>
      <c r="C987" s="138"/>
      <c r="D987" s="138"/>
      <c r="E987" s="138"/>
      <c r="F987" s="138"/>
      <c r="G987" s="138"/>
      <c r="H987" s="139"/>
      <c r="I987" s="138"/>
      <c r="J987" s="138"/>
      <c r="K987" s="137"/>
      <c r="L987" s="137"/>
      <c r="M987" s="140"/>
      <c r="N987" s="141"/>
      <c r="O987" s="114" t="s">
        <v>3682</v>
      </c>
      <c r="P987" s="152"/>
    </row>
    <row r="988" spans="1:16" s="152" customFormat="1" ht="16.149999999999999" customHeight="1">
      <c r="A988" s="146"/>
      <c r="B988" s="147"/>
      <c r="C988" s="148"/>
      <c r="D988" s="148"/>
      <c r="E988" s="148"/>
      <c r="F988" s="148"/>
      <c r="G988" s="148"/>
      <c r="H988" s="149"/>
      <c r="I988" s="148"/>
      <c r="J988" s="148"/>
      <c r="K988" s="148" t="s">
        <v>1118</v>
      </c>
      <c r="L988" s="148" t="s">
        <v>1582</v>
      </c>
      <c r="M988" s="150">
        <f>M974+M980+M986</f>
        <v>83530</v>
      </c>
      <c r="N988" s="151"/>
      <c r="P988" s="114"/>
    </row>
    <row r="989" spans="1:16" ht="16.149999999999999" customHeight="1">
      <c r="A989" s="155"/>
      <c r="B989" s="136"/>
      <c r="C989" s="155"/>
      <c r="D989" s="155"/>
      <c r="E989" s="155"/>
      <c r="F989" s="155"/>
      <c r="G989" s="155"/>
      <c r="H989" s="156"/>
      <c r="I989" s="155"/>
      <c r="J989" s="155"/>
      <c r="K989" s="155"/>
      <c r="L989" s="155"/>
      <c r="M989" s="140"/>
      <c r="N989" s="137"/>
    </row>
    <row r="990" spans="1:16" s="107" customFormat="1" ht="16.149999999999999" customHeight="1">
      <c r="A990" s="451">
        <f>A971+1</f>
        <v>53</v>
      </c>
      <c r="B990" s="99" t="s">
        <v>1100</v>
      </c>
      <c r="C990" s="100" t="s">
        <v>1526</v>
      </c>
      <c r="D990" s="101" t="s">
        <v>3238</v>
      </c>
      <c r="E990" s="102"/>
      <c r="F990" s="102"/>
      <c r="G990" s="100"/>
      <c r="H990" s="103" t="s">
        <v>1527</v>
      </c>
      <c r="I990" s="100" t="s">
        <v>1526</v>
      </c>
      <c r="J990" s="102" t="s">
        <v>1128</v>
      </c>
      <c r="K990" s="104" t="s">
        <v>847</v>
      </c>
      <c r="L990" s="100" t="s">
        <v>1526</v>
      </c>
      <c r="M990" s="105" t="s">
        <v>1138</v>
      </c>
      <c r="N990" s="106"/>
    </row>
    <row r="991" spans="1:16" ht="16.149999999999999" customHeight="1">
      <c r="A991" s="108"/>
      <c r="B991" s="109" t="s">
        <v>588</v>
      </c>
      <c r="C991" s="110" t="s">
        <v>1582</v>
      </c>
      <c r="D991" s="110" t="s">
        <v>589</v>
      </c>
      <c r="E991" s="110" t="s">
        <v>86</v>
      </c>
      <c r="F991" s="110" t="s">
        <v>590</v>
      </c>
      <c r="G991" s="110" t="s">
        <v>86</v>
      </c>
      <c r="H991" s="111" t="s">
        <v>2973</v>
      </c>
      <c r="I991" s="110"/>
      <c r="J991" s="110"/>
      <c r="K991" s="110"/>
      <c r="L991" s="110"/>
      <c r="M991" s="112"/>
      <c r="N991" s="113"/>
    </row>
    <row r="992" spans="1:16" ht="16.149999999999999" customHeight="1">
      <c r="A992" s="108"/>
      <c r="B992" s="109"/>
      <c r="C992" s="110"/>
      <c r="D992" s="110"/>
      <c r="E992" s="110"/>
      <c r="F992" s="110"/>
      <c r="G992" s="110"/>
      <c r="H992" s="111"/>
      <c r="I992" s="110"/>
      <c r="J992" s="792"/>
      <c r="K992" s="792"/>
      <c r="L992" s="110"/>
      <c r="M992" s="112"/>
      <c r="N992" s="113"/>
    </row>
    <row r="993" spans="1:15" ht="16.149999999999999" customHeight="1">
      <c r="A993" s="115"/>
      <c r="F993" s="117"/>
      <c r="G993" s="118"/>
      <c r="H993" s="119">
        <f>기계경비산출표!$E$160*1000</f>
        <v>297525000</v>
      </c>
      <c r="I993" s="110" t="s">
        <v>972</v>
      </c>
      <c r="J993" s="120">
        <v>1671</v>
      </c>
      <c r="K993" s="118" t="s">
        <v>2974</v>
      </c>
      <c r="L993" s="121" t="s">
        <v>1582</v>
      </c>
      <c r="M993" s="112">
        <f>TRUNC(H993*J993*(10^-7))</f>
        <v>49716</v>
      </c>
      <c r="N993" s="113" t="s">
        <v>975</v>
      </c>
    </row>
    <row r="994" spans="1:15" ht="16.149999999999999" customHeight="1">
      <c r="A994" s="115"/>
      <c r="B994" s="122"/>
      <c r="C994" s="118"/>
      <c r="D994" s="33"/>
      <c r="E994" s="110"/>
      <c r="F994" s="118"/>
      <c r="G994" s="118"/>
      <c r="H994" s="123"/>
      <c r="I994" s="118"/>
      <c r="J994" s="110"/>
      <c r="K994" s="110"/>
      <c r="L994" s="110"/>
      <c r="M994" s="112"/>
      <c r="N994" s="113"/>
    </row>
    <row r="995" spans="1:15" ht="16.149999999999999" customHeight="1">
      <c r="A995" s="124"/>
      <c r="B995" s="125" t="s">
        <v>1115</v>
      </c>
      <c r="C995" s="126"/>
      <c r="D995" s="126"/>
      <c r="E995" s="126"/>
      <c r="F995" s="126"/>
      <c r="G995" s="126"/>
      <c r="H995" s="127"/>
      <c r="I995" s="126"/>
      <c r="J995" s="126"/>
      <c r="K995" s="126"/>
      <c r="L995" s="126"/>
      <c r="M995" s="128"/>
      <c r="N995" s="129"/>
    </row>
    <row r="996" spans="1:15" ht="16.149999999999999" customHeight="1">
      <c r="A996" s="130"/>
      <c r="B996" s="131" t="s">
        <v>3185</v>
      </c>
      <c r="C996" s="118"/>
      <c r="D996" s="33">
        <f>SUMIF('노임(2015)'!$B$4:$B$87,B996,'노임(2015)'!$C$4:$C$87)+SUMIF('노임(2015)'!$E$4:$E$87,B996,'노임(2015)'!$F$4:$F$87)</f>
        <v>130411</v>
      </c>
      <c r="E996" s="110" t="s">
        <v>972</v>
      </c>
      <c r="F996" s="110" t="s">
        <v>973</v>
      </c>
      <c r="G996" s="132" t="s">
        <v>974</v>
      </c>
      <c r="H996" s="111"/>
      <c r="I996" s="110"/>
      <c r="J996" s="110"/>
      <c r="K996" s="133">
        <v>1</v>
      </c>
      <c r="L996" s="118" t="s">
        <v>1582</v>
      </c>
      <c r="M996" s="112">
        <f>TRUNC(D996*(1/8)*(16/12)*(25/20)*K996)</f>
        <v>27168</v>
      </c>
      <c r="N996" s="113" t="s">
        <v>975</v>
      </c>
    </row>
    <row r="997" spans="1:15" ht="16.149999999999999" customHeight="1">
      <c r="A997" s="130"/>
      <c r="B997" s="109"/>
      <c r="C997" s="118"/>
      <c r="D997" s="33"/>
      <c r="E997" s="110"/>
      <c r="F997" s="110"/>
      <c r="G997" s="132"/>
      <c r="H997" s="111"/>
      <c r="I997" s="110"/>
      <c r="J997" s="110"/>
      <c r="K997" s="134"/>
      <c r="L997" s="118"/>
      <c r="M997" s="112"/>
      <c r="N997" s="113"/>
    </row>
    <row r="998" spans="1:15" ht="18.600000000000001" customHeight="1">
      <c r="A998" s="130"/>
      <c r="B998" s="109"/>
      <c r="C998" s="118"/>
      <c r="D998" s="33"/>
      <c r="E998" s="110"/>
      <c r="F998" s="110"/>
      <c r="G998" s="132"/>
      <c r="H998" s="111"/>
      <c r="I998" s="110"/>
      <c r="J998" s="110"/>
      <c r="K998" s="134"/>
      <c r="L998" s="118"/>
      <c r="M998" s="112"/>
      <c r="N998" s="113"/>
      <c r="O998" s="114" t="s">
        <v>3682</v>
      </c>
    </row>
    <row r="999" spans="1:15" ht="16.149999999999999" customHeight="1">
      <c r="A999" s="130"/>
      <c r="B999" s="109"/>
      <c r="C999" s="118"/>
      <c r="D999" s="110"/>
      <c r="E999" s="110"/>
      <c r="F999" s="110"/>
      <c r="G999" s="110"/>
      <c r="H999" s="111"/>
      <c r="I999" s="791"/>
      <c r="J999" s="791"/>
      <c r="K999" s="118" t="s">
        <v>1164</v>
      </c>
      <c r="L999" s="118" t="s">
        <v>1582</v>
      </c>
      <c r="M999" s="112">
        <f>(M996+M997+M998)</f>
        <v>27168</v>
      </c>
      <c r="N999" s="113" t="s">
        <v>975</v>
      </c>
      <c r="O999" s="114" t="s">
        <v>1115</v>
      </c>
    </row>
    <row r="1000" spans="1:15" ht="18.600000000000001" customHeight="1">
      <c r="A1000" s="130"/>
      <c r="B1000" s="109"/>
      <c r="C1000" s="118"/>
      <c r="D1000" s="110"/>
      <c r="E1000" s="110"/>
      <c r="F1000" s="110"/>
      <c r="G1000" s="110"/>
      <c r="H1000" s="111"/>
      <c r="I1000" s="118"/>
      <c r="J1000" s="118"/>
      <c r="K1000" s="118"/>
      <c r="L1000" s="118"/>
      <c r="M1000" s="112"/>
      <c r="N1000" s="113"/>
      <c r="O1000" s="114" t="s">
        <v>3682</v>
      </c>
    </row>
    <row r="1001" spans="1:15" ht="18.600000000000001" customHeight="1">
      <c r="A1001" s="135"/>
      <c r="B1001" s="136"/>
      <c r="C1001" s="137"/>
      <c r="D1001" s="138"/>
      <c r="E1001" s="138"/>
      <c r="F1001" s="138"/>
      <c r="G1001" s="138"/>
      <c r="H1001" s="139"/>
      <c r="I1001" s="137"/>
      <c r="J1001" s="137"/>
      <c r="K1001" s="137"/>
      <c r="L1001" s="137"/>
      <c r="M1001" s="140"/>
      <c r="N1001" s="141"/>
      <c r="O1001" s="114" t="s">
        <v>3682</v>
      </c>
    </row>
    <row r="1002" spans="1:15" ht="16.149999999999999" customHeight="1">
      <c r="A1002" s="124"/>
      <c r="B1002" s="125" t="s">
        <v>1116</v>
      </c>
      <c r="C1002" s="142"/>
      <c r="D1002" s="126"/>
      <c r="E1002" s="126"/>
      <c r="F1002" s="126"/>
      <c r="G1002" s="126"/>
      <c r="H1002" s="127"/>
      <c r="I1002" s="126"/>
      <c r="J1002" s="126"/>
      <c r="K1002" s="126"/>
      <c r="L1002" s="126"/>
      <c r="M1002" s="128"/>
      <c r="N1002" s="129"/>
    </row>
    <row r="1003" spans="1:15" ht="16.149999999999999" customHeight="1">
      <c r="A1003" s="130"/>
      <c r="B1003" s="131" t="s">
        <v>2461</v>
      </c>
      <c r="C1003" s="118" t="s">
        <v>1526</v>
      </c>
      <c r="D1003" s="118">
        <v>7.7</v>
      </c>
      <c r="E1003" s="110" t="s">
        <v>456</v>
      </c>
      <c r="F1003" s="118" t="s">
        <v>972</v>
      </c>
      <c r="G1003" s="110"/>
      <c r="H1003" s="123">
        <f>중기기준!$G$35</f>
        <v>1114.9000000000001</v>
      </c>
      <c r="I1003" s="110" t="s">
        <v>975</v>
      </c>
      <c r="J1003" s="110"/>
      <c r="K1003" s="110"/>
      <c r="L1003" s="118" t="s">
        <v>1582</v>
      </c>
      <c r="M1003" s="112">
        <f>TRUNC(D1003*H1003,2)</f>
        <v>8584.73</v>
      </c>
      <c r="N1003" s="113" t="s">
        <v>975</v>
      </c>
    </row>
    <row r="1004" spans="1:15" ht="16.149999999999999" customHeight="1">
      <c r="A1004" s="130"/>
      <c r="B1004" s="109" t="s">
        <v>1556</v>
      </c>
      <c r="C1004" s="118" t="s">
        <v>1526</v>
      </c>
      <c r="D1004" s="145">
        <v>0.39</v>
      </c>
      <c r="E1004" s="110"/>
      <c r="F1004" s="118" t="s">
        <v>972</v>
      </c>
      <c r="G1004" s="110"/>
      <c r="H1004" s="123">
        <f>M1003</f>
        <v>8584.73</v>
      </c>
      <c r="I1004" s="110" t="s">
        <v>975</v>
      </c>
      <c r="J1004" s="110"/>
      <c r="K1004" s="110"/>
      <c r="L1004" s="118" t="s">
        <v>1582</v>
      </c>
      <c r="M1004" s="112">
        <f>TRUNC((D1004*H1004),2)</f>
        <v>3348.04</v>
      </c>
      <c r="N1004" s="113" t="s">
        <v>975</v>
      </c>
    </row>
    <row r="1005" spans="1:15" ht="16.149999999999999" customHeight="1">
      <c r="A1005" s="130"/>
      <c r="B1005" s="109"/>
      <c r="C1005" s="110"/>
      <c r="D1005" s="110"/>
      <c r="E1005" s="110"/>
      <c r="F1005" s="110"/>
      <c r="G1005" s="110"/>
      <c r="H1005" s="111"/>
      <c r="I1005" s="110"/>
      <c r="J1005" s="110"/>
      <c r="K1005" s="118" t="s">
        <v>1164</v>
      </c>
      <c r="L1005" s="118" t="s">
        <v>1582</v>
      </c>
      <c r="M1005" s="112">
        <f>TRUNC(SUM(M1003:M1004))</f>
        <v>11932</v>
      </c>
      <c r="N1005" s="113" t="s">
        <v>975</v>
      </c>
    </row>
    <row r="1006" spans="1:15" ht="18.600000000000001" customHeight="1">
      <c r="A1006" s="135"/>
      <c r="B1006" s="136"/>
      <c r="C1006" s="138"/>
      <c r="D1006" s="138"/>
      <c r="E1006" s="138"/>
      <c r="F1006" s="138"/>
      <c r="G1006" s="138"/>
      <c r="H1006" s="139"/>
      <c r="I1006" s="138"/>
      <c r="J1006" s="138"/>
      <c r="K1006" s="137"/>
      <c r="L1006" s="137"/>
      <c r="M1006" s="140"/>
      <c r="N1006" s="141"/>
      <c r="O1006" s="114" t="s">
        <v>3682</v>
      </c>
    </row>
    <row r="1007" spans="1:15" s="152" customFormat="1" ht="16.149999999999999" customHeight="1">
      <c r="A1007" s="146"/>
      <c r="B1007" s="147"/>
      <c r="C1007" s="148"/>
      <c r="D1007" s="148"/>
      <c r="E1007" s="148"/>
      <c r="F1007" s="148"/>
      <c r="G1007" s="148"/>
      <c r="H1007" s="149"/>
      <c r="I1007" s="148"/>
      <c r="J1007" s="148"/>
      <c r="K1007" s="148" t="s">
        <v>1118</v>
      </c>
      <c r="L1007" s="148" t="s">
        <v>1582</v>
      </c>
      <c r="M1007" s="150">
        <f>M993+M999+M1005</f>
        <v>88816</v>
      </c>
      <c r="N1007" s="151"/>
    </row>
    <row r="1008" spans="1:15" ht="16.149999999999999" customHeight="1">
      <c r="A1008" s="114"/>
    </row>
    <row r="1009" spans="1:15" s="107" customFormat="1" ht="16.149999999999999" customHeight="1">
      <c r="A1009" s="451">
        <f>A990+1</f>
        <v>54</v>
      </c>
      <c r="B1009" s="99" t="s">
        <v>1100</v>
      </c>
      <c r="C1009" s="100" t="s">
        <v>1526</v>
      </c>
      <c r="D1009" s="101" t="s">
        <v>3238</v>
      </c>
      <c r="E1009" s="102"/>
      <c r="F1009" s="102"/>
      <c r="G1009" s="100"/>
      <c r="H1009" s="103" t="s">
        <v>1527</v>
      </c>
      <c r="I1009" s="100" t="s">
        <v>1526</v>
      </c>
      <c r="J1009" s="102" t="s">
        <v>1130</v>
      </c>
      <c r="K1009" s="104" t="s">
        <v>847</v>
      </c>
      <c r="L1009" s="100" t="s">
        <v>1526</v>
      </c>
      <c r="M1009" s="105" t="s">
        <v>1139</v>
      </c>
      <c r="N1009" s="106"/>
    </row>
    <row r="1010" spans="1:15" ht="16.149999999999999" customHeight="1">
      <c r="A1010" s="108"/>
      <c r="B1010" s="109" t="s">
        <v>588</v>
      </c>
      <c r="C1010" s="110" t="s">
        <v>1582</v>
      </c>
      <c r="D1010" s="110" t="s">
        <v>589</v>
      </c>
      <c r="E1010" s="110" t="s">
        <v>86</v>
      </c>
      <c r="F1010" s="110" t="s">
        <v>590</v>
      </c>
      <c r="G1010" s="110" t="s">
        <v>86</v>
      </c>
      <c r="H1010" s="111" t="s">
        <v>2973</v>
      </c>
      <c r="I1010" s="110"/>
      <c r="J1010" s="110"/>
      <c r="K1010" s="110"/>
      <c r="L1010" s="110"/>
      <c r="M1010" s="112"/>
      <c r="N1010" s="113"/>
    </row>
    <row r="1011" spans="1:15" ht="16.149999999999999" customHeight="1">
      <c r="A1011" s="108"/>
      <c r="B1011" s="109"/>
      <c r="C1011" s="110"/>
      <c r="D1011" s="110"/>
      <c r="E1011" s="110"/>
      <c r="F1011" s="110"/>
      <c r="G1011" s="110"/>
      <c r="H1011" s="111"/>
      <c r="I1011" s="110"/>
      <c r="J1011" s="792"/>
      <c r="K1011" s="792"/>
      <c r="L1011" s="110"/>
      <c r="M1011" s="112"/>
      <c r="N1011" s="113"/>
    </row>
    <row r="1012" spans="1:15" ht="16.149999999999999" customHeight="1">
      <c r="A1012" s="115"/>
      <c r="F1012" s="117"/>
      <c r="G1012" s="118"/>
      <c r="H1012" s="119">
        <f>기계경비산출표!$E$164*1000</f>
        <v>478125000</v>
      </c>
      <c r="I1012" s="110" t="s">
        <v>972</v>
      </c>
      <c r="J1012" s="120">
        <v>1671</v>
      </c>
      <c r="K1012" s="118" t="s">
        <v>2974</v>
      </c>
      <c r="L1012" s="121" t="s">
        <v>1582</v>
      </c>
      <c r="M1012" s="112">
        <f>TRUNC(H1012*J1012*(10^-7))</f>
        <v>79894</v>
      </c>
      <c r="N1012" s="113" t="s">
        <v>975</v>
      </c>
    </row>
    <row r="1013" spans="1:15" ht="16.149999999999999" customHeight="1">
      <c r="A1013" s="115"/>
      <c r="B1013" s="122"/>
      <c r="C1013" s="118"/>
      <c r="D1013" s="33"/>
      <c r="E1013" s="110"/>
      <c r="F1013" s="118"/>
      <c r="G1013" s="118"/>
      <c r="H1013" s="123"/>
      <c r="I1013" s="118"/>
      <c r="J1013" s="110"/>
      <c r="K1013" s="110"/>
      <c r="L1013" s="110"/>
      <c r="M1013" s="112"/>
      <c r="N1013" s="113"/>
    </row>
    <row r="1014" spans="1:15" ht="16.149999999999999" customHeight="1">
      <c r="A1014" s="124"/>
      <c r="B1014" s="125" t="s">
        <v>1115</v>
      </c>
      <c r="C1014" s="126"/>
      <c r="D1014" s="126"/>
      <c r="E1014" s="126"/>
      <c r="F1014" s="126"/>
      <c r="G1014" s="126"/>
      <c r="H1014" s="127"/>
      <c r="I1014" s="126"/>
      <c r="J1014" s="126"/>
      <c r="K1014" s="126"/>
      <c r="L1014" s="126"/>
      <c r="M1014" s="128"/>
      <c r="N1014" s="129"/>
    </row>
    <row r="1015" spans="1:15" ht="16.149999999999999" customHeight="1">
      <c r="A1015" s="130"/>
      <c r="B1015" s="131" t="s">
        <v>3185</v>
      </c>
      <c r="C1015" s="118"/>
      <c r="D1015" s="33">
        <f>SUMIF('노임(2015)'!$B$4:$B$87,B1015,'노임(2015)'!$C$4:$C$87)+SUMIF('노임(2015)'!$E$4:$E$87,B1015,'노임(2015)'!$F$4:$F$87)</f>
        <v>130411</v>
      </c>
      <c r="E1015" s="110" t="s">
        <v>972</v>
      </c>
      <c r="F1015" s="110" t="s">
        <v>973</v>
      </c>
      <c r="G1015" s="132" t="s">
        <v>974</v>
      </c>
      <c r="H1015" s="111"/>
      <c r="I1015" s="110"/>
      <c r="J1015" s="110"/>
      <c r="K1015" s="133">
        <v>1</v>
      </c>
      <c r="L1015" s="118" t="s">
        <v>1582</v>
      </c>
      <c r="M1015" s="112">
        <f>TRUNC(D1015*(1/8)*(16/12)*(25/20)*K1015)</f>
        <v>27168</v>
      </c>
      <c r="N1015" s="113" t="s">
        <v>975</v>
      </c>
    </row>
    <row r="1016" spans="1:15" ht="16.149999999999999" customHeight="1">
      <c r="A1016" s="130"/>
      <c r="B1016" s="109"/>
      <c r="C1016" s="118"/>
      <c r="D1016" s="33"/>
      <c r="E1016" s="110"/>
      <c r="F1016" s="110"/>
      <c r="G1016" s="132"/>
      <c r="H1016" s="111"/>
      <c r="I1016" s="110"/>
      <c r="J1016" s="110"/>
      <c r="K1016" s="134"/>
      <c r="L1016" s="118"/>
      <c r="M1016" s="112"/>
      <c r="N1016" s="113"/>
    </row>
    <row r="1017" spans="1:15" ht="18.600000000000001" customHeight="1">
      <c r="A1017" s="130"/>
      <c r="B1017" s="109"/>
      <c r="C1017" s="118"/>
      <c r="D1017" s="33"/>
      <c r="E1017" s="110"/>
      <c r="F1017" s="110"/>
      <c r="G1017" s="132"/>
      <c r="H1017" s="111"/>
      <c r="I1017" s="110"/>
      <c r="J1017" s="110"/>
      <c r="K1017" s="134"/>
      <c r="L1017" s="118"/>
      <c r="M1017" s="112"/>
      <c r="N1017" s="113"/>
      <c r="O1017" s="114" t="s">
        <v>3682</v>
      </c>
    </row>
    <row r="1018" spans="1:15" ht="16.149999999999999" customHeight="1">
      <c r="A1018" s="130"/>
      <c r="B1018" s="109"/>
      <c r="C1018" s="118"/>
      <c r="D1018" s="110"/>
      <c r="E1018" s="110"/>
      <c r="F1018" s="110"/>
      <c r="G1018" s="110"/>
      <c r="H1018" s="111"/>
      <c r="I1018" s="791"/>
      <c r="J1018" s="791"/>
      <c r="K1018" s="118" t="s">
        <v>1164</v>
      </c>
      <c r="L1018" s="118" t="s">
        <v>1582</v>
      </c>
      <c r="M1018" s="112">
        <f>(M1015+M1016+M1017)</f>
        <v>27168</v>
      </c>
      <c r="N1018" s="113" t="s">
        <v>975</v>
      </c>
      <c r="O1018" s="114" t="s">
        <v>1115</v>
      </c>
    </row>
    <row r="1019" spans="1:15" ht="18.600000000000001" customHeight="1">
      <c r="A1019" s="130"/>
      <c r="B1019" s="109"/>
      <c r="C1019" s="118"/>
      <c r="D1019" s="110"/>
      <c r="E1019" s="110"/>
      <c r="F1019" s="110"/>
      <c r="G1019" s="110"/>
      <c r="H1019" s="111"/>
      <c r="I1019" s="118"/>
      <c r="J1019" s="118"/>
      <c r="K1019" s="118"/>
      <c r="L1019" s="118"/>
      <c r="M1019" s="112"/>
      <c r="N1019" s="113"/>
      <c r="O1019" s="114" t="s">
        <v>3682</v>
      </c>
    </row>
    <row r="1020" spans="1:15" ht="18.600000000000001" customHeight="1">
      <c r="A1020" s="135"/>
      <c r="B1020" s="136"/>
      <c r="C1020" s="137"/>
      <c r="D1020" s="138"/>
      <c r="E1020" s="138"/>
      <c r="F1020" s="138"/>
      <c r="G1020" s="138"/>
      <c r="H1020" s="139"/>
      <c r="I1020" s="137"/>
      <c r="J1020" s="137"/>
      <c r="K1020" s="137"/>
      <c r="L1020" s="137"/>
      <c r="M1020" s="140"/>
      <c r="N1020" s="141"/>
      <c r="O1020" s="114" t="s">
        <v>3682</v>
      </c>
    </row>
    <row r="1021" spans="1:15" ht="16.149999999999999" customHeight="1">
      <c r="A1021" s="124"/>
      <c r="B1021" s="125" t="s">
        <v>1116</v>
      </c>
      <c r="C1021" s="142"/>
      <c r="D1021" s="126"/>
      <c r="E1021" s="126"/>
      <c r="F1021" s="126"/>
      <c r="G1021" s="126"/>
      <c r="H1021" s="127"/>
      <c r="I1021" s="126"/>
      <c r="J1021" s="126"/>
      <c r="K1021" s="126"/>
      <c r="L1021" s="126"/>
      <c r="M1021" s="128"/>
      <c r="N1021" s="129"/>
    </row>
    <row r="1022" spans="1:15" ht="16.149999999999999" customHeight="1">
      <c r="A1022" s="130"/>
      <c r="B1022" s="131" t="s">
        <v>2461</v>
      </c>
      <c r="C1022" s="118" t="s">
        <v>1526</v>
      </c>
      <c r="D1022" s="118">
        <v>10</v>
      </c>
      <c r="E1022" s="110" t="s">
        <v>456</v>
      </c>
      <c r="F1022" s="118" t="s">
        <v>972</v>
      </c>
      <c r="G1022" s="110"/>
      <c r="H1022" s="123">
        <f>중기기준!$G$35</f>
        <v>1114.9000000000001</v>
      </c>
      <c r="I1022" s="110" t="s">
        <v>975</v>
      </c>
      <c r="J1022" s="110"/>
      <c r="K1022" s="110"/>
      <c r="L1022" s="118" t="s">
        <v>1582</v>
      </c>
      <c r="M1022" s="112">
        <f>TRUNC(D1022*H1022,2)</f>
        <v>11149</v>
      </c>
      <c r="N1022" s="113" t="s">
        <v>975</v>
      </c>
    </row>
    <row r="1023" spans="1:15" ht="16.149999999999999" customHeight="1">
      <c r="A1023" s="130"/>
      <c r="B1023" s="109" t="s">
        <v>1556</v>
      </c>
      <c r="C1023" s="118" t="s">
        <v>1526</v>
      </c>
      <c r="D1023" s="145">
        <v>0.56999999999999995</v>
      </c>
      <c r="E1023" s="110"/>
      <c r="F1023" s="118" t="s">
        <v>972</v>
      </c>
      <c r="G1023" s="110"/>
      <c r="H1023" s="123">
        <f>M1022</f>
        <v>11149</v>
      </c>
      <c r="I1023" s="110" t="s">
        <v>975</v>
      </c>
      <c r="J1023" s="110"/>
      <c r="K1023" s="110"/>
      <c r="L1023" s="118" t="s">
        <v>1582</v>
      </c>
      <c r="M1023" s="112">
        <f>TRUNC((D1023*H1023),2)</f>
        <v>6354.93</v>
      </c>
      <c r="N1023" s="113" t="s">
        <v>975</v>
      </c>
    </row>
    <row r="1024" spans="1:15" ht="16.149999999999999" customHeight="1">
      <c r="A1024" s="130"/>
      <c r="B1024" s="109"/>
      <c r="C1024" s="110"/>
      <c r="D1024" s="110"/>
      <c r="E1024" s="110"/>
      <c r="F1024" s="110"/>
      <c r="G1024" s="110"/>
      <c r="H1024" s="111"/>
      <c r="I1024" s="110"/>
      <c r="J1024" s="110"/>
      <c r="K1024" s="118" t="s">
        <v>1164</v>
      </c>
      <c r="L1024" s="118" t="s">
        <v>1582</v>
      </c>
      <c r="M1024" s="112">
        <f>TRUNC(SUM(M1022:M1023))</f>
        <v>17503</v>
      </c>
      <c r="N1024" s="113" t="s">
        <v>975</v>
      </c>
    </row>
    <row r="1025" spans="1:15" ht="18.600000000000001" customHeight="1">
      <c r="A1025" s="135"/>
      <c r="B1025" s="136"/>
      <c r="C1025" s="138"/>
      <c r="D1025" s="138"/>
      <c r="E1025" s="138"/>
      <c r="F1025" s="138"/>
      <c r="G1025" s="138"/>
      <c r="H1025" s="139"/>
      <c r="I1025" s="138"/>
      <c r="J1025" s="138"/>
      <c r="K1025" s="137"/>
      <c r="L1025" s="137"/>
      <c r="M1025" s="140"/>
      <c r="N1025" s="141"/>
      <c r="O1025" s="114" t="s">
        <v>3682</v>
      </c>
    </row>
    <row r="1026" spans="1:15" s="152" customFormat="1" ht="16.149999999999999" customHeight="1">
      <c r="A1026" s="146"/>
      <c r="B1026" s="147"/>
      <c r="C1026" s="148"/>
      <c r="D1026" s="148"/>
      <c r="E1026" s="148"/>
      <c r="F1026" s="148"/>
      <c r="G1026" s="148"/>
      <c r="H1026" s="149"/>
      <c r="I1026" s="148"/>
      <c r="J1026" s="148"/>
      <c r="K1026" s="148" t="s">
        <v>1118</v>
      </c>
      <c r="L1026" s="148" t="s">
        <v>1582</v>
      </c>
      <c r="M1026" s="150">
        <f>M1012+M1018+M1024</f>
        <v>124565</v>
      </c>
      <c r="N1026" s="151"/>
    </row>
    <row r="1027" spans="1:15" ht="16.149999999999999" customHeight="1">
      <c r="A1027" s="153"/>
      <c r="B1027" s="125"/>
      <c r="C1027" s="153"/>
      <c r="D1027" s="153"/>
      <c r="E1027" s="153"/>
      <c r="F1027" s="153"/>
      <c r="G1027" s="153"/>
      <c r="H1027" s="154"/>
      <c r="I1027" s="153"/>
      <c r="J1027" s="153"/>
      <c r="K1027" s="153"/>
      <c r="L1027" s="153"/>
      <c r="M1027" s="128"/>
      <c r="N1027" s="142"/>
    </row>
    <row r="1028" spans="1:15" s="107" customFormat="1" ht="16.149999999999999" customHeight="1">
      <c r="A1028" s="451">
        <f>A1009+1</f>
        <v>55</v>
      </c>
      <c r="B1028" s="99" t="s">
        <v>1100</v>
      </c>
      <c r="C1028" s="100" t="s">
        <v>1526</v>
      </c>
      <c r="D1028" s="101" t="s">
        <v>3238</v>
      </c>
      <c r="E1028" s="102"/>
      <c r="F1028" s="102"/>
      <c r="G1028" s="100"/>
      <c r="H1028" s="103" t="s">
        <v>1527</v>
      </c>
      <c r="I1028" s="100" t="s">
        <v>1526</v>
      </c>
      <c r="J1028" s="102" t="s">
        <v>1140</v>
      </c>
      <c r="K1028" s="104" t="s">
        <v>847</v>
      </c>
      <c r="L1028" s="100" t="s">
        <v>1526</v>
      </c>
      <c r="M1028" s="105" t="s">
        <v>1141</v>
      </c>
      <c r="N1028" s="106"/>
    </row>
    <row r="1029" spans="1:15" ht="16.149999999999999" customHeight="1">
      <c r="A1029" s="108"/>
      <c r="B1029" s="109" t="s">
        <v>588</v>
      </c>
      <c r="C1029" s="110" t="s">
        <v>1582</v>
      </c>
      <c r="D1029" s="110" t="s">
        <v>589</v>
      </c>
      <c r="E1029" s="110" t="s">
        <v>86</v>
      </c>
      <c r="F1029" s="110" t="s">
        <v>590</v>
      </c>
      <c r="G1029" s="110" t="s">
        <v>86</v>
      </c>
      <c r="H1029" s="111" t="s">
        <v>2973</v>
      </c>
      <c r="I1029" s="110"/>
      <c r="J1029" s="110"/>
      <c r="K1029" s="110"/>
      <c r="L1029" s="110"/>
      <c r="M1029" s="112"/>
      <c r="N1029" s="113"/>
    </row>
    <row r="1030" spans="1:15" ht="16.149999999999999" customHeight="1">
      <c r="A1030" s="108"/>
      <c r="B1030" s="109"/>
      <c r="C1030" s="110"/>
      <c r="D1030" s="110"/>
      <c r="E1030" s="110"/>
      <c r="F1030" s="110"/>
      <c r="G1030" s="110"/>
      <c r="H1030" s="111"/>
      <c r="I1030" s="110"/>
      <c r="J1030" s="792"/>
      <c r="K1030" s="792"/>
      <c r="L1030" s="110"/>
      <c r="M1030" s="112"/>
      <c r="N1030" s="113"/>
    </row>
    <row r="1031" spans="1:15" ht="16.149999999999999" customHeight="1">
      <c r="A1031" s="115"/>
      <c r="F1031" s="117"/>
      <c r="G1031" s="118"/>
      <c r="H1031" s="119">
        <f>기계경비산출표!$E$165*1000</f>
        <v>527430000</v>
      </c>
      <c r="I1031" s="110" t="s">
        <v>972</v>
      </c>
      <c r="J1031" s="120">
        <v>1559</v>
      </c>
      <c r="K1031" s="118" t="s">
        <v>2974</v>
      </c>
      <c r="L1031" s="121" t="s">
        <v>1582</v>
      </c>
      <c r="M1031" s="112">
        <f>TRUNC(H1031*J1031*(10^-7))</f>
        <v>82226</v>
      </c>
      <c r="N1031" s="113" t="s">
        <v>975</v>
      </c>
    </row>
    <row r="1032" spans="1:15" ht="16.149999999999999" customHeight="1">
      <c r="A1032" s="115"/>
      <c r="B1032" s="122"/>
      <c r="C1032" s="118"/>
      <c r="D1032" s="33"/>
      <c r="E1032" s="110"/>
      <c r="F1032" s="118"/>
      <c r="G1032" s="118"/>
      <c r="H1032" s="123"/>
      <c r="I1032" s="118"/>
      <c r="J1032" s="110"/>
      <c r="K1032" s="110"/>
      <c r="L1032" s="110"/>
      <c r="M1032" s="112"/>
      <c r="N1032" s="113"/>
    </row>
    <row r="1033" spans="1:15" ht="16.149999999999999" customHeight="1">
      <c r="A1033" s="124"/>
      <c r="B1033" s="125" t="s">
        <v>1115</v>
      </c>
      <c r="C1033" s="126"/>
      <c r="D1033" s="126"/>
      <c r="E1033" s="126"/>
      <c r="F1033" s="126"/>
      <c r="G1033" s="126"/>
      <c r="H1033" s="127"/>
      <c r="I1033" s="126"/>
      <c r="J1033" s="126"/>
      <c r="K1033" s="126"/>
      <c r="L1033" s="126"/>
      <c r="M1033" s="128"/>
      <c r="N1033" s="129"/>
    </row>
    <row r="1034" spans="1:15" ht="16.149999999999999" customHeight="1">
      <c r="A1034" s="130"/>
      <c r="B1034" s="131" t="s">
        <v>3185</v>
      </c>
      <c r="C1034" s="118"/>
      <c r="D1034" s="33">
        <f>SUMIF('노임(2015)'!$B$4:$B$87,B1034,'노임(2015)'!$C$4:$C$87)+SUMIF('노임(2015)'!$E$4:$E$87,B1034,'노임(2015)'!$F$4:$F$87)</f>
        <v>130411</v>
      </c>
      <c r="E1034" s="110" t="s">
        <v>972</v>
      </c>
      <c r="F1034" s="110" t="s">
        <v>973</v>
      </c>
      <c r="G1034" s="132" t="s">
        <v>974</v>
      </c>
      <c r="H1034" s="111"/>
      <c r="I1034" s="110"/>
      <c r="J1034" s="110"/>
      <c r="K1034" s="133">
        <v>1</v>
      </c>
      <c r="L1034" s="118" t="s">
        <v>1582</v>
      </c>
      <c r="M1034" s="112">
        <f>TRUNC(D1034*(1/8)*(16/12)*(25/20)*K1034)</f>
        <v>27168</v>
      </c>
      <c r="N1034" s="113" t="s">
        <v>975</v>
      </c>
    </row>
    <row r="1035" spans="1:15" ht="16.149999999999999" customHeight="1">
      <c r="A1035" s="130"/>
      <c r="B1035" s="109"/>
      <c r="C1035" s="118"/>
      <c r="D1035" s="33"/>
      <c r="E1035" s="110"/>
      <c r="F1035" s="110"/>
      <c r="G1035" s="132"/>
      <c r="H1035" s="111"/>
      <c r="I1035" s="110"/>
      <c r="J1035" s="110"/>
      <c r="K1035" s="134"/>
      <c r="L1035" s="118"/>
      <c r="M1035" s="112"/>
      <c r="N1035" s="113"/>
    </row>
    <row r="1036" spans="1:15" ht="18.600000000000001" customHeight="1">
      <c r="A1036" s="130"/>
      <c r="B1036" s="109"/>
      <c r="C1036" s="118"/>
      <c r="D1036" s="33"/>
      <c r="E1036" s="110"/>
      <c r="F1036" s="110"/>
      <c r="G1036" s="132"/>
      <c r="H1036" s="111"/>
      <c r="I1036" s="110"/>
      <c r="J1036" s="110"/>
      <c r="K1036" s="134"/>
      <c r="L1036" s="118"/>
      <c r="M1036" s="112"/>
      <c r="N1036" s="113"/>
      <c r="O1036" s="114" t="s">
        <v>3682</v>
      </c>
    </row>
    <row r="1037" spans="1:15" ht="16.149999999999999" customHeight="1">
      <c r="A1037" s="130"/>
      <c r="B1037" s="109"/>
      <c r="C1037" s="118"/>
      <c r="D1037" s="110"/>
      <c r="E1037" s="110"/>
      <c r="F1037" s="110"/>
      <c r="G1037" s="110"/>
      <c r="H1037" s="111"/>
      <c r="I1037" s="791"/>
      <c r="J1037" s="791"/>
      <c r="K1037" s="118" t="s">
        <v>1164</v>
      </c>
      <c r="L1037" s="118" t="s">
        <v>1582</v>
      </c>
      <c r="M1037" s="112">
        <f>(M1034+M1035+M1036)</f>
        <v>27168</v>
      </c>
      <c r="N1037" s="113" t="s">
        <v>975</v>
      </c>
      <c r="O1037" s="114" t="s">
        <v>1115</v>
      </c>
    </row>
    <row r="1038" spans="1:15" ht="18.600000000000001" customHeight="1">
      <c r="A1038" s="130"/>
      <c r="B1038" s="109"/>
      <c r="C1038" s="118"/>
      <c r="D1038" s="110"/>
      <c r="E1038" s="110"/>
      <c r="F1038" s="110"/>
      <c r="G1038" s="110"/>
      <c r="H1038" s="111"/>
      <c r="I1038" s="118"/>
      <c r="J1038" s="118"/>
      <c r="K1038" s="118"/>
      <c r="L1038" s="118"/>
      <c r="M1038" s="112"/>
      <c r="N1038" s="113"/>
      <c r="O1038" s="114" t="s">
        <v>3682</v>
      </c>
    </row>
    <row r="1039" spans="1:15" ht="18.600000000000001" customHeight="1">
      <c r="A1039" s="135"/>
      <c r="B1039" s="136"/>
      <c r="C1039" s="137"/>
      <c r="D1039" s="138"/>
      <c r="E1039" s="138"/>
      <c r="F1039" s="138"/>
      <c r="G1039" s="138"/>
      <c r="H1039" s="139"/>
      <c r="I1039" s="137"/>
      <c r="J1039" s="137"/>
      <c r="K1039" s="137"/>
      <c r="L1039" s="137"/>
      <c r="M1039" s="140"/>
      <c r="N1039" s="141"/>
      <c r="O1039" s="114" t="s">
        <v>3682</v>
      </c>
    </row>
    <row r="1040" spans="1:15" ht="16.149999999999999" customHeight="1">
      <c r="A1040" s="124"/>
      <c r="B1040" s="125" t="s">
        <v>1116</v>
      </c>
      <c r="C1040" s="142"/>
      <c r="D1040" s="126"/>
      <c r="E1040" s="126"/>
      <c r="F1040" s="126"/>
      <c r="G1040" s="126"/>
      <c r="H1040" s="127"/>
      <c r="I1040" s="126"/>
      <c r="J1040" s="126"/>
      <c r="K1040" s="126"/>
      <c r="L1040" s="126"/>
      <c r="M1040" s="128"/>
      <c r="N1040" s="129"/>
    </row>
    <row r="1041" spans="1:15" ht="16.149999999999999" customHeight="1">
      <c r="A1041" s="130"/>
      <c r="B1041" s="131" t="s">
        <v>2461</v>
      </c>
      <c r="C1041" s="118" t="s">
        <v>1526</v>
      </c>
      <c r="D1041" s="118">
        <v>10.6</v>
      </c>
      <c r="E1041" s="110" t="s">
        <v>456</v>
      </c>
      <c r="F1041" s="118" t="s">
        <v>972</v>
      </c>
      <c r="G1041" s="110"/>
      <c r="H1041" s="123">
        <f>중기기준!$G$35</f>
        <v>1114.9000000000001</v>
      </c>
      <c r="I1041" s="110" t="s">
        <v>975</v>
      </c>
      <c r="J1041" s="110"/>
      <c r="K1041" s="110"/>
      <c r="L1041" s="118" t="s">
        <v>1582</v>
      </c>
      <c r="M1041" s="112">
        <f>TRUNC(D1041*H1041,2)</f>
        <v>11817.94</v>
      </c>
      <c r="N1041" s="113" t="s">
        <v>975</v>
      </c>
    </row>
    <row r="1042" spans="1:15" ht="16.149999999999999" customHeight="1">
      <c r="A1042" s="130"/>
      <c r="B1042" s="109" t="s">
        <v>1556</v>
      </c>
      <c r="C1042" s="118" t="s">
        <v>1526</v>
      </c>
      <c r="D1042" s="145">
        <v>0.56999999999999995</v>
      </c>
      <c r="E1042" s="110"/>
      <c r="F1042" s="118" t="s">
        <v>972</v>
      </c>
      <c r="G1042" s="110"/>
      <c r="H1042" s="123">
        <f>M1041</f>
        <v>11817.94</v>
      </c>
      <c r="I1042" s="110" t="s">
        <v>975</v>
      </c>
      <c r="J1042" s="110"/>
      <c r="K1042" s="110"/>
      <c r="L1042" s="118" t="s">
        <v>1582</v>
      </c>
      <c r="M1042" s="112">
        <f>TRUNC((D1042*H1042),2)</f>
        <v>6736.22</v>
      </c>
      <c r="N1042" s="113" t="s">
        <v>975</v>
      </c>
    </row>
    <row r="1043" spans="1:15" ht="16.149999999999999" customHeight="1">
      <c r="A1043" s="130"/>
      <c r="B1043" s="109"/>
      <c r="C1043" s="110"/>
      <c r="D1043" s="110"/>
      <c r="E1043" s="110"/>
      <c r="F1043" s="110"/>
      <c r="G1043" s="110"/>
      <c r="H1043" s="111"/>
      <c r="I1043" s="110"/>
      <c r="J1043" s="110"/>
      <c r="K1043" s="118" t="s">
        <v>1164</v>
      </c>
      <c r="L1043" s="118" t="s">
        <v>1582</v>
      </c>
      <c r="M1043" s="112">
        <f>TRUNC(SUM(M1041:M1042))</f>
        <v>18554</v>
      </c>
      <c r="N1043" s="113" t="s">
        <v>975</v>
      </c>
    </row>
    <row r="1044" spans="1:15" ht="18.600000000000001" customHeight="1">
      <c r="A1044" s="135"/>
      <c r="B1044" s="136"/>
      <c r="C1044" s="138"/>
      <c r="D1044" s="138"/>
      <c r="E1044" s="138"/>
      <c r="F1044" s="138"/>
      <c r="G1044" s="138"/>
      <c r="H1044" s="139"/>
      <c r="I1044" s="138"/>
      <c r="J1044" s="138"/>
      <c r="K1044" s="137"/>
      <c r="L1044" s="137"/>
      <c r="M1044" s="140"/>
      <c r="N1044" s="141"/>
      <c r="O1044" s="114" t="s">
        <v>3682</v>
      </c>
    </row>
    <row r="1045" spans="1:15" s="152" customFormat="1" ht="16.149999999999999" customHeight="1">
      <c r="A1045" s="146"/>
      <c r="B1045" s="147"/>
      <c r="C1045" s="148"/>
      <c r="D1045" s="148"/>
      <c r="E1045" s="148"/>
      <c r="F1045" s="148"/>
      <c r="G1045" s="148"/>
      <c r="H1045" s="149"/>
      <c r="I1045" s="148"/>
      <c r="J1045" s="148"/>
      <c r="K1045" s="148" t="s">
        <v>1118</v>
      </c>
      <c r="L1045" s="148" t="s">
        <v>1582</v>
      </c>
      <c r="M1045" s="150">
        <f>M1031+M1037+M1043</f>
        <v>127948</v>
      </c>
      <c r="N1045" s="151"/>
    </row>
    <row r="1046" spans="1:15" ht="16.149999999999999" customHeight="1">
      <c r="A1046" s="114"/>
    </row>
    <row r="1047" spans="1:15" s="107" customFormat="1" ht="16.149999999999999" customHeight="1">
      <c r="A1047" s="451">
        <f>A1028+1</f>
        <v>56</v>
      </c>
      <c r="B1047" s="99" t="s">
        <v>1100</v>
      </c>
      <c r="C1047" s="100" t="s">
        <v>1526</v>
      </c>
      <c r="D1047" s="101" t="s">
        <v>3238</v>
      </c>
      <c r="E1047" s="102"/>
      <c r="F1047" s="102"/>
      <c r="G1047" s="100"/>
      <c r="H1047" s="103" t="s">
        <v>1527</v>
      </c>
      <c r="I1047" s="100" t="s">
        <v>1526</v>
      </c>
      <c r="J1047" s="102" t="s">
        <v>1134</v>
      </c>
      <c r="K1047" s="104" t="s">
        <v>847</v>
      </c>
      <c r="L1047" s="102" t="s">
        <v>1526</v>
      </c>
      <c r="M1047" s="105" t="s">
        <v>1142</v>
      </c>
      <c r="N1047" s="106"/>
    </row>
    <row r="1048" spans="1:15" ht="16.149999999999999" customHeight="1">
      <c r="A1048" s="108"/>
      <c r="B1048" s="109" t="s">
        <v>588</v>
      </c>
      <c r="C1048" s="110" t="s">
        <v>1582</v>
      </c>
      <c r="D1048" s="110" t="s">
        <v>589</v>
      </c>
      <c r="E1048" s="110" t="s">
        <v>86</v>
      </c>
      <c r="F1048" s="110" t="s">
        <v>590</v>
      </c>
      <c r="G1048" s="110" t="s">
        <v>86</v>
      </c>
      <c r="H1048" s="111" t="s">
        <v>2973</v>
      </c>
      <c r="I1048" s="110"/>
      <c r="J1048" s="110"/>
      <c r="K1048" s="110"/>
      <c r="L1048" s="110"/>
      <c r="M1048" s="112"/>
      <c r="N1048" s="113"/>
    </row>
    <row r="1049" spans="1:15" ht="16.149999999999999" customHeight="1">
      <c r="A1049" s="108"/>
      <c r="B1049" s="109"/>
      <c r="C1049" s="110"/>
      <c r="D1049" s="110"/>
      <c r="E1049" s="110"/>
      <c r="F1049" s="110"/>
      <c r="G1049" s="110"/>
      <c r="H1049" s="111"/>
      <c r="I1049" s="110"/>
      <c r="J1049" s="792"/>
      <c r="K1049" s="792"/>
      <c r="L1049" s="110"/>
      <c r="M1049" s="112"/>
      <c r="N1049" s="113"/>
    </row>
    <row r="1050" spans="1:15" ht="16.149999999999999" customHeight="1">
      <c r="A1050" s="115"/>
      <c r="F1050" s="117"/>
      <c r="G1050" s="118"/>
      <c r="H1050" s="119">
        <f>기계경비산출표!$E$167*1000</f>
        <v>757335000</v>
      </c>
      <c r="I1050" s="110" t="s">
        <v>972</v>
      </c>
      <c r="J1050" s="120">
        <v>1559</v>
      </c>
      <c r="K1050" s="118" t="s">
        <v>2974</v>
      </c>
      <c r="L1050" s="121" t="s">
        <v>1582</v>
      </c>
      <c r="M1050" s="112">
        <f>TRUNC(H1050*J1050*(10^-7))</f>
        <v>118068</v>
      </c>
      <c r="N1050" s="113" t="s">
        <v>975</v>
      </c>
    </row>
    <row r="1051" spans="1:15" ht="16.149999999999999" customHeight="1">
      <c r="A1051" s="115"/>
      <c r="B1051" s="122"/>
      <c r="C1051" s="118"/>
      <c r="D1051" s="33"/>
      <c r="E1051" s="110"/>
      <c r="F1051" s="118"/>
      <c r="G1051" s="118"/>
      <c r="H1051" s="123"/>
      <c r="I1051" s="118"/>
      <c r="J1051" s="110"/>
      <c r="K1051" s="110"/>
      <c r="L1051" s="110"/>
      <c r="M1051" s="112"/>
      <c r="N1051" s="113"/>
    </row>
    <row r="1052" spans="1:15" ht="16.149999999999999" customHeight="1">
      <c r="A1052" s="124"/>
      <c r="B1052" s="125" t="s">
        <v>1115</v>
      </c>
      <c r="C1052" s="126"/>
      <c r="D1052" s="126"/>
      <c r="E1052" s="126"/>
      <c r="F1052" s="126"/>
      <c r="G1052" s="126"/>
      <c r="H1052" s="127"/>
      <c r="I1052" s="126"/>
      <c r="J1052" s="126"/>
      <c r="K1052" s="126"/>
      <c r="L1052" s="126"/>
      <c r="M1052" s="128"/>
      <c r="N1052" s="129"/>
    </row>
    <row r="1053" spans="1:15" ht="16.149999999999999" customHeight="1">
      <c r="A1053" s="130"/>
      <c r="B1053" s="131" t="s">
        <v>3185</v>
      </c>
      <c r="C1053" s="118"/>
      <c r="D1053" s="33">
        <f>SUMIF('노임(2015)'!$B$4:$B$87,B1053,'노임(2015)'!$C$4:$C$87)+SUMIF('노임(2015)'!$E$4:$E$87,B1053,'노임(2015)'!$F$4:$F$87)</f>
        <v>130411</v>
      </c>
      <c r="E1053" s="110" t="s">
        <v>972</v>
      </c>
      <c r="F1053" s="110" t="s">
        <v>973</v>
      </c>
      <c r="G1053" s="132" t="s">
        <v>974</v>
      </c>
      <c r="H1053" s="111"/>
      <c r="I1053" s="110"/>
      <c r="J1053" s="110"/>
      <c r="K1053" s="133">
        <v>1</v>
      </c>
      <c r="L1053" s="118" t="s">
        <v>1582</v>
      </c>
      <c r="M1053" s="112">
        <f>TRUNC(D1053*(1/8)*(16/12)*(25/20)*K1053)</f>
        <v>27168</v>
      </c>
      <c r="N1053" s="113" t="s">
        <v>975</v>
      </c>
    </row>
    <row r="1054" spans="1:15" ht="16.149999999999999" customHeight="1">
      <c r="A1054" s="130"/>
      <c r="B1054" s="109"/>
      <c r="C1054" s="118"/>
      <c r="D1054" s="33"/>
      <c r="E1054" s="110"/>
      <c r="F1054" s="110"/>
      <c r="G1054" s="132"/>
      <c r="H1054" s="111"/>
      <c r="I1054" s="110"/>
      <c r="J1054" s="110"/>
      <c r="K1054" s="134"/>
      <c r="L1054" s="118"/>
      <c r="M1054" s="112"/>
      <c r="N1054" s="113"/>
    </row>
    <row r="1055" spans="1:15" ht="18.600000000000001" customHeight="1">
      <c r="A1055" s="130"/>
      <c r="B1055" s="109"/>
      <c r="C1055" s="118"/>
      <c r="D1055" s="33"/>
      <c r="E1055" s="110"/>
      <c r="F1055" s="110"/>
      <c r="G1055" s="132"/>
      <c r="H1055" s="111"/>
      <c r="I1055" s="110"/>
      <c r="J1055" s="110"/>
      <c r="K1055" s="134"/>
      <c r="L1055" s="118"/>
      <c r="M1055" s="112"/>
      <c r="N1055" s="113"/>
      <c r="O1055" s="114" t="s">
        <v>3682</v>
      </c>
    </row>
    <row r="1056" spans="1:15" ht="16.149999999999999" customHeight="1">
      <c r="A1056" s="130"/>
      <c r="B1056" s="109"/>
      <c r="C1056" s="118"/>
      <c r="D1056" s="110"/>
      <c r="E1056" s="110"/>
      <c r="F1056" s="110"/>
      <c r="G1056" s="110"/>
      <c r="H1056" s="111"/>
      <c r="I1056" s="791"/>
      <c r="J1056" s="791"/>
      <c r="K1056" s="118" t="s">
        <v>1164</v>
      </c>
      <c r="L1056" s="118" t="s">
        <v>1582</v>
      </c>
      <c r="M1056" s="112">
        <f>(M1053+M1054+M1055)</f>
        <v>27168</v>
      </c>
      <c r="N1056" s="113" t="s">
        <v>975</v>
      </c>
      <c r="O1056" s="114" t="s">
        <v>1115</v>
      </c>
    </row>
    <row r="1057" spans="1:15" ht="18.600000000000001" customHeight="1">
      <c r="A1057" s="130"/>
      <c r="B1057" s="109"/>
      <c r="C1057" s="118"/>
      <c r="D1057" s="110"/>
      <c r="E1057" s="110"/>
      <c r="F1057" s="110"/>
      <c r="G1057" s="110"/>
      <c r="H1057" s="111"/>
      <c r="I1057" s="118"/>
      <c r="J1057" s="118"/>
      <c r="K1057" s="118"/>
      <c r="L1057" s="118"/>
      <c r="M1057" s="112"/>
      <c r="N1057" s="113"/>
      <c r="O1057" s="114" t="s">
        <v>3682</v>
      </c>
    </row>
    <row r="1058" spans="1:15" ht="18.600000000000001" customHeight="1">
      <c r="A1058" s="135"/>
      <c r="B1058" s="136"/>
      <c r="C1058" s="137"/>
      <c r="D1058" s="138"/>
      <c r="E1058" s="138"/>
      <c r="F1058" s="138"/>
      <c r="G1058" s="138"/>
      <c r="H1058" s="139"/>
      <c r="I1058" s="137"/>
      <c r="J1058" s="137"/>
      <c r="K1058" s="137"/>
      <c r="L1058" s="137"/>
      <c r="M1058" s="140"/>
      <c r="N1058" s="141"/>
      <c r="O1058" s="114" t="s">
        <v>3682</v>
      </c>
    </row>
    <row r="1059" spans="1:15" ht="16.149999999999999" customHeight="1">
      <c r="A1059" s="124"/>
      <c r="B1059" s="125" t="s">
        <v>1116</v>
      </c>
      <c r="C1059" s="142"/>
      <c r="D1059" s="126"/>
      <c r="E1059" s="126"/>
      <c r="F1059" s="126"/>
      <c r="G1059" s="126"/>
      <c r="H1059" s="127"/>
      <c r="I1059" s="126"/>
      <c r="J1059" s="126"/>
      <c r="K1059" s="126"/>
      <c r="L1059" s="126"/>
      <c r="M1059" s="128"/>
      <c r="N1059" s="129"/>
    </row>
    <row r="1060" spans="1:15" ht="16.149999999999999" customHeight="1">
      <c r="A1060" s="130"/>
      <c r="B1060" s="131" t="s">
        <v>2461</v>
      </c>
      <c r="C1060" s="118" t="s">
        <v>1526</v>
      </c>
      <c r="D1060" s="118">
        <v>12.3</v>
      </c>
      <c r="E1060" s="110" t="s">
        <v>456</v>
      </c>
      <c r="F1060" s="118" t="s">
        <v>972</v>
      </c>
      <c r="G1060" s="110"/>
      <c r="H1060" s="123">
        <f>중기기준!$G$35</f>
        <v>1114.9000000000001</v>
      </c>
      <c r="I1060" s="110" t="s">
        <v>975</v>
      </c>
      <c r="J1060" s="110"/>
      <c r="K1060" s="110"/>
      <c r="L1060" s="118" t="s">
        <v>1582</v>
      </c>
      <c r="M1060" s="112">
        <f>TRUNC(D1060*H1060,2)</f>
        <v>13713.27</v>
      </c>
      <c r="N1060" s="113" t="s">
        <v>975</v>
      </c>
    </row>
    <row r="1061" spans="1:15" ht="16.149999999999999" customHeight="1">
      <c r="A1061" s="130"/>
      <c r="B1061" s="109" t="s">
        <v>1556</v>
      </c>
      <c r="C1061" s="118" t="s">
        <v>1526</v>
      </c>
      <c r="D1061" s="145">
        <v>0.56999999999999995</v>
      </c>
      <c r="E1061" s="110"/>
      <c r="F1061" s="118" t="s">
        <v>972</v>
      </c>
      <c r="G1061" s="110"/>
      <c r="H1061" s="123">
        <f>M1060</f>
        <v>13713.27</v>
      </c>
      <c r="I1061" s="110" t="s">
        <v>975</v>
      </c>
      <c r="J1061" s="110"/>
      <c r="K1061" s="110"/>
      <c r="L1061" s="118" t="s">
        <v>1582</v>
      </c>
      <c r="M1061" s="112">
        <f>TRUNC((D1061*H1061),2)</f>
        <v>7816.56</v>
      </c>
      <c r="N1061" s="113" t="s">
        <v>975</v>
      </c>
    </row>
    <row r="1062" spans="1:15" ht="16.149999999999999" customHeight="1">
      <c r="A1062" s="130"/>
      <c r="B1062" s="109"/>
      <c r="C1062" s="110"/>
      <c r="D1062" s="110"/>
      <c r="E1062" s="110"/>
      <c r="F1062" s="110"/>
      <c r="G1062" s="110"/>
      <c r="H1062" s="111"/>
      <c r="I1062" s="110"/>
      <c r="J1062" s="110"/>
      <c r="K1062" s="118" t="s">
        <v>1164</v>
      </c>
      <c r="L1062" s="118" t="s">
        <v>1582</v>
      </c>
      <c r="M1062" s="112">
        <f>TRUNC(SUM(M1060:M1061))</f>
        <v>21529</v>
      </c>
      <c r="N1062" s="113" t="s">
        <v>975</v>
      </c>
    </row>
    <row r="1063" spans="1:15" ht="18.600000000000001" customHeight="1">
      <c r="A1063" s="135"/>
      <c r="B1063" s="136"/>
      <c r="C1063" s="138"/>
      <c r="D1063" s="138"/>
      <c r="E1063" s="138"/>
      <c r="F1063" s="138"/>
      <c r="G1063" s="138"/>
      <c r="H1063" s="139"/>
      <c r="I1063" s="138"/>
      <c r="J1063" s="138"/>
      <c r="K1063" s="137"/>
      <c r="L1063" s="137"/>
      <c r="M1063" s="140"/>
      <c r="N1063" s="141"/>
      <c r="O1063" s="114" t="s">
        <v>3682</v>
      </c>
    </row>
    <row r="1064" spans="1:15" s="152" customFormat="1" ht="16.149999999999999" customHeight="1">
      <c r="A1064" s="146"/>
      <c r="B1064" s="147"/>
      <c r="C1064" s="148"/>
      <c r="D1064" s="148"/>
      <c r="E1064" s="148"/>
      <c r="F1064" s="148"/>
      <c r="G1064" s="148"/>
      <c r="H1064" s="149"/>
      <c r="I1064" s="148"/>
      <c r="J1064" s="148"/>
      <c r="K1064" s="148" t="s">
        <v>1118</v>
      </c>
      <c r="L1064" s="148" t="s">
        <v>1582</v>
      </c>
      <c r="M1064" s="150">
        <f>M1050+M1056+M1062</f>
        <v>166765</v>
      </c>
      <c r="N1064" s="151"/>
    </row>
    <row r="1065" spans="1:15" ht="16.149999999999999" customHeight="1">
      <c r="A1065" s="153"/>
      <c r="B1065" s="125"/>
      <c r="C1065" s="153"/>
      <c r="D1065" s="153"/>
      <c r="E1065" s="153"/>
      <c r="F1065" s="153"/>
      <c r="G1065" s="153"/>
      <c r="H1065" s="154"/>
      <c r="I1065" s="153"/>
      <c r="J1065" s="153"/>
      <c r="K1065" s="153"/>
      <c r="L1065" s="153"/>
      <c r="M1065" s="128"/>
      <c r="N1065" s="142"/>
    </row>
    <row r="1066" spans="1:15" s="107" customFormat="1" ht="16.149999999999999" customHeight="1">
      <c r="A1066" s="451">
        <f>A1047+1</f>
        <v>57</v>
      </c>
      <c r="B1066" s="99" t="s">
        <v>1100</v>
      </c>
      <c r="C1066" s="100" t="s">
        <v>1526</v>
      </c>
      <c r="D1066" s="101" t="s">
        <v>1143</v>
      </c>
      <c r="E1066" s="102"/>
      <c r="F1066" s="102"/>
      <c r="G1066" s="100"/>
      <c r="H1066" s="103" t="s">
        <v>1527</v>
      </c>
      <c r="I1066" s="100" t="s">
        <v>1526</v>
      </c>
      <c r="J1066" s="102" t="s">
        <v>1144</v>
      </c>
      <c r="K1066" s="104" t="s">
        <v>847</v>
      </c>
      <c r="L1066" s="102" t="s">
        <v>1526</v>
      </c>
      <c r="M1066" s="105" t="s">
        <v>463</v>
      </c>
      <c r="N1066" s="106"/>
    </row>
    <row r="1067" spans="1:15" ht="16.149999999999999" customHeight="1">
      <c r="A1067" s="108"/>
      <c r="B1067" s="109" t="s">
        <v>588</v>
      </c>
      <c r="C1067" s="110" t="s">
        <v>1582</v>
      </c>
      <c r="D1067" s="110" t="s">
        <v>589</v>
      </c>
      <c r="E1067" s="110" t="s">
        <v>86</v>
      </c>
      <c r="F1067" s="110" t="s">
        <v>590</v>
      </c>
      <c r="G1067" s="110" t="s">
        <v>86</v>
      </c>
      <c r="H1067" s="111" t="s">
        <v>2973</v>
      </c>
      <c r="I1067" s="110"/>
      <c r="J1067" s="110"/>
      <c r="K1067" s="110"/>
      <c r="L1067" s="110"/>
      <c r="M1067" s="112"/>
      <c r="N1067" s="113"/>
    </row>
    <row r="1068" spans="1:15" ht="16.149999999999999" customHeight="1">
      <c r="A1068" s="108"/>
      <c r="B1068" s="109"/>
      <c r="C1068" s="110"/>
      <c r="D1068" s="110"/>
      <c r="E1068" s="110"/>
      <c r="F1068" s="110"/>
      <c r="G1068" s="110"/>
      <c r="H1068" s="111"/>
      <c r="I1068" s="110"/>
      <c r="J1068" s="792"/>
      <c r="K1068" s="792"/>
      <c r="L1068" s="110"/>
      <c r="M1068" s="112"/>
      <c r="N1068" s="113"/>
    </row>
    <row r="1069" spans="1:15" ht="16.149999999999999" customHeight="1">
      <c r="A1069" s="115"/>
      <c r="F1069" s="117"/>
      <c r="G1069" s="118"/>
      <c r="H1069" s="119">
        <f>기계경비산출표!$E$171*1000</f>
        <v>33960000</v>
      </c>
      <c r="I1069" s="110" t="s">
        <v>972</v>
      </c>
      <c r="J1069" s="120">
        <v>2503</v>
      </c>
      <c r="K1069" s="118" t="s">
        <v>2974</v>
      </c>
      <c r="L1069" s="121" t="s">
        <v>1582</v>
      </c>
      <c r="M1069" s="112">
        <f>TRUNC(H1069*J1069*(10^-7))</f>
        <v>8500</v>
      </c>
      <c r="N1069" s="113" t="s">
        <v>975</v>
      </c>
    </row>
    <row r="1070" spans="1:15" ht="16.149999999999999" customHeight="1">
      <c r="A1070" s="115"/>
      <c r="B1070" s="122"/>
      <c r="C1070" s="118"/>
      <c r="D1070" s="33"/>
      <c r="E1070" s="110"/>
      <c r="F1070" s="118"/>
      <c r="G1070" s="118"/>
      <c r="H1070" s="123"/>
      <c r="I1070" s="118"/>
      <c r="J1070" s="110"/>
      <c r="K1070" s="110"/>
      <c r="L1070" s="110"/>
      <c r="M1070" s="112"/>
      <c r="N1070" s="113"/>
    </row>
    <row r="1071" spans="1:15" ht="16.149999999999999" customHeight="1">
      <c r="A1071" s="124"/>
      <c r="B1071" s="125" t="s">
        <v>1115</v>
      </c>
      <c r="C1071" s="126"/>
      <c r="D1071" s="126"/>
      <c r="E1071" s="126"/>
      <c r="F1071" s="126"/>
      <c r="G1071" s="126"/>
      <c r="H1071" s="127"/>
      <c r="I1071" s="126"/>
      <c r="J1071" s="126"/>
      <c r="K1071" s="126"/>
      <c r="L1071" s="126"/>
      <c r="M1071" s="128"/>
      <c r="N1071" s="129"/>
    </row>
    <row r="1072" spans="1:15" ht="16.149999999999999" customHeight="1">
      <c r="A1072" s="162"/>
      <c r="B1072" s="131" t="s">
        <v>3186</v>
      </c>
      <c r="C1072" s="118"/>
      <c r="D1072" s="33">
        <f>SUMIF('노임(2015)'!$B$4:$B$87,B1072,'노임(2015)'!$C$4:$C$87)+SUMIF('노임(2015)'!$E$4:$E$87,B1072,'노임(2015)'!$F$4:$F$87)</f>
        <v>117523</v>
      </c>
      <c r="E1072" s="110" t="s">
        <v>972</v>
      </c>
      <c r="F1072" s="110" t="s">
        <v>973</v>
      </c>
      <c r="G1072" s="132" t="s">
        <v>974</v>
      </c>
      <c r="H1072" s="111"/>
      <c r="I1072" s="110"/>
      <c r="J1072" s="110"/>
      <c r="K1072" s="133">
        <v>1</v>
      </c>
      <c r="L1072" s="118" t="s">
        <v>1582</v>
      </c>
      <c r="M1072" s="112">
        <f>TRUNC(D1072*(1/8)*(16/12)*(25/20)*K1072)</f>
        <v>24483</v>
      </c>
      <c r="N1072" s="113" t="s">
        <v>975</v>
      </c>
    </row>
    <row r="1073" spans="1:15" ht="16.149999999999999" customHeight="1">
      <c r="A1073" s="130"/>
      <c r="B1073" s="109"/>
      <c r="C1073" s="118"/>
      <c r="D1073" s="33">
        <f>SUMIF('노임(2015)'!$B$4:$B$87,B1073,'노임(2015)'!$C$4:$C$87)+SUMIF('노임(2015)'!$E$4:$E$87,B1073,'노임(2015)'!$F$4:$F$87)</f>
        <v>0</v>
      </c>
      <c r="E1073" s="110"/>
      <c r="F1073" s="110"/>
      <c r="G1073" s="132"/>
      <c r="H1073" s="111"/>
      <c r="I1073" s="110"/>
      <c r="J1073" s="110"/>
      <c r="K1073" s="134"/>
      <c r="L1073" s="118"/>
      <c r="M1073" s="112"/>
      <c r="N1073" s="113"/>
    </row>
    <row r="1074" spans="1:15" ht="18.600000000000001" customHeight="1">
      <c r="A1074" s="130"/>
      <c r="B1074" s="109"/>
      <c r="C1074" s="118"/>
      <c r="D1074" s="33"/>
      <c r="E1074" s="110"/>
      <c r="F1074" s="110"/>
      <c r="G1074" s="132"/>
      <c r="H1074" s="111"/>
      <c r="I1074" s="110"/>
      <c r="J1074" s="110"/>
      <c r="K1074" s="134"/>
      <c r="L1074" s="118"/>
      <c r="M1074" s="112"/>
      <c r="N1074" s="113"/>
      <c r="O1074" s="114" t="s">
        <v>3682</v>
      </c>
    </row>
    <row r="1075" spans="1:15" ht="16.149999999999999" customHeight="1">
      <c r="A1075" s="130"/>
      <c r="B1075" s="109"/>
      <c r="C1075" s="118"/>
      <c r="D1075" s="110"/>
      <c r="E1075" s="110"/>
      <c r="F1075" s="110"/>
      <c r="G1075" s="110"/>
      <c r="H1075" s="111"/>
      <c r="I1075" s="791"/>
      <c r="J1075" s="791"/>
      <c r="K1075" s="118" t="s">
        <v>1164</v>
      </c>
      <c r="L1075" s="118" t="s">
        <v>1582</v>
      </c>
      <c r="M1075" s="112">
        <f>(M1072+M1073+M1074)</f>
        <v>24483</v>
      </c>
      <c r="N1075" s="113" t="s">
        <v>975</v>
      </c>
      <c r="O1075" s="114" t="s">
        <v>1115</v>
      </c>
    </row>
    <row r="1076" spans="1:15" ht="18.600000000000001" customHeight="1">
      <c r="A1076" s="130"/>
      <c r="B1076" s="109"/>
      <c r="C1076" s="118"/>
      <c r="D1076" s="110"/>
      <c r="E1076" s="110"/>
      <c r="F1076" s="110"/>
      <c r="G1076" s="110"/>
      <c r="H1076" s="111"/>
      <c r="I1076" s="118"/>
      <c r="J1076" s="118"/>
      <c r="K1076" s="118"/>
      <c r="L1076" s="118"/>
      <c r="M1076" s="112"/>
      <c r="N1076" s="113"/>
      <c r="O1076" s="114" t="s">
        <v>3682</v>
      </c>
    </row>
    <row r="1077" spans="1:15" ht="18.600000000000001" customHeight="1">
      <c r="A1077" s="135"/>
      <c r="B1077" s="136"/>
      <c r="C1077" s="137"/>
      <c r="D1077" s="138"/>
      <c r="E1077" s="138"/>
      <c r="F1077" s="138"/>
      <c r="G1077" s="138"/>
      <c r="H1077" s="139"/>
      <c r="I1077" s="137"/>
      <c r="J1077" s="137"/>
      <c r="K1077" s="137"/>
      <c r="L1077" s="137"/>
      <c r="M1077" s="140"/>
      <c r="N1077" s="141"/>
      <c r="O1077" s="114" t="s">
        <v>3682</v>
      </c>
    </row>
    <row r="1078" spans="1:15" ht="16.149999999999999" customHeight="1">
      <c r="A1078" s="124"/>
      <c r="B1078" s="125" t="s">
        <v>1116</v>
      </c>
      <c r="C1078" s="142"/>
      <c r="D1078" s="126"/>
      <c r="E1078" s="126"/>
      <c r="F1078" s="126"/>
      <c r="G1078" s="126"/>
      <c r="H1078" s="127"/>
      <c r="I1078" s="126"/>
      <c r="J1078" s="126"/>
      <c r="K1078" s="126"/>
      <c r="L1078" s="126"/>
      <c r="M1078" s="128"/>
      <c r="N1078" s="129"/>
    </row>
    <row r="1079" spans="1:15" ht="16.149999999999999" customHeight="1">
      <c r="A1079" s="130"/>
      <c r="B1079" s="131" t="s">
        <v>2461</v>
      </c>
      <c r="C1079" s="118" t="s">
        <v>1526</v>
      </c>
      <c r="D1079" s="118">
        <v>5.0999999999999996</v>
      </c>
      <c r="E1079" s="110" t="s">
        <v>456</v>
      </c>
      <c r="F1079" s="118" t="s">
        <v>972</v>
      </c>
      <c r="G1079" s="110"/>
      <c r="H1079" s="123">
        <f>중기기준!$G$35</f>
        <v>1114.9000000000001</v>
      </c>
      <c r="I1079" s="110" t="s">
        <v>975</v>
      </c>
      <c r="J1079" s="110"/>
      <c r="K1079" s="110"/>
      <c r="L1079" s="118" t="s">
        <v>1582</v>
      </c>
      <c r="M1079" s="112">
        <f>TRUNC(D1079*H1079,2)</f>
        <v>5685.99</v>
      </c>
      <c r="N1079" s="113" t="s">
        <v>975</v>
      </c>
    </row>
    <row r="1080" spans="1:15" ht="16.149999999999999" customHeight="1">
      <c r="A1080" s="130"/>
      <c r="B1080" s="109" t="s">
        <v>1556</v>
      </c>
      <c r="C1080" s="118" t="s">
        <v>1526</v>
      </c>
      <c r="D1080" s="145">
        <v>0.2</v>
      </c>
      <c r="E1080" s="110"/>
      <c r="F1080" s="118" t="s">
        <v>972</v>
      </c>
      <c r="G1080" s="110"/>
      <c r="H1080" s="123">
        <f>M1079</f>
        <v>5685.99</v>
      </c>
      <c r="I1080" s="110" t="s">
        <v>975</v>
      </c>
      <c r="J1080" s="110"/>
      <c r="K1080" s="110"/>
      <c r="L1080" s="118" t="s">
        <v>1582</v>
      </c>
      <c r="M1080" s="112">
        <f>TRUNC((D1080*H1080),2)</f>
        <v>1137.19</v>
      </c>
      <c r="N1080" s="113" t="s">
        <v>975</v>
      </c>
    </row>
    <row r="1081" spans="1:15" ht="16.149999999999999" customHeight="1">
      <c r="A1081" s="130"/>
      <c r="B1081" s="109"/>
      <c r="C1081" s="110"/>
      <c r="D1081" s="110"/>
      <c r="E1081" s="110"/>
      <c r="F1081" s="110"/>
      <c r="G1081" s="110"/>
      <c r="H1081" s="111"/>
      <c r="I1081" s="110"/>
      <c r="J1081" s="110"/>
      <c r="K1081" s="118" t="s">
        <v>1164</v>
      </c>
      <c r="L1081" s="118" t="s">
        <v>1582</v>
      </c>
      <c r="M1081" s="112">
        <f>TRUNC(SUM(M1079:M1080))</f>
        <v>6823</v>
      </c>
      <c r="N1081" s="113" t="s">
        <v>975</v>
      </c>
    </row>
    <row r="1082" spans="1:15" ht="18.600000000000001" customHeight="1">
      <c r="A1082" s="135"/>
      <c r="B1082" s="136"/>
      <c r="C1082" s="138"/>
      <c r="D1082" s="138"/>
      <c r="E1082" s="138"/>
      <c r="F1082" s="138"/>
      <c r="G1082" s="138"/>
      <c r="H1082" s="139"/>
      <c r="I1082" s="138"/>
      <c r="J1082" s="138"/>
      <c r="K1082" s="137"/>
      <c r="L1082" s="137"/>
      <c r="M1082" s="140"/>
      <c r="N1082" s="141"/>
      <c r="O1082" s="114" t="s">
        <v>3682</v>
      </c>
    </row>
    <row r="1083" spans="1:15" s="152" customFormat="1" ht="16.149999999999999" customHeight="1">
      <c r="A1083" s="146"/>
      <c r="B1083" s="147"/>
      <c r="C1083" s="148"/>
      <c r="D1083" s="148"/>
      <c r="E1083" s="148"/>
      <c r="F1083" s="148"/>
      <c r="G1083" s="148"/>
      <c r="H1083" s="149"/>
      <c r="I1083" s="148"/>
      <c r="J1083" s="148"/>
      <c r="K1083" s="148" t="s">
        <v>1118</v>
      </c>
      <c r="L1083" s="148" t="s">
        <v>1582</v>
      </c>
      <c r="M1083" s="150">
        <f>M1069+M1075+M1081</f>
        <v>39806</v>
      </c>
      <c r="N1083" s="151"/>
    </row>
    <row r="1084" spans="1:15" ht="16.149999999999999" customHeight="1">
      <c r="A1084" s="114"/>
    </row>
    <row r="1085" spans="1:15" s="107" customFormat="1" ht="16.149999999999999" customHeight="1">
      <c r="A1085" s="451">
        <f>A1066+1</f>
        <v>58</v>
      </c>
      <c r="B1085" s="99" t="s">
        <v>1100</v>
      </c>
      <c r="C1085" s="100" t="s">
        <v>1526</v>
      </c>
      <c r="D1085" s="101" t="s">
        <v>1363</v>
      </c>
      <c r="E1085" s="102"/>
      <c r="F1085" s="102"/>
      <c r="G1085" s="100"/>
      <c r="H1085" s="103" t="s">
        <v>1527</v>
      </c>
      <c r="I1085" s="100" t="s">
        <v>1526</v>
      </c>
      <c r="J1085" s="167" t="s">
        <v>1364</v>
      </c>
      <c r="K1085" s="104" t="s">
        <v>847</v>
      </c>
      <c r="L1085" s="100" t="s">
        <v>1526</v>
      </c>
      <c r="M1085" s="105" t="s">
        <v>2274</v>
      </c>
      <c r="N1085" s="106"/>
    </row>
    <row r="1086" spans="1:15" ht="16.149999999999999" customHeight="1">
      <c r="A1086" s="108"/>
      <c r="B1086" s="109" t="s">
        <v>588</v>
      </c>
      <c r="C1086" s="110" t="s">
        <v>1582</v>
      </c>
      <c r="D1086" s="110" t="s">
        <v>589</v>
      </c>
      <c r="E1086" s="110" t="s">
        <v>86</v>
      </c>
      <c r="F1086" s="110" t="s">
        <v>590</v>
      </c>
      <c r="G1086" s="110" t="s">
        <v>86</v>
      </c>
      <c r="H1086" s="111" t="s">
        <v>2973</v>
      </c>
      <c r="I1086" s="110"/>
      <c r="J1086" s="110"/>
      <c r="K1086" s="110"/>
      <c r="L1086" s="110"/>
      <c r="M1086" s="112"/>
      <c r="N1086" s="113"/>
    </row>
    <row r="1087" spans="1:15" ht="16.149999999999999" customHeight="1">
      <c r="A1087" s="108"/>
      <c r="B1087" s="109"/>
      <c r="C1087" s="110"/>
      <c r="D1087" s="110"/>
      <c r="E1087" s="110"/>
      <c r="F1087" s="110"/>
      <c r="G1087" s="110"/>
      <c r="H1087" s="111"/>
      <c r="I1087" s="110"/>
      <c r="J1087" s="792"/>
      <c r="K1087" s="792"/>
      <c r="L1087" s="110"/>
      <c r="M1087" s="112"/>
      <c r="N1087" s="113"/>
    </row>
    <row r="1088" spans="1:15" ht="16.149999999999999" customHeight="1">
      <c r="A1088" s="115"/>
      <c r="F1088" s="117"/>
      <c r="G1088" s="118"/>
      <c r="H1088" s="119">
        <f>기계경비산출표!$E$224*1000</f>
        <v>1626000</v>
      </c>
      <c r="I1088" s="110" t="s">
        <v>972</v>
      </c>
      <c r="J1088" s="120">
        <v>3440</v>
      </c>
      <c r="K1088" s="118" t="s">
        <v>2974</v>
      </c>
      <c r="L1088" s="121" t="s">
        <v>1582</v>
      </c>
      <c r="M1088" s="112">
        <f>TRUNC(H1088*J1088*(10^-7))</f>
        <v>559</v>
      </c>
      <c r="N1088" s="113" t="s">
        <v>975</v>
      </c>
    </row>
    <row r="1089" spans="1:15" ht="16.149999999999999" customHeight="1">
      <c r="A1089" s="115"/>
      <c r="B1089" s="122"/>
      <c r="C1089" s="118"/>
      <c r="D1089" s="33"/>
      <c r="E1089" s="110"/>
      <c r="F1089" s="118"/>
      <c r="G1089" s="118"/>
      <c r="H1089" s="123"/>
      <c r="I1089" s="118"/>
      <c r="J1089" s="110"/>
      <c r="K1089" s="110"/>
      <c r="L1089" s="110"/>
      <c r="M1089" s="112"/>
      <c r="N1089" s="113"/>
    </row>
    <row r="1090" spans="1:15" ht="16.149999999999999" customHeight="1">
      <c r="A1090" s="124"/>
      <c r="B1090" s="125" t="s">
        <v>1115</v>
      </c>
      <c r="C1090" s="126"/>
      <c r="D1090" s="126"/>
      <c r="E1090" s="126"/>
      <c r="F1090" s="126"/>
      <c r="G1090" s="126"/>
      <c r="H1090" s="127"/>
      <c r="I1090" s="126"/>
      <c r="J1090" s="126"/>
      <c r="K1090" s="126"/>
      <c r="L1090" s="126"/>
      <c r="M1090" s="128"/>
      <c r="N1090" s="129"/>
    </row>
    <row r="1091" spans="1:15" ht="16.149999999999999" customHeight="1">
      <c r="A1091" s="130"/>
      <c r="B1091" s="131" t="s">
        <v>3189</v>
      </c>
      <c r="C1091" s="118"/>
      <c r="D1091" s="33">
        <f>SUMIF('노임(2015)'!$B$4:$B$87,B1091,'노임(2015)'!$C$4:$C$87)+SUMIF('노임(2015)'!$E$4:$E$87,B1091,'노임(2015)'!$F$4:$F$87)</f>
        <v>90909</v>
      </c>
      <c r="E1091" s="110" t="s">
        <v>972</v>
      </c>
      <c r="F1091" s="110" t="s">
        <v>973</v>
      </c>
      <c r="G1091" s="132" t="s">
        <v>974</v>
      </c>
      <c r="H1091" s="111"/>
      <c r="I1091" s="110"/>
      <c r="J1091" s="110"/>
      <c r="K1091" s="133">
        <v>1</v>
      </c>
      <c r="L1091" s="118" t="s">
        <v>1582</v>
      </c>
      <c r="M1091" s="112">
        <f>TRUNC(D1091*(1/8)*(16/12)*(25/20)*K1091)</f>
        <v>18939</v>
      </c>
      <c r="N1091" s="113" t="s">
        <v>975</v>
      </c>
    </row>
    <row r="1092" spans="1:15" ht="16.149999999999999" customHeight="1">
      <c r="A1092" s="130"/>
      <c r="B1092" s="109"/>
      <c r="C1092" s="118"/>
      <c r="D1092" s="33">
        <f>SUMIF('노임(2015)'!$B$4:$B$87,B1092,'노임(2015)'!$C$4:$C$87)+SUMIF('노임(2015)'!$E$4:$E$87,B1092,'노임(2015)'!$F$4:$F$87)</f>
        <v>0</v>
      </c>
      <c r="E1092" s="110"/>
      <c r="F1092" s="110"/>
      <c r="G1092" s="132"/>
      <c r="H1092" s="111"/>
      <c r="I1092" s="110"/>
      <c r="J1092" s="110"/>
      <c r="K1092" s="134"/>
      <c r="L1092" s="118"/>
      <c r="M1092" s="112"/>
      <c r="N1092" s="113"/>
    </row>
    <row r="1093" spans="1:15" ht="18.600000000000001" customHeight="1">
      <c r="A1093" s="130"/>
      <c r="B1093" s="109"/>
      <c r="C1093" s="118"/>
      <c r="D1093" s="33"/>
      <c r="E1093" s="110"/>
      <c r="F1093" s="110"/>
      <c r="G1093" s="132"/>
      <c r="H1093" s="111"/>
      <c r="I1093" s="110"/>
      <c r="J1093" s="110"/>
      <c r="K1093" s="134"/>
      <c r="L1093" s="118"/>
      <c r="M1093" s="112"/>
      <c r="N1093" s="113"/>
      <c r="O1093" s="114" t="s">
        <v>3682</v>
      </c>
    </row>
    <row r="1094" spans="1:15" ht="16.149999999999999" customHeight="1">
      <c r="A1094" s="130"/>
      <c r="B1094" s="109"/>
      <c r="C1094" s="118"/>
      <c r="D1094" s="110"/>
      <c r="E1094" s="110"/>
      <c r="F1094" s="110"/>
      <c r="G1094" s="110"/>
      <c r="H1094" s="111"/>
      <c r="I1094" s="791"/>
      <c r="J1094" s="791"/>
      <c r="K1094" s="118" t="s">
        <v>1164</v>
      </c>
      <c r="L1094" s="118" t="s">
        <v>1582</v>
      </c>
      <c r="M1094" s="112">
        <f>(M1091+M1092+M1093)</f>
        <v>18939</v>
      </c>
      <c r="N1094" s="113" t="s">
        <v>975</v>
      </c>
      <c r="O1094" s="114" t="s">
        <v>1115</v>
      </c>
    </row>
    <row r="1095" spans="1:15" ht="18.600000000000001" customHeight="1">
      <c r="A1095" s="130"/>
      <c r="B1095" s="109"/>
      <c r="C1095" s="118"/>
      <c r="D1095" s="110"/>
      <c r="E1095" s="110"/>
      <c r="F1095" s="110"/>
      <c r="G1095" s="110"/>
      <c r="H1095" s="111"/>
      <c r="I1095" s="118"/>
      <c r="J1095" s="118"/>
      <c r="K1095" s="118"/>
      <c r="L1095" s="118"/>
      <c r="M1095" s="112"/>
      <c r="N1095" s="113"/>
      <c r="O1095" s="114" t="s">
        <v>3682</v>
      </c>
    </row>
    <row r="1096" spans="1:15" ht="18.600000000000001" customHeight="1">
      <c r="A1096" s="135"/>
      <c r="B1096" s="136"/>
      <c r="C1096" s="137"/>
      <c r="D1096" s="138"/>
      <c r="E1096" s="138"/>
      <c r="F1096" s="138"/>
      <c r="G1096" s="138"/>
      <c r="H1096" s="139"/>
      <c r="I1096" s="137"/>
      <c r="J1096" s="137"/>
      <c r="K1096" s="137"/>
      <c r="L1096" s="137"/>
      <c r="M1096" s="140"/>
      <c r="N1096" s="141"/>
      <c r="O1096" s="114" t="s">
        <v>3682</v>
      </c>
    </row>
    <row r="1097" spans="1:15" ht="16.149999999999999" customHeight="1">
      <c r="A1097" s="124"/>
      <c r="B1097" s="125" t="s">
        <v>1116</v>
      </c>
      <c r="C1097" s="142"/>
      <c r="D1097" s="126"/>
      <c r="E1097" s="126"/>
      <c r="F1097" s="126"/>
      <c r="G1097" s="126"/>
      <c r="H1097" s="127"/>
      <c r="I1097" s="126"/>
      <c r="J1097" s="126"/>
      <c r="K1097" s="126"/>
      <c r="L1097" s="126"/>
      <c r="M1097" s="128"/>
      <c r="N1097" s="129"/>
    </row>
    <row r="1098" spans="1:15" ht="16.149999999999999" customHeight="1">
      <c r="A1098" s="130"/>
      <c r="B1098" s="131" t="s">
        <v>2461</v>
      </c>
      <c r="C1098" s="118" t="s">
        <v>1526</v>
      </c>
      <c r="D1098" s="118">
        <v>1.3</v>
      </c>
      <c r="E1098" s="110" t="s">
        <v>456</v>
      </c>
      <c r="F1098" s="118" t="s">
        <v>972</v>
      </c>
      <c r="G1098" s="110"/>
      <c r="H1098" s="123">
        <f>중기기준!$G$35</f>
        <v>1114.9000000000001</v>
      </c>
      <c r="I1098" s="110" t="s">
        <v>975</v>
      </c>
      <c r="J1098" s="110"/>
      <c r="K1098" s="110"/>
      <c r="L1098" s="118" t="s">
        <v>1582</v>
      </c>
      <c r="M1098" s="112">
        <f>TRUNC(D1098*H1098,2)</f>
        <v>1449.37</v>
      </c>
      <c r="N1098" s="113" t="s">
        <v>975</v>
      </c>
    </row>
    <row r="1099" spans="1:15" ht="16.149999999999999" customHeight="1">
      <c r="A1099" s="130"/>
      <c r="B1099" s="109" t="s">
        <v>1556</v>
      </c>
      <c r="C1099" s="118" t="s">
        <v>1526</v>
      </c>
      <c r="D1099" s="145">
        <v>0.2</v>
      </c>
      <c r="E1099" s="110"/>
      <c r="F1099" s="118" t="s">
        <v>972</v>
      </c>
      <c r="G1099" s="110"/>
      <c r="H1099" s="123">
        <f>M1098</f>
        <v>1449.37</v>
      </c>
      <c r="I1099" s="110" t="s">
        <v>975</v>
      </c>
      <c r="J1099" s="110"/>
      <c r="K1099" s="110"/>
      <c r="L1099" s="118" t="s">
        <v>1582</v>
      </c>
      <c r="M1099" s="112">
        <f>TRUNC((D1099*H1099),2)</f>
        <v>289.87</v>
      </c>
      <c r="N1099" s="113" t="s">
        <v>975</v>
      </c>
    </row>
    <row r="1100" spans="1:15" ht="16.149999999999999" customHeight="1">
      <c r="A1100" s="130"/>
      <c r="B1100" s="109"/>
      <c r="C1100" s="110"/>
      <c r="D1100" s="110"/>
      <c r="E1100" s="110"/>
      <c r="F1100" s="110"/>
      <c r="G1100" s="110"/>
      <c r="H1100" s="111"/>
      <c r="I1100" s="110"/>
      <c r="J1100" s="110"/>
      <c r="K1100" s="118" t="s">
        <v>1164</v>
      </c>
      <c r="L1100" s="118" t="s">
        <v>1582</v>
      </c>
      <c r="M1100" s="112">
        <f>TRUNC(SUM(M1098:M1099))</f>
        <v>1739</v>
      </c>
      <c r="N1100" s="113" t="s">
        <v>975</v>
      </c>
    </row>
    <row r="1101" spans="1:15" ht="18.600000000000001" customHeight="1">
      <c r="A1101" s="135"/>
      <c r="B1101" s="136"/>
      <c r="C1101" s="138"/>
      <c r="D1101" s="138"/>
      <c r="E1101" s="138"/>
      <c r="F1101" s="138"/>
      <c r="G1101" s="138"/>
      <c r="H1101" s="139"/>
      <c r="I1101" s="138"/>
      <c r="J1101" s="138"/>
      <c r="K1101" s="137"/>
      <c r="L1101" s="137"/>
      <c r="M1101" s="140"/>
      <c r="N1101" s="141"/>
      <c r="O1101" s="114" t="s">
        <v>3682</v>
      </c>
    </row>
    <row r="1102" spans="1:15" s="152" customFormat="1" ht="16.149999999999999" customHeight="1">
      <c r="A1102" s="146"/>
      <c r="B1102" s="147"/>
      <c r="C1102" s="148"/>
      <c r="D1102" s="148"/>
      <c r="E1102" s="148"/>
      <c r="F1102" s="148"/>
      <c r="G1102" s="148"/>
      <c r="H1102" s="149"/>
      <c r="I1102" s="148"/>
      <c r="J1102" s="148"/>
      <c r="K1102" s="148" t="s">
        <v>1118</v>
      </c>
      <c r="L1102" s="148" t="s">
        <v>1582</v>
      </c>
      <c r="M1102" s="150">
        <f>M1088+M1094+M1100</f>
        <v>21237</v>
      </c>
      <c r="N1102" s="151"/>
    </row>
    <row r="1103" spans="1:15" ht="16.149999999999999" customHeight="1">
      <c r="A1103" s="153"/>
      <c r="B1103" s="125"/>
      <c r="C1103" s="153"/>
      <c r="D1103" s="153"/>
      <c r="E1103" s="153"/>
      <c r="F1103" s="153"/>
      <c r="G1103" s="153"/>
      <c r="H1103" s="154"/>
      <c r="I1103" s="153"/>
      <c r="J1103" s="153"/>
      <c r="K1103" s="153"/>
      <c r="L1103" s="153"/>
      <c r="M1103" s="128"/>
      <c r="N1103" s="142"/>
    </row>
    <row r="1104" spans="1:15" s="107" customFormat="1" ht="16.149999999999999" customHeight="1">
      <c r="A1104" s="451">
        <f>A1085+1</f>
        <v>59</v>
      </c>
      <c r="B1104" s="99" t="s">
        <v>1100</v>
      </c>
      <c r="C1104" s="100" t="s">
        <v>1526</v>
      </c>
      <c r="D1104" s="101" t="s">
        <v>797</v>
      </c>
      <c r="E1104" s="102"/>
      <c r="F1104" s="102"/>
      <c r="G1104" s="100"/>
      <c r="H1104" s="103" t="s">
        <v>1527</v>
      </c>
      <c r="I1104" s="100" t="s">
        <v>1526</v>
      </c>
      <c r="J1104" s="167" t="s">
        <v>93</v>
      </c>
      <c r="K1104" s="104" t="s">
        <v>847</v>
      </c>
      <c r="L1104" s="100" t="s">
        <v>1526</v>
      </c>
      <c r="M1104" s="105" t="s">
        <v>2275</v>
      </c>
      <c r="N1104" s="106"/>
    </row>
    <row r="1105" spans="1:15" ht="16.149999999999999" customHeight="1">
      <c r="A1105" s="108"/>
      <c r="B1105" s="109" t="s">
        <v>588</v>
      </c>
      <c r="C1105" s="110" t="s">
        <v>1582</v>
      </c>
      <c r="D1105" s="110" t="s">
        <v>589</v>
      </c>
      <c r="E1105" s="110" t="s">
        <v>86</v>
      </c>
      <c r="F1105" s="110" t="s">
        <v>590</v>
      </c>
      <c r="G1105" s="110" t="s">
        <v>86</v>
      </c>
      <c r="H1105" s="111" t="s">
        <v>2973</v>
      </c>
      <c r="I1105" s="110"/>
      <c r="J1105" s="110"/>
      <c r="K1105" s="110"/>
      <c r="L1105" s="110"/>
      <c r="M1105" s="112"/>
      <c r="N1105" s="113"/>
    </row>
    <row r="1106" spans="1:15" ht="16.149999999999999" customHeight="1">
      <c r="A1106" s="108"/>
      <c r="B1106" s="109"/>
      <c r="C1106" s="110"/>
      <c r="D1106" s="110"/>
      <c r="E1106" s="110"/>
      <c r="F1106" s="110"/>
      <c r="G1106" s="110"/>
      <c r="H1106" s="111"/>
      <c r="I1106" s="110"/>
      <c r="J1106" s="792"/>
      <c r="K1106" s="792"/>
      <c r="L1106" s="110"/>
      <c r="M1106" s="112"/>
      <c r="N1106" s="113"/>
    </row>
    <row r="1107" spans="1:15" ht="16.149999999999999" customHeight="1">
      <c r="A1107" s="115"/>
      <c r="F1107" s="117"/>
      <c r="G1107" s="118"/>
      <c r="H1107" s="119">
        <f>기계경비산출표!$E$232*1000</f>
        <v>17105000</v>
      </c>
      <c r="I1107" s="110" t="s">
        <v>972</v>
      </c>
      <c r="J1107" s="120">
        <v>1973</v>
      </c>
      <c r="K1107" s="118" t="s">
        <v>2974</v>
      </c>
      <c r="L1107" s="121" t="s">
        <v>1582</v>
      </c>
      <c r="M1107" s="112">
        <f>TRUNC(H1107*J1107*(10^-7))</f>
        <v>3374</v>
      </c>
      <c r="N1107" s="113" t="s">
        <v>975</v>
      </c>
    </row>
    <row r="1108" spans="1:15" ht="16.149999999999999" customHeight="1">
      <c r="A1108" s="115"/>
      <c r="B1108" s="122"/>
      <c r="C1108" s="118"/>
      <c r="D1108" s="33"/>
      <c r="E1108" s="110"/>
      <c r="F1108" s="118"/>
      <c r="G1108" s="118"/>
      <c r="H1108" s="123"/>
      <c r="I1108" s="118"/>
      <c r="J1108" s="110"/>
      <c r="K1108" s="110"/>
      <c r="L1108" s="110"/>
      <c r="M1108" s="112"/>
      <c r="N1108" s="113"/>
    </row>
    <row r="1109" spans="1:15" ht="16.149999999999999" customHeight="1">
      <c r="A1109" s="124"/>
      <c r="B1109" s="125" t="s">
        <v>1115</v>
      </c>
      <c r="C1109" s="126"/>
      <c r="D1109" s="126"/>
      <c r="E1109" s="126"/>
      <c r="F1109" s="126"/>
      <c r="G1109" s="126"/>
      <c r="H1109" s="127"/>
      <c r="I1109" s="126"/>
      <c r="J1109" s="126"/>
      <c r="K1109" s="126"/>
      <c r="L1109" s="126"/>
      <c r="M1109" s="128"/>
      <c r="N1109" s="129"/>
    </row>
    <row r="1110" spans="1:15" ht="16.149999999999999" customHeight="1">
      <c r="A1110" s="130"/>
      <c r="B1110" s="131" t="s">
        <v>3186</v>
      </c>
      <c r="C1110" s="118"/>
      <c r="D1110" s="33">
        <f>SUMIF('노임(2015)'!$B$4:$B$87,B1110,'노임(2015)'!$C$4:$C$87)+SUMIF('노임(2015)'!$E$4:$E$87,B1110,'노임(2015)'!$F$4:$F$87)</f>
        <v>117523</v>
      </c>
      <c r="E1110" s="110" t="s">
        <v>972</v>
      </c>
      <c r="F1110" s="110" t="s">
        <v>973</v>
      </c>
      <c r="G1110" s="132" t="s">
        <v>974</v>
      </c>
      <c r="H1110" s="111"/>
      <c r="I1110" s="110"/>
      <c r="J1110" s="110"/>
      <c r="K1110" s="133">
        <v>1</v>
      </c>
      <c r="L1110" s="118" t="s">
        <v>1582</v>
      </c>
      <c r="M1110" s="112">
        <f>TRUNC(D1110*(1/8)*(16/12)*(25/20)*K1110)</f>
        <v>24483</v>
      </c>
      <c r="N1110" s="113" t="s">
        <v>975</v>
      </c>
    </row>
    <row r="1111" spans="1:15" ht="16.149999999999999" customHeight="1">
      <c r="A1111" s="130"/>
      <c r="B1111" s="109"/>
      <c r="C1111" s="118"/>
      <c r="D1111" s="33">
        <f>SUMIF('노임(2015)'!$B$4:$B$87,B1111,'노임(2015)'!$C$4:$C$87)+SUMIF('노임(2015)'!$E$4:$E$87,B1111,'노임(2015)'!$F$4:$F$87)</f>
        <v>0</v>
      </c>
      <c r="E1111" s="110"/>
      <c r="F1111" s="110"/>
      <c r="G1111" s="132"/>
      <c r="H1111" s="111"/>
      <c r="I1111" s="110"/>
      <c r="J1111" s="110"/>
      <c r="K1111" s="134"/>
      <c r="L1111" s="118"/>
      <c r="M1111" s="112"/>
      <c r="N1111" s="113"/>
    </row>
    <row r="1112" spans="1:15" ht="18.600000000000001" customHeight="1">
      <c r="A1112" s="130"/>
      <c r="B1112" s="109"/>
      <c r="C1112" s="118"/>
      <c r="D1112" s="33"/>
      <c r="E1112" s="110"/>
      <c r="F1112" s="110"/>
      <c r="G1112" s="132"/>
      <c r="H1112" s="111"/>
      <c r="I1112" s="110"/>
      <c r="J1112" s="110"/>
      <c r="K1112" s="134"/>
      <c r="L1112" s="118"/>
      <c r="M1112" s="112"/>
      <c r="N1112" s="113"/>
      <c r="O1112" s="114" t="s">
        <v>3682</v>
      </c>
    </row>
    <row r="1113" spans="1:15" ht="16.149999999999999" customHeight="1">
      <c r="A1113" s="130"/>
      <c r="B1113" s="109"/>
      <c r="C1113" s="118"/>
      <c r="D1113" s="110"/>
      <c r="E1113" s="110"/>
      <c r="F1113" s="110"/>
      <c r="G1113" s="110"/>
      <c r="H1113" s="111"/>
      <c r="I1113" s="791"/>
      <c r="J1113" s="791"/>
      <c r="K1113" s="118" t="s">
        <v>1164</v>
      </c>
      <c r="L1113" s="118" t="s">
        <v>1582</v>
      </c>
      <c r="M1113" s="112">
        <f>(M1110+M1111+M1112)</f>
        <v>24483</v>
      </c>
      <c r="N1113" s="113" t="s">
        <v>975</v>
      </c>
      <c r="O1113" s="114" t="s">
        <v>1115</v>
      </c>
    </row>
    <row r="1114" spans="1:15" ht="18.600000000000001" customHeight="1">
      <c r="A1114" s="130"/>
      <c r="B1114" s="109"/>
      <c r="C1114" s="118"/>
      <c r="D1114" s="110"/>
      <c r="E1114" s="110"/>
      <c r="F1114" s="110"/>
      <c r="G1114" s="110"/>
      <c r="H1114" s="111"/>
      <c r="I1114" s="118"/>
      <c r="J1114" s="118"/>
      <c r="K1114" s="118"/>
      <c r="L1114" s="118"/>
      <c r="M1114" s="112"/>
      <c r="N1114" s="113"/>
      <c r="O1114" s="114" t="s">
        <v>3682</v>
      </c>
    </row>
    <row r="1115" spans="1:15" ht="18.600000000000001" customHeight="1">
      <c r="A1115" s="135"/>
      <c r="B1115" s="136"/>
      <c r="C1115" s="137"/>
      <c r="D1115" s="138"/>
      <c r="E1115" s="138"/>
      <c r="F1115" s="138"/>
      <c r="G1115" s="138"/>
      <c r="H1115" s="139"/>
      <c r="I1115" s="137"/>
      <c r="J1115" s="137"/>
      <c r="K1115" s="137"/>
      <c r="L1115" s="137"/>
      <c r="M1115" s="140"/>
      <c r="N1115" s="141"/>
      <c r="O1115" s="114" t="s">
        <v>3682</v>
      </c>
    </row>
    <row r="1116" spans="1:15" ht="16.149999999999999" customHeight="1">
      <c r="A1116" s="124"/>
      <c r="B1116" s="125" t="s">
        <v>1116</v>
      </c>
      <c r="C1116" s="142"/>
      <c r="D1116" s="126"/>
      <c r="E1116" s="126"/>
      <c r="F1116" s="126"/>
      <c r="G1116" s="126"/>
      <c r="H1116" s="127"/>
      <c r="I1116" s="126"/>
      <c r="J1116" s="126"/>
      <c r="K1116" s="126"/>
      <c r="L1116" s="126"/>
      <c r="M1116" s="128"/>
      <c r="N1116" s="129"/>
    </row>
    <row r="1117" spans="1:15" ht="16.149999999999999" customHeight="1">
      <c r="A1117" s="130"/>
      <c r="B1117" s="131" t="s">
        <v>2461</v>
      </c>
      <c r="C1117" s="118" t="s">
        <v>1526</v>
      </c>
      <c r="D1117" s="118">
        <v>9.1999999999999993</v>
      </c>
      <c r="E1117" s="110" t="s">
        <v>456</v>
      </c>
      <c r="F1117" s="118" t="s">
        <v>972</v>
      </c>
      <c r="G1117" s="110"/>
      <c r="H1117" s="123">
        <f>중기기준!$G$35</f>
        <v>1114.9000000000001</v>
      </c>
      <c r="I1117" s="110" t="s">
        <v>975</v>
      </c>
      <c r="J1117" s="110"/>
      <c r="K1117" s="110"/>
      <c r="L1117" s="118" t="s">
        <v>1582</v>
      </c>
      <c r="M1117" s="112">
        <f>TRUNC(D1117*H1117,2)</f>
        <v>10257.08</v>
      </c>
      <c r="N1117" s="113" t="s">
        <v>975</v>
      </c>
    </row>
    <row r="1118" spans="1:15" ht="16.149999999999999" customHeight="1">
      <c r="A1118" s="130"/>
      <c r="B1118" s="109" t="s">
        <v>1556</v>
      </c>
      <c r="C1118" s="118" t="s">
        <v>1526</v>
      </c>
      <c r="D1118" s="145">
        <v>0.28999999999999998</v>
      </c>
      <c r="E1118" s="110"/>
      <c r="F1118" s="118" t="s">
        <v>972</v>
      </c>
      <c r="G1118" s="110"/>
      <c r="H1118" s="123">
        <f>M1117</f>
        <v>10257.08</v>
      </c>
      <c r="I1118" s="110" t="s">
        <v>975</v>
      </c>
      <c r="J1118" s="110"/>
      <c r="K1118" s="110"/>
      <c r="L1118" s="118" t="s">
        <v>1582</v>
      </c>
      <c r="M1118" s="112">
        <f>TRUNC((D1118*H1118),2)</f>
        <v>2974.55</v>
      </c>
      <c r="N1118" s="113" t="s">
        <v>975</v>
      </c>
    </row>
    <row r="1119" spans="1:15" ht="16.149999999999999" customHeight="1">
      <c r="A1119" s="130"/>
      <c r="B1119" s="109"/>
      <c r="C1119" s="110"/>
      <c r="D1119" s="110"/>
      <c r="E1119" s="110"/>
      <c r="F1119" s="110"/>
      <c r="G1119" s="110"/>
      <c r="H1119" s="111"/>
      <c r="I1119" s="110"/>
      <c r="J1119" s="110"/>
      <c r="K1119" s="118" t="s">
        <v>1164</v>
      </c>
      <c r="L1119" s="118" t="s">
        <v>1582</v>
      </c>
      <c r="M1119" s="112">
        <f>TRUNC(SUM(M1117:M1118))</f>
        <v>13231</v>
      </c>
      <c r="N1119" s="113" t="s">
        <v>975</v>
      </c>
    </row>
    <row r="1120" spans="1:15" ht="18.600000000000001" customHeight="1">
      <c r="A1120" s="135"/>
      <c r="B1120" s="136"/>
      <c r="C1120" s="138"/>
      <c r="D1120" s="138"/>
      <c r="E1120" s="138"/>
      <c r="F1120" s="138"/>
      <c r="G1120" s="138"/>
      <c r="H1120" s="139"/>
      <c r="I1120" s="138"/>
      <c r="J1120" s="138"/>
      <c r="K1120" s="137"/>
      <c r="L1120" s="137"/>
      <c r="M1120" s="140"/>
      <c r="N1120" s="141"/>
      <c r="O1120" s="114" t="s">
        <v>3682</v>
      </c>
    </row>
    <row r="1121" spans="1:15" s="152" customFormat="1" ht="16.149999999999999" customHeight="1">
      <c r="A1121" s="146"/>
      <c r="B1121" s="147"/>
      <c r="C1121" s="148"/>
      <c r="D1121" s="148"/>
      <c r="E1121" s="148"/>
      <c r="F1121" s="148"/>
      <c r="G1121" s="148"/>
      <c r="H1121" s="149"/>
      <c r="I1121" s="148"/>
      <c r="J1121" s="148"/>
      <c r="K1121" s="148" t="s">
        <v>1118</v>
      </c>
      <c r="L1121" s="148" t="s">
        <v>1582</v>
      </c>
      <c r="M1121" s="150">
        <f>M1107+M1113+M1119</f>
        <v>41088</v>
      </c>
      <c r="N1121" s="151"/>
    </row>
    <row r="1122" spans="1:15" ht="16.149999999999999" customHeight="1">
      <c r="A1122" s="114"/>
    </row>
    <row r="1123" spans="1:15" s="107" customFormat="1" ht="16.149999999999999" customHeight="1">
      <c r="A1123" s="451">
        <f>A1104+1</f>
        <v>60</v>
      </c>
      <c r="B1123" s="99" t="s">
        <v>1100</v>
      </c>
      <c r="C1123" s="100" t="s">
        <v>1526</v>
      </c>
      <c r="D1123" s="101" t="s">
        <v>1195</v>
      </c>
      <c r="E1123" s="102"/>
      <c r="F1123" s="102"/>
      <c r="G1123" s="100"/>
      <c r="H1123" s="103" t="s">
        <v>1527</v>
      </c>
      <c r="I1123" s="100" t="s">
        <v>1526</v>
      </c>
      <c r="J1123" s="102" t="s">
        <v>1196</v>
      </c>
      <c r="K1123" s="104" t="s">
        <v>847</v>
      </c>
      <c r="L1123" s="100" t="s">
        <v>1526</v>
      </c>
      <c r="M1123" s="105" t="s">
        <v>2276</v>
      </c>
      <c r="N1123" s="106"/>
    </row>
    <row r="1124" spans="1:15" ht="16.149999999999999" customHeight="1">
      <c r="A1124" s="108"/>
      <c r="B1124" s="109" t="s">
        <v>588</v>
      </c>
      <c r="C1124" s="110" t="s">
        <v>1582</v>
      </c>
      <c r="D1124" s="110" t="s">
        <v>589</v>
      </c>
      <c r="E1124" s="110" t="s">
        <v>86</v>
      </c>
      <c r="F1124" s="110" t="s">
        <v>590</v>
      </c>
      <c r="G1124" s="110" t="s">
        <v>86</v>
      </c>
      <c r="H1124" s="111" t="s">
        <v>513</v>
      </c>
      <c r="I1124" s="110"/>
      <c r="J1124" s="110"/>
      <c r="K1124" s="110"/>
      <c r="L1124" s="110"/>
      <c r="M1124" s="112"/>
      <c r="N1124" s="113"/>
    </row>
    <row r="1125" spans="1:15" ht="16.149999999999999" customHeight="1">
      <c r="A1125" s="108"/>
      <c r="B1125" s="109"/>
      <c r="C1125" s="110"/>
      <c r="D1125" s="110"/>
      <c r="E1125" s="110"/>
      <c r="F1125" s="110"/>
      <c r="G1125" s="110"/>
      <c r="H1125" s="111"/>
      <c r="I1125" s="110"/>
      <c r="J1125" s="792"/>
      <c r="K1125" s="792"/>
      <c r="L1125" s="110"/>
      <c r="M1125" s="112"/>
      <c r="N1125" s="113"/>
    </row>
    <row r="1126" spans="1:15" ht="16.149999999999999" customHeight="1">
      <c r="A1126" s="115"/>
      <c r="F1126" s="117"/>
      <c r="G1126" s="118"/>
      <c r="H1126" s="119">
        <f>기계경비산출표!$E$234*1000</f>
        <v>57414000</v>
      </c>
      <c r="I1126" s="110" t="s">
        <v>972</v>
      </c>
      <c r="J1126" s="120">
        <v>2529</v>
      </c>
      <c r="K1126" s="118" t="s">
        <v>514</v>
      </c>
      <c r="L1126" s="121" t="s">
        <v>1582</v>
      </c>
      <c r="M1126" s="112">
        <f>TRUNC(H1126*J1126*(10^-7))</f>
        <v>14520</v>
      </c>
      <c r="N1126" s="113" t="s">
        <v>975</v>
      </c>
    </row>
    <row r="1127" spans="1:15" ht="16.149999999999999" customHeight="1">
      <c r="A1127" s="115"/>
      <c r="B1127" s="122"/>
      <c r="C1127" s="118"/>
      <c r="D1127" s="33"/>
      <c r="E1127" s="110"/>
      <c r="F1127" s="118"/>
      <c r="G1127" s="118"/>
      <c r="H1127" s="123"/>
      <c r="I1127" s="118"/>
      <c r="J1127" s="110"/>
      <c r="K1127" s="110"/>
      <c r="L1127" s="110"/>
      <c r="M1127" s="112"/>
      <c r="N1127" s="113"/>
    </row>
    <row r="1128" spans="1:15" ht="16.149999999999999" customHeight="1">
      <c r="A1128" s="124"/>
      <c r="B1128" s="125" t="s">
        <v>1115</v>
      </c>
      <c r="C1128" s="126"/>
      <c r="D1128" s="126"/>
      <c r="E1128" s="126"/>
      <c r="F1128" s="126"/>
      <c r="G1128" s="126"/>
      <c r="H1128" s="127"/>
      <c r="I1128" s="126"/>
      <c r="J1128" s="126"/>
      <c r="K1128" s="126"/>
      <c r="L1128" s="126"/>
      <c r="M1128" s="128"/>
      <c r="N1128" s="129"/>
    </row>
    <row r="1129" spans="1:15" ht="16.149999999999999" customHeight="1">
      <c r="A1129" s="130"/>
      <c r="B1129" s="131" t="s">
        <v>3186</v>
      </c>
      <c r="C1129" s="118"/>
      <c r="D1129" s="33">
        <f>SUMIF('노임(2015)'!$B$4:$B$87,B1129,'노임(2015)'!$C$4:$C$87)+SUMIF('노임(2015)'!$E$4:$E$87,B1129,'노임(2015)'!$F$4:$F$87)</f>
        <v>117523</v>
      </c>
      <c r="E1129" s="110" t="s">
        <v>972</v>
      </c>
      <c r="F1129" s="110" t="s">
        <v>973</v>
      </c>
      <c r="G1129" s="132" t="s">
        <v>974</v>
      </c>
      <c r="H1129" s="111"/>
      <c r="I1129" s="110"/>
      <c r="J1129" s="110"/>
      <c r="K1129" s="133">
        <v>1</v>
      </c>
      <c r="L1129" s="118" t="s">
        <v>1582</v>
      </c>
      <c r="M1129" s="112">
        <f>TRUNC(D1129*(1/8)*(16/12)*(25/20)*K1129)</f>
        <v>24483</v>
      </c>
      <c r="N1129" s="113" t="s">
        <v>975</v>
      </c>
    </row>
    <row r="1130" spans="1:15" ht="16.149999999999999" customHeight="1">
      <c r="A1130" s="130"/>
      <c r="B1130" s="131"/>
      <c r="C1130" s="118"/>
      <c r="D1130" s="33">
        <f>SUMIF('노임(2015)'!$B$4:$B$87,B1130,'노임(2015)'!$C$4:$C$87)+SUMIF('노임(2015)'!$E$4:$E$87,B1130,'노임(2015)'!$F$4:$F$87)</f>
        <v>0</v>
      </c>
      <c r="E1130" s="110"/>
      <c r="F1130" s="110"/>
      <c r="G1130" s="132"/>
      <c r="H1130" s="111"/>
      <c r="I1130" s="110"/>
      <c r="J1130" s="110"/>
      <c r="K1130" s="134"/>
      <c r="L1130" s="118"/>
      <c r="M1130" s="112"/>
      <c r="N1130" s="113"/>
    </row>
    <row r="1131" spans="1:15" ht="18.600000000000001" customHeight="1">
      <c r="A1131" s="130"/>
      <c r="B1131" s="109"/>
      <c r="C1131" s="118"/>
      <c r="D1131" s="33"/>
      <c r="E1131" s="110"/>
      <c r="F1131" s="110"/>
      <c r="G1131" s="132"/>
      <c r="H1131" s="111"/>
      <c r="I1131" s="110"/>
      <c r="J1131" s="110"/>
      <c r="K1131" s="134"/>
      <c r="L1131" s="118"/>
      <c r="M1131" s="112"/>
      <c r="N1131" s="113"/>
      <c r="O1131" s="114" t="s">
        <v>3682</v>
      </c>
    </row>
    <row r="1132" spans="1:15" ht="16.149999999999999" customHeight="1">
      <c r="A1132" s="130"/>
      <c r="B1132" s="109"/>
      <c r="C1132" s="118"/>
      <c r="D1132" s="110"/>
      <c r="E1132" s="110"/>
      <c r="F1132" s="110"/>
      <c r="G1132" s="110"/>
      <c r="H1132" s="111"/>
      <c r="I1132" s="791"/>
      <c r="J1132" s="791"/>
      <c r="K1132" s="118" t="s">
        <v>1164</v>
      </c>
      <c r="L1132" s="118" t="s">
        <v>1582</v>
      </c>
      <c r="M1132" s="112">
        <f>TRUNC(M1129+M1130+M1131)</f>
        <v>24483</v>
      </c>
      <c r="N1132" s="113" t="s">
        <v>975</v>
      </c>
      <c r="O1132" s="114" t="s">
        <v>1115</v>
      </c>
    </row>
    <row r="1133" spans="1:15" ht="18.600000000000001" customHeight="1">
      <c r="A1133" s="130"/>
      <c r="B1133" s="109"/>
      <c r="C1133" s="118"/>
      <c r="D1133" s="110"/>
      <c r="E1133" s="110"/>
      <c r="F1133" s="110"/>
      <c r="G1133" s="110"/>
      <c r="H1133" s="111"/>
      <c r="I1133" s="118"/>
      <c r="J1133" s="118"/>
      <c r="K1133" s="118"/>
      <c r="L1133" s="118"/>
      <c r="M1133" s="112"/>
      <c r="N1133" s="113"/>
      <c r="O1133" s="114" t="s">
        <v>3682</v>
      </c>
    </row>
    <row r="1134" spans="1:15" ht="18.600000000000001" customHeight="1">
      <c r="A1134" s="135"/>
      <c r="B1134" s="136"/>
      <c r="C1134" s="137"/>
      <c r="D1134" s="138"/>
      <c r="E1134" s="138"/>
      <c r="F1134" s="138"/>
      <c r="G1134" s="138"/>
      <c r="H1134" s="139"/>
      <c r="I1134" s="137"/>
      <c r="J1134" s="137"/>
      <c r="K1134" s="137"/>
      <c r="L1134" s="137"/>
      <c r="M1134" s="140"/>
      <c r="N1134" s="141"/>
      <c r="O1134" s="114" t="s">
        <v>3682</v>
      </c>
    </row>
    <row r="1135" spans="1:15" ht="16.149999999999999" customHeight="1">
      <c r="A1135" s="124"/>
      <c r="B1135" s="125" t="s">
        <v>1116</v>
      </c>
      <c r="C1135" s="142"/>
      <c r="D1135" s="126"/>
      <c r="E1135" s="126"/>
      <c r="F1135" s="126"/>
      <c r="G1135" s="126"/>
      <c r="H1135" s="127"/>
      <c r="I1135" s="126"/>
      <c r="J1135" s="126"/>
      <c r="K1135" s="126"/>
      <c r="L1135" s="126"/>
      <c r="M1135" s="128"/>
      <c r="N1135" s="129"/>
    </row>
    <row r="1136" spans="1:15" ht="16.149999999999999" customHeight="1">
      <c r="A1136" s="130"/>
      <c r="B1136" s="131" t="s">
        <v>2461</v>
      </c>
      <c r="C1136" s="118" t="s">
        <v>1526</v>
      </c>
      <c r="D1136" s="118">
        <v>16.5</v>
      </c>
      <c r="E1136" s="110" t="s">
        <v>456</v>
      </c>
      <c r="F1136" s="118" t="s">
        <v>972</v>
      </c>
      <c r="G1136" s="110"/>
      <c r="H1136" s="123">
        <f>중기기준!$G$35</f>
        <v>1114.9000000000001</v>
      </c>
      <c r="I1136" s="110" t="s">
        <v>975</v>
      </c>
      <c r="J1136" s="110"/>
      <c r="K1136" s="110"/>
      <c r="L1136" s="118" t="s">
        <v>1582</v>
      </c>
      <c r="M1136" s="112">
        <f>TRUNC(D1136*H1136,2)</f>
        <v>18395.849999999999</v>
      </c>
      <c r="N1136" s="113" t="s">
        <v>975</v>
      </c>
    </row>
    <row r="1137" spans="1:15" ht="16.149999999999999" customHeight="1">
      <c r="A1137" s="130"/>
      <c r="B1137" s="109" t="s">
        <v>1556</v>
      </c>
      <c r="C1137" s="118" t="s">
        <v>1526</v>
      </c>
      <c r="D1137" s="145">
        <v>0.39</v>
      </c>
      <c r="E1137" s="110"/>
      <c r="F1137" s="118" t="s">
        <v>972</v>
      </c>
      <c r="G1137" s="110"/>
      <c r="H1137" s="123">
        <f>M1136</f>
        <v>18395.849999999999</v>
      </c>
      <c r="I1137" s="110" t="s">
        <v>975</v>
      </c>
      <c r="J1137" s="110"/>
      <c r="K1137" s="110"/>
      <c r="L1137" s="118" t="s">
        <v>1582</v>
      </c>
      <c r="M1137" s="112">
        <f>TRUNC((D1137*H1137),2)</f>
        <v>7174.38</v>
      </c>
      <c r="N1137" s="113" t="s">
        <v>975</v>
      </c>
    </row>
    <row r="1138" spans="1:15" ht="16.149999999999999" customHeight="1">
      <c r="A1138" s="130"/>
      <c r="B1138" s="109"/>
      <c r="C1138" s="110"/>
      <c r="D1138" s="110"/>
      <c r="E1138" s="110"/>
      <c r="F1138" s="110"/>
      <c r="G1138" s="110"/>
      <c r="H1138" s="111"/>
      <c r="I1138" s="110"/>
      <c r="J1138" s="110"/>
      <c r="K1138" s="118" t="s">
        <v>1164</v>
      </c>
      <c r="L1138" s="118" t="s">
        <v>1582</v>
      </c>
      <c r="M1138" s="112">
        <f>TRUNC(SUM(M1136:M1137))</f>
        <v>25570</v>
      </c>
      <c r="N1138" s="113" t="s">
        <v>975</v>
      </c>
    </row>
    <row r="1139" spans="1:15" ht="18.600000000000001" customHeight="1">
      <c r="A1139" s="135"/>
      <c r="B1139" s="136"/>
      <c r="C1139" s="138"/>
      <c r="D1139" s="138"/>
      <c r="E1139" s="138"/>
      <c r="F1139" s="138"/>
      <c r="G1139" s="138"/>
      <c r="H1139" s="139"/>
      <c r="I1139" s="138"/>
      <c r="J1139" s="138"/>
      <c r="K1139" s="137"/>
      <c r="L1139" s="137"/>
      <c r="M1139" s="140"/>
      <c r="N1139" s="141"/>
      <c r="O1139" s="114" t="s">
        <v>3682</v>
      </c>
    </row>
    <row r="1140" spans="1:15" s="152" customFormat="1" ht="16.149999999999999" customHeight="1">
      <c r="A1140" s="146"/>
      <c r="B1140" s="147"/>
      <c r="C1140" s="148"/>
      <c r="D1140" s="148"/>
      <c r="E1140" s="148"/>
      <c r="F1140" s="148"/>
      <c r="G1140" s="148"/>
      <c r="H1140" s="149"/>
      <c r="I1140" s="148"/>
      <c r="J1140" s="148"/>
      <c r="K1140" s="148" t="s">
        <v>1118</v>
      </c>
      <c r="L1140" s="148" t="s">
        <v>1582</v>
      </c>
      <c r="M1140" s="150">
        <f>M1126+M1132+M1138</f>
        <v>64573</v>
      </c>
      <c r="N1140" s="151"/>
    </row>
    <row r="1141" spans="1:15" ht="16.149999999999999" customHeight="1">
      <c r="A1141" s="153"/>
      <c r="B1141" s="125"/>
      <c r="C1141" s="153"/>
      <c r="D1141" s="153"/>
      <c r="E1141" s="153"/>
      <c r="F1141" s="153"/>
      <c r="G1141" s="153"/>
      <c r="H1141" s="154"/>
      <c r="I1141" s="153"/>
      <c r="J1141" s="153"/>
      <c r="K1141" s="153"/>
      <c r="L1141" s="153"/>
      <c r="M1141" s="128"/>
      <c r="N1141" s="142"/>
    </row>
    <row r="1142" spans="1:15" s="107" customFormat="1" ht="16.149999999999999" customHeight="1">
      <c r="A1142" s="451">
        <f>A1123+1</f>
        <v>61</v>
      </c>
      <c r="B1142" s="99" t="s">
        <v>1100</v>
      </c>
      <c r="C1142" s="100" t="s">
        <v>1526</v>
      </c>
      <c r="D1142" s="101" t="s">
        <v>1195</v>
      </c>
      <c r="E1142" s="102"/>
      <c r="F1142" s="102"/>
      <c r="G1142" s="100"/>
      <c r="H1142" s="103" t="s">
        <v>1527</v>
      </c>
      <c r="I1142" s="100" t="s">
        <v>1526</v>
      </c>
      <c r="J1142" s="102" t="s">
        <v>1302</v>
      </c>
      <c r="K1142" s="104" t="s">
        <v>847</v>
      </c>
      <c r="L1142" s="100" t="s">
        <v>1526</v>
      </c>
      <c r="M1142" s="105" t="s">
        <v>2277</v>
      </c>
      <c r="N1142" s="106"/>
    </row>
    <row r="1143" spans="1:15" ht="16.149999999999999" customHeight="1">
      <c r="A1143" s="108"/>
      <c r="B1143" s="109" t="s">
        <v>588</v>
      </c>
      <c r="C1143" s="110" t="s">
        <v>1582</v>
      </c>
      <c r="D1143" s="110" t="s">
        <v>589</v>
      </c>
      <c r="E1143" s="110" t="s">
        <v>86</v>
      </c>
      <c r="F1143" s="110" t="s">
        <v>590</v>
      </c>
      <c r="G1143" s="110" t="s">
        <v>86</v>
      </c>
      <c r="H1143" s="111" t="s">
        <v>513</v>
      </c>
      <c r="I1143" s="110"/>
      <c r="J1143" s="110"/>
      <c r="K1143" s="110"/>
      <c r="L1143" s="110"/>
      <c r="M1143" s="112"/>
      <c r="N1143" s="113"/>
    </row>
    <row r="1144" spans="1:15" ht="16.149999999999999" customHeight="1">
      <c r="A1144" s="108"/>
      <c r="B1144" s="109"/>
      <c r="C1144" s="110"/>
      <c r="D1144" s="110"/>
      <c r="E1144" s="110"/>
      <c r="F1144" s="110"/>
      <c r="G1144" s="110"/>
      <c r="H1144" s="111"/>
      <c r="I1144" s="110"/>
      <c r="J1144" s="792"/>
      <c r="K1144" s="792"/>
      <c r="L1144" s="110"/>
      <c r="M1144" s="112"/>
      <c r="N1144" s="113"/>
    </row>
    <row r="1145" spans="1:15" ht="16.149999999999999" customHeight="1">
      <c r="A1145" s="115"/>
      <c r="F1145" s="117"/>
      <c r="G1145" s="118"/>
      <c r="H1145" s="119">
        <f>기계경비산출표!$E$235*1000</f>
        <v>77364000</v>
      </c>
      <c r="I1145" s="110" t="s">
        <v>972</v>
      </c>
      <c r="J1145" s="120">
        <v>2529</v>
      </c>
      <c r="K1145" s="118" t="s">
        <v>514</v>
      </c>
      <c r="L1145" s="121" t="s">
        <v>1582</v>
      </c>
      <c r="M1145" s="112">
        <f>TRUNC(H1145*J1145*(10^-7))</f>
        <v>19565</v>
      </c>
      <c r="N1145" s="113" t="s">
        <v>975</v>
      </c>
    </row>
    <row r="1146" spans="1:15" ht="16.149999999999999" customHeight="1">
      <c r="A1146" s="115"/>
      <c r="B1146" s="122"/>
      <c r="C1146" s="118"/>
      <c r="D1146" s="33"/>
      <c r="E1146" s="110"/>
      <c r="F1146" s="118"/>
      <c r="G1146" s="118"/>
      <c r="H1146" s="123"/>
      <c r="I1146" s="118"/>
      <c r="J1146" s="110"/>
      <c r="K1146" s="110"/>
      <c r="L1146" s="110"/>
      <c r="M1146" s="112"/>
      <c r="N1146" s="113"/>
    </row>
    <row r="1147" spans="1:15" ht="16.149999999999999" customHeight="1">
      <c r="A1147" s="124"/>
      <c r="B1147" s="125" t="s">
        <v>1115</v>
      </c>
      <c r="C1147" s="126"/>
      <c r="D1147" s="126"/>
      <c r="E1147" s="126"/>
      <c r="F1147" s="126"/>
      <c r="G1147" s="126"/>
      <c r="H1147" s="127"/>
      <c r="I1147" s="126"/>
      <c r="J1147" s="126"/>
      <c r="K1147" s="126"/>
      <c r="L1147" s="126"/>
      <c r="M1147" s="128"/>
      <c r="N1147" s="129"/>
    </row>
    <row r="1148" spans="1:15" ht="16.149999999999999" customHeight="1">
      <c r="A1148" s="130"/>
      <c r="B1148" s="131" t="s">
        <v>3186</v>
      </c>
      <c r="C1148" s="118"/>
      <c r="D1148" s="33">
        <f>SUMIF('노임(2015)'!$B$4:$B$87,B1148,'노임(2015)'!$C$4:$C$87)+SUMIF('노임(2015)'!$E$4:$E$87,B1148,'노임(2015)'!$F$4:$F$87)</f>
        <v>117523</v>
      </c>
      <c r="E1148" s="110" t="s">
        <v>972</v>
      </c>
      <c r="F1148" s="110" t="s">
        <v>973</v>
      </c>
      <c r="G1148" s="132" t="s">
        <v>974</v>
      </c>
      <c r="H1148" s="111"/>
      <c r="I1148" s="110"/>
      <c r="J1148" s="110"/>
      <c r="K1148" s="133">
        <v>1</v>
      </c>
      <c r="L1148" s="118" t="s">
        <v>1582</v>
      </c>
      <c r="M1148" s="112">
        <f>TRUNC(D1148*(1/8)*(16/12)*(25/20)*K1148)</f>
        <v>24483</v>
      </c>
      <c r="N1148" s="113" t="s">
        <v>975</v>
      </c>
    </row>
    <row r="1149" spans="1:15" ht="16.149999999999999" customHeight="1">
      <c r="A1149" s="130"/>
      <c r="B1149" s="131"/>
      <c r="C1149" s="118"/>
      <c r="D1149" s="33">
        <f>SUMIF('노임(2015)'!$B$4:$B$87,B1149,'노임(2015)'!$C$4:$C$87)+SUMIF('노임(2015)'!$E$4:$E$87,B1149,'노임(2015)'!$F$4:$F$87)</f>
        <v>0</v>
      </c>
      <c r="E1149" s="110"/>
      <c r="F1149" s="110"/>
      <c r="G1149" s="132"/>
      <c r="H1149" s="111"/>
      <c r="I1149" s="110"/>
      <c r="J1149" s="110"/>
      <c r="K1149" s="134"/>
      <c r="L1149" s="118"/>
      <c r="M1149" s="112"/>
      <c r="N1149" s="113"/>
    </row>
    <row r="1150" spans="1:15" ht="18.600000000000001" customHeight="1">
      <c r="A1150" s="130"/>
      <c r="B1150" s="109"/>
      <c r="C1150" s="118"/>
      <c r="D1150" s="33"/>
      <c r="E1150" s="110"/>
      <c r="F1150" s="110"/>
      <c r="G1150" s="132"/>
      <c r="H1150" s="111"/>
      <c r="I1150" s="110"/>
      <c r="J1150" s="110"/>
      <c r="K1150" s="134"/>
      <c r="L1150" s="118"/>
      <c r="M1150" s="112"/>
      <c r="N1150" s="113"/>
      <c r="O1150" s="114" t="s">
        <v>3682</v>
      </c>
    </row>
    <row r="1151" spans="1:15" ht="16.149999999999999" customHeight="1">
      <c r="A1151" s="130"/>
      <c r="B1151" s="109"/>
      <c r="C1151" s="118"/>
      <c r="D1151" s="110"/>
      <c r="E1151" s="110"/>
      <c r="F1151" s="110"/>
      <c r="G1151" s="110"/>
      <c r="H1151" s="111"/>
      <c r="I1151" s="791"/>
      <c r="J1151" s="791"/>
      <c r="K1151" s="118" t="s">
        <v>1164</v>
      </c>
      <c r="L1151" s="118" t="s">
        <v>1582</v>
      </c>
      <c r="M1151" s="112">
        <f>TRUNC(M1148+M1149+M1150)</f>
        <v>24483</v>
      </c>
      <c r="N1151" s="113" t="s">
        <v>975</v>
      </c>
      <c r="O1151" s="114" t="s">
        <v>1115</v>
      </c>
    </row>
    <row r="1152" spans="1:15" ht="18.600000000000001" customHeight="1">
      <c r="A1152" s="130"/>
      <c r="B1152" s="109"/>
      <c r="C1152" s="118"/>
      <c r="D1152" s="110"/>
      <c r="E1152" s="110"/>
      <c r="F1152" s="110"/>
      <c r="G1152" s="110"/>
      <c r="H1152" s="111"/>
      <c r="I1152" s="118"/>
      <c r="J1152" s="118"/>
      <c r="K1152" s="118"/>
      <c r="L1152" s="118"/>
      <c r="M1152" s="112"/>
      <c r="N1152" s="113"/>
      <c r="O1152" s="114" t="s">
        <v>3682</v>
      </c>
    </row>
    <row r="1153" spans="1:15" ht="18.600000000000001" customHeight="1">
      <c r="A1153" s="135"/>
      <c r="B1153" s="136"/>
      <c r="C1153" s="137"/>
      <c r="D1153" s="138"/>
      <c r="E1153" s="138"/>
      <c r="F1153" s="138"/>
      <c r="G1153" s="138"/>
      <c r="H1153" s="139"/>
      <c r="I1153" s="137"/>
      <c r="J1153" s="137"/>
      <c r="K1153" s="137"/>
      <c r="L1153" s="137"/>
      <c r="M1153" s="140"/>
      <c r="N1153" s="141"/>
      <c r="O1153" s="114" t="s">
        <v>3682</v>
      </c>
    </row>
    <row r="1154" spans="1:15" ht="16.149999999999999" customHeight="1">
      <c r="A1154" s="124"/>
      <c r="B1154" s="125" t="s">
        <v>1116</v>
      </c>
      <c r="C1154" s="142"/>
      <c r="D1154" s="126"/>
      <c r="E1154" s="126"/>
      <c r="F1154" s="126"/>
      <c r="G1154" s="126"/>
      <c r="H1154" s="127"/>
      <c r="I1154" s="126"/>
      <c r="J1154" s="126"/>
      <c r="K1154" s="126"/>
      <c r="L1154" s="126"/>
      <c r="M1154" s="128"/>
      <c r="N1154" s="129"/>
    </row>
    <row r="1155" spans="1:15" ht="16.149999999999999" customHeight="1">
      <c r="A1155" s="130"/>
      <c r="B1155" s="131" t="s">
        <v>2461</v>
      </c>
      <c r="C1155" s="118" t="s">
        <v>1526</v>
      </c>
      <c r="D1155" s="118">
        <v>17.2</v>
      </c>
      <c r="E1155" s="110" t="s">
        <v>456</v>
      </c>
      <c r="F1155" s="118" t="s">
        <v>972</v>
      </c>
      <c r="G1155" s="110"/>
      <c r="H1155" s="123">
        <f>중기기준!$G$35</f>
        <v>1114.9000000000001</v>
      </c>
      <c r="I1155" s="110" t="s">
        <v>975</v>
      </c>
      <c r="J1155" s="110"/>
      <c r="K1155" s="110"/>
      <c r="L1155" s="118" t="s">
        <v>1582</v>
      </c>
      <c r="M1155" s="112">
        <f>TRUNC(D1155*H1155,2)</f>
        <v>19176.28</v>
      </c>
      <c r="N1155" s="113" t="s">
        <v>975</v>
      </c>
    </row>
    <row r="1156" spans="1:15" ht="16.149999999999999" customHeight="1">
      <c r="A1156" s="130"/>
      <c r="B1156" s="109" t="s">
        <v>1556</v>
      </c>
      <c r="C1156" s="118" t="s">
        <v>1526</v>
      </c>
      <c r="D1156" s="145">
        <v>0.39</v>
      </c>
      <c r="E1156" s="110"/>
      <c r="F1156" s="118" t="s">
        <v>972</v>
      </c>
      <c r="G1156" s="110"/>
      <c r="H1156" s="123">
        <f>M1155</f>
        <v>19176.28</v>
      </c>
      <c r="I1156" s="110" t="s">
        <v>975</v>
      </c>
      <c r="J1156" s="110"/>
      <c r="K1156" s="110"/>
      <c r="L1156" s="118" t="s">
        <v>1582</v>
      </c>
      <c r="M1156" s="112">
        <f>TRUNC((D1156*H1156),2)</f>
        <v>7478.74</v>
      </c>
      <c r="N1156" s="113" t="s">
        <v>975</v>
      </c>
    </row>
    <row r="1157" spans="1:15" ht="16.149999999999999" customHeight="1">
      <c r="A1157" s="130"/>
      <c r="B1157" s="109"/>
      <c r="C1157" s="110"/>
      <c r="D1157" s="110"/>
      <c r="E1157" s="110"/>
      <c r="F1157" s="110"/>
      <c r="G1157" s="110"/>
      <c r="H1157" s="111"/>
      <c r="I1157" s="110"/>
      <c r="J1157" s="110"/>
      <c r="K1157" s="118" t="s">
        <v>1164</v>
      </c>
      <c r="L1157" s="118" t="s">
        <v>1582</v>
      </c>
      <c r="M1157" s="112">
        <f>TRUNC(SUM(M1155:M1156))</f>
        <v>26655</v>
      </c>
      <c r="N1157" s="113" t="s">
        <v>975</v>
      </c>
    </row>
    <row r="1158" spans="1:15" ht="18.600000000000001" customHeight="1">
      <c r="A1158" s="135"/>
      <c r="B1158" s="136"/>
      <c r="C1158" s="138"/>
      <c r="D1158" s="138"/>
      <c r="E1158" s="138"/>
      <c r="F1158" s="138"/>
      <c r="G1158" s="138"/>
      <c r="H1158" s="139"/>
      <c r="I1158" s="138"/>
      <c r="J1158" s="138"/>
      <c r="K1158" s="137"/>
      <c r="L1158" s="137"/>
      <c r="M1158" s="140"/>
      <c r="N1158" s="141"/>
      <c r="O1158" s="114" t="s">
        <v>3682</v>
      </c>
    </row>
    <row r="1159" spans="1:15" s="152" customFormat="1" ht="16.149999999999999" customHeight="1">
      <c r="A1159" s="146"/>
      <c r="B1159" s="147"/>
      <c r="C1159" s="148"/>
      <c r="D1159" s="148"/>
      <c r="E1159" s="148"/>
      <c r="F1159" s="148"/>
      <c r="G1159" s="148"/>
      <c r="H1159" s="149"/>
      <c r="I1159" s="148"/>
      <c r="J1159" s="148"/>
      <c r="K1159" s="148" t="s">
        <v>1118</v>
      </c>
      <c r="L1159" s="148" t="s">
        <v>1582</v>
      </c>
      <c r="M1159" s="150">
        <f>M1145+M1151+M1157</f>
        <v>70703</v>
      </c>
      <c r="N1159" s="151"/>
    </row>
    <row r="1160" spans="1:15" ht="16.149999999999999" customHeight="1">
      <c r="A1160" s="114"/>
    </row>
    <row r="1161" spans="1:15" s="107" customFormat="1" ht="16.149999999999999" customHeight="1">
      <c r="A1161" s="451">
        <f>A1142+1</f>
        <v>62</v>
      </c>
      <c r="B1161" s="99" t="s">
        <v>1100</v>
      </c>
      <c r="C1161" s="100" t="s">
        <v>1526</v>
      </c>
      <c r="D1161" s="101" t="s">
        <v>1195</v>
      </c>
      <c r="E1161" s="102"/>
      <c r="F1161" s="102"/>
      <c r="G1161" s="100"/>
      <c r="H1161" s="103" t="s">
        <v>1527</v>
      </c>
      <c r="I1161" s="100" t="s">
        <v>1526</v>
      </c>
      <c r="J1161" s="102" t="s">
        <v>798</v>
      </c>
      <c r="K1161" s="104" t="s">
        <v>847</v>
      </c>
      <c r="L1161" s="100" t="s">
        <v>1526</v>
      </c>
      <c r="M1161" s="105" t="s">
        <v>2278</v>
      </c>
      <c r="N1161" s="106"/>
    </row>
    <row r="1162" spans="1:15" ht="16.149999999999999" customHeight="1">
      <c r="A1162" s="108"/>
      <c r="B1162" s="109" t="s">
        <v>588</v>
      </c>
      <c r="C1162" s="110" t="s">
        <v>1582</v>
      </c>
      <c r="D1162" s="110" t="s">
        <v>589</v>
      </c>
      <c r="E1162" s="110" t="s">
        <v>86</v>
      </c>
      <c r="F1162" s="110" t="s">
        <v>590</v>
      </c>
      <c r="G1162" s="110" t="s">
        <v>86</v>
      </c>
      <c r="H1162" s="111" t="s">
        <v>513</v>
      </c>
      <c r="I1162" s="110"/>
      <c r="J1162" s="110"/>
      <c r="K1162" s="110"/>
      <c r="L1162" s="110"/>
      <c r="M1162" s="112"/>
      <c r="N1162" s="113"/>
    </row>
    <row r="1163" spans="1:15" ht="16.149999999999999" customHeight="1">
      <c r="A1163" s="108"/>
      <c r="B1163" s="109"/>
      <c r="C1163" s="110"/>
      <c r="D1163" s="110"/>
      <c r="E1163" s="110"/>
      <c r="F1163" s="110"/>
      <c r="G1163" s="110"/>
      <c r="H1163" s="111"/>
      <c r="I1163" s="110"/>
      <c r="J1163" s="792"/>
      <c r="K1163" s="792"/>
      <c r="L1163" s="110"/>
      <c r="M1163" s="112"/>
      <c r="N1163" s="113"/>
    </row>
    <row r="1164" spans="1:15" ht="16.149999999999999" customHeight="1">
      <c r="A1164" s="115"/>
      <c r="F1164" s="117"/>
      <c r="G1164" s="118"/>
      <c r="H1164" s="119">
        <f>기계경비산출표!$E$236*1000</f>
        <v>102067000</v>
      </c>
      <c r="I1164" s="110" t="s">
        <v>972</v>
      </c>
      <c r="J1164" s="120">
        <v>2529</v>
      </c>
      <c r="K1164" s="118" t="s">
        <v>514</v>
      </c>
      <c r="L1164" s="121" t="s">
        <v>1582</v>
      </c>
      <c r="M1164" s="112">
        <f>TRUNC(H1164*J1164*(10^-7))</f>
        <v>25812</v>
      </c>
      <c r="N1164" s="113" t="s">
        <v>975</v>
      </c>
    </row>
    <row r="1165" spans="1:15" ht="16.149999999999999" customHeight="1">
      <c r="A1165" s="115"/>
      <c r="B1165" s="122"/>
      <c r="C1165" s="118"/>
      <c r="D1165" s="33"/>
      <c r="E1165" s="110"/>
      <c r="F1165" s="118"/>
      <c r="G1165" s="118"/>
      <c r="H1165" s="123"/>
      <c r="I1165" s="118"/>
      <c r="J1165" s="110"/>
      <c r="K1165" s="110"/>
      <c r="L1165" s="110"/>
      <c r="M1165" s="112"/>
      <c r="N1165" s="113"/>
    </row>
    <row r="1166" spans="1:15" ht="16.149999999999999" customHeight="1">
      <c r="A1166" s="124"/>
      <c r="B1166" s="125" t="s">
        <v>1115</v>
      </c>
      <c r="C1166" s="126"/>
      <c r="D1166" s="126"/>
      <c r="E1166" s="126"/>
      <c r="F1166" s="126"/>
      <c r="G1166" s="126"/>
      <c r="H1166" s="127"/>
      <c r="I1166" s="126"/>
      <c r="J1166" s="126"/>
      <c r="K1166" s="126"/>
      <c r="L1166" s="126"/>
      <c r="M1166" s="128"/>
      <c r="N1166" s="129"/>
    </row>
    <row r="1167" spans="1:15" ht="16.149999999999999" customHeight="1">
      <c r="A1167" s="130"/>
      <c r="B1167" s="131" t="s">
        <v>3186</v>
      </c>
      <c r="C1167" s="118"/>
      <c r="D1167" s="33">
        <f>SUMIF('노임(2015)'!$B$4:$B$87,B1167,'노임(2015)'!$C$4:$C$87)+SUMIF('노임(2015)'!$E$4:$E$87,B1167,'노임(2015)'!$F$4:$F$87)</f>
        <v>117523</v>
      </c>
      <c r="E1167" s="110" t="s">
        <v>972</v>
      </c>
      <c r="F1167" s="110" t="s">
        <v>973</v>
      </c>
      <c r="G1167" s="132" t="s">
        <v>974</v>
      </c>
      <c r="H1167" s="111"/>
      <c r="I1167" s="110"/>
      <c r="J1167" s="110"/>
      <c r="K1167" s="133">
        <v>1</v>
      </c>
      <c r="L1167" s="118" t="s">
        <v>1582</v>
      </c>
      <c r="M1167" s="112">
        <f>TRUNC(D1167*(1/8)*(16/12)*(25/20)*K1167)</f>
        <v>24483</v>
      </c>
      <c r="N1167" s="113" t="s">
        <v>975</v>
      </c>
    </row>
    <row r="1168" spans="1:15" ht="16.149999999999999" customHeight="1">
      <c r="A1168" s="130"/>
      <c r="B1168" s="131"/>
      <c r="C1168" s="118"/>
      <c r="D1168" s="33">
        <f>SUMIF('노임(2015)'!$B$4:$B$87,B1168,'노임(2015)'!$C$4:$C$87)+SUMIF('노임(2015)'!$E$4:$E$87,B1168,'노임(2015)'!$F$4:$F$87)</f>
        <v>0</v>
      </c>
      <c r="E1168" s="110"/>
      <c r="F1168" s="110"/>
      <c r="G1168" s="132"/>
      <c r="H1168" s="111"/>
      <c r="I1168" s="110"/>
      <c r="J1168" s="110"/>
      <c r="K1168" s="134"/>
      <c r="L1168" s="118"/>
      <c r="M1168" s="112"/>
      <c r="N1168" s="113"/>
    </row>
    <row r="1169" spans="1:15" ht="18.600000000000001" customHeight="1">
      <c r="A1169" s="130"/>
      <c r="B1169" s="109"/>
      <c r="C1169" s="118"/>
      <c r="D1169" s="33"/>
      <c r="E1169" s="110"/>
      <c r="F1169" s="110"/>
      <c r="G1169" s="132"/>
      <c r="H1169" s="111"/>
      <c r="I1169" s="110"/>
      <c r="J1169" s="110"/>
      <c r="K1169" s="134"/>
      <c r="L1169" s="118"/>
      <c r="M1169" s="112"/>
      <c r="N1169" s="113"/>
      <c r="O1169" s="114" t="s">
        <v>3682</v>
      </c>
    </row>
    <row r="1170" spans="1:15" ht="16.149999999999999" customHeight="1">
      <c r="A1170" s="130"/>
      <c r="B1170" s="109"/>
      <c r="C1170" s="118"/>
      <c r="D1170" s="110"/>
      <c r="E1170" s="110"/>
      <c r="F1170" s="110"/>
      <c r="G1170" s="110"/>
      <c r="H1170" s="111"/>
      <c r="I1170" s="791"/>
      <c r="J1170" s="791"/>
      <c r="K1170" s="118" t="s">
        <v>1164</v>
      </c>
      <c r="L1170" s="118" t="s">
        <v>1582</v>
      </c>
      <c r="M1170" s="112">
        <f>TRUNC(M1167+M1168+M1169)</f>
        <v>24483</v>
      </c>
      <c r="N1170" s="113" t="s">
        <v>975</v>
      </c>
      <c r="O1170" s="114" t="s">
        <v>1115</v>
      </c>
    </row>
    <row r="1171" spans="1:15" ht="18.600000000000001" customHeight="1">
      <c r="A1171" s="130"/>
      <c r="B1171" s="109"/>
      <c r="C1171" s="118"/>
      <c r="D1171" s="110"/>
      <c r="E1171" s="110"/>
      <c r="F1171" s="110"/>
      <c r="G1171" s="110"/>
      <c r="H1171" s="111"/>
      <c r="I1171" s="118"/>
      <c r="J1171" s="118"/>
      <c r="K1171" s="118"/>
      <c r="L1171" s="118"/>
      <c r="M1171" s="112"/>
      <c r="N1171" s="113"/>
      <c r="O1171" s="114" t="s">
        <v>3682</v>
      </c>
    </row>
    <row r="1172" spans="1:15" ht="18.600000000000001" customHeight="1">
      <c r="A1172" s="135"/>
      <c r="B1172" s="136"/>
      <c r="C1172" s="137"/>
      <c r="D1172" s="138"/>
      <c r="E1172" s="138"/>
      <c r="F1172" s="138"/>
      <c r="G1172" s="138"/>
      <c r="H1172" s="139"/>
      <c r="I1172" s="137"/>
      <c r="J1172" s="137"/>
      <c r="K1172" s="137"/>
      <c r="L1172" s="137"/>
      <c r="M1172" s="140"/>
      <c r="N1172" s="141"/>
      <c r="O1172" s="114" t="s">
        <v>3682</v>
      </c>
    </row>
    <row r="1173" spans="1:15" ht="16.149999999999999" customHeight="1">
      <c r="A1173" s="124"/>
      <c r="B1173" s="125" t="s">
        <v>1116</v>
      </c>
      <c r="C1173" s="142"/>
      <c r="D1173" s="126"/>
      <c r="E1173" s="126"/>
      <c r="F1173" s="126"/>
      <c r="G1173" s="126"/>
      <c r="H1173" s="127"/>
      <c r="I1173" s="126"/>
      <c r="J1173" s="126"/>
      <c r="K1173" s="126"/>
      <c r="L1173" s="126"/>
      <c r="M1173" s="128"/>
      <c r="N1173" s="129"/>
    </row>
    <row r="1174" spans="1:15" ht="16.149999999999999" customHeight="1">
      <c r="A1174" s="130"/>
      <c r="B1174" s="131" t="s">
        <v>2461</v>
      </c>
      <c r="C1174" s="118" t="s">
        <v>1526</v>
      </c>
      <c r="D1174" s="118">
        <v>20.5</v>
      </c>
      <c r="E1174" s="110" t="s">
        <v>456</v>
      </c>
      <c r="F1174" s="118" t="s">
        <v>972</v>
      </c>
      <c r="G1174" s="110"/>
      <c r="H1174" s="123">
        <f>중기기준!$G$35</f>
        <v>1114.9000000000001</v>
      </c>
      <c r="I1174" s="110" t="s">
        <v>975</v>
      </c>
      <c r="J1174" s="110"/>
      <c r="K1174" s="110"/>
      <c r="L1174" s="118" t="s">
        <v>1582</v>
      </c>
      <c r="M1174" s="112">
        <f>TRUNC(D1174*H1174,2)</f>
        <v>22855.45</v>
      </c>
      <c r="N1174" s="113" t="s">
        <v>975</v>
      </c>
    </row>
    <row r="1175" spans="1:15" ht="16.149999999999999" customHeight="1">
      <c r="A1175" s="130"/>
      <c r="B1175" s="109" t="s">
        <v>1556</v>
      </c>
      <c r="C1175" s="118" t="s">
        <v>1526</v>
      </c>
      <c r="D1175" s="145">
        <v>0.39</v>
      </c>
      <c r="E1175" s="110"/>
      <c r="F1175" s="118" t="s">
        <v>972</v>
      </c>
      <c r="G1175" s="110"/>
      <c r="H1175" s="123">
        <f>M1174</f>
        <v>22855.45</v>
      </c>
      <c r="I1175" s="110" t="s">
        <v>975</v>
      </c>
      <c r="J1175" s="110"/>
      <c r="K1175" s="110"/>
      <c r="L1175" s="118" t="s">
        <v>1582</v>
      </c>
      <c r="M1175" s="112">
        <f>TRUNC((D1175*H1175),2)</f>
        <v>8913.6200000000008</v>
      </c>
      <c r="N1175" s="113" t="s">
        <v>975</v>
      </c>
    </row>
    <row r="1176" spans="1:15" ht="16.149999999999999" customHeight="1">
      <c r="A1176" s="130"/>
      <c r="B1176" s="109"/>
      <c r="C1176" s="110"/>
      <c r="D1176" s="110"/>
      <c r="E1176" s="110"/>
      <c r="F1176" s="110"/>
      <c r="G1176" s="110"/>
      <c r="H1176" s="111"/>
      <c r="I1176" s="110"/>
      <c r="J1176" s="110"/>
      <c r="K1176" s="118" t="s">
        <v>1164</v>
      </c>
      <c r="L1176" s="118" t="s">
        <v>1582</v>
      </c>
      <c r="M1176" s="112">
        <f>TRUNC(SUM(M1174:M1175))</f>
        <v>31769</v>
      </c>
      <c r="N1176" s="113" t="s">
        <v>975</v>
      </c>
    </row>
    <row r="1177" spans="1:15" ht="18.600000000000001" customHeight="1">
      <c r="A1177" s="135"/>
      <c r="B1177" s="136"/>
      <c r="C1177" s="138"/>
      <c r="D1177" s="138"/>
      <c r="E1177" s="138"/>
      <c r="F1177" s="138"/>
      <c r="G1177" s="138"/>
      <c r="H1177" s="139"/>
      <c r="I1177" s="138"/>
      <c r="J1177" s="138"/>
      <c r="K1177" s="137"/>
      <c r="L1177" s="137"/>
      <c r="M1177" s="140"/>
      <c r="N1177" s="141"/>
      <c r="O1177" s="114" t="s">
        <v>3682</v>
      </c>
    </row>
    <row r="1178" spans="1:15" s="152" customFormat="1" ht="16.149999999999999" customHeight="1">
      <c r="A1178" s="146"/>
      <c r="B1178" s="147"/>
      <c r="C1178" s="148"/>
      <c r="D1178" s="148"/>
      <c r="E1178" s="148"/>
      <c r="F1178" s="148"/>
      <c r="G1178" s="148"/>
      <c r="H1178" s="149"/>
      <c r="I1178" s="148"/>
      <c r="J1178" s="148"/>
      <c r="K1178" s="148" t="s">
        <v>1118</v>
      </c>
      <c r="L1178" s="148" t="s">
        <v>1582</v>
      </c>
      <c r="M1178" s="150">
        <f>M1164+M1170+M1176</f>
        <v>82064</v>
      </c>
      <c r="N1178" s="151"/>
    </row>
    <row r="1179" spans="1:15" ht="16.149999999999999" customHeight="1">
      <c r="A1179" s="153"/>
      <c r="B1179" s="125"/>
      <c r="C1179" s="153"/>
      <c r="D1179" s="153"/>
      <c r="E1179" s="153"/>
      <c r="F1179" s="153"/>
      <c r="G1179" s="153"/>
      <c r="H1179" s="154"/>
      <c r="I1179" s="153"/>
      <c r="J1179" s="153"/>
      <c r="K1179" s="153"/>
      <c r="L1179" s="153"/>
      <c r="M1179" s="128"/>
      <c r="N1179" s="142"/>
    </row>
    <row r="1180" spans="1:15" s="107" customFormat="1" ht="16.149999999999999" customHeight="1">
      <c r="A1180" s="451">
        <f>A1161+1</f>
        <v>63</v>
      </c>
      <c r="B1180" s="99" t="s">
        <v>1100</v>
      </c>
      <c r="C1180" s="100" t="s">
        <v>1526</v>
      </c>
      <c r="D1180" s="101" t="s">
        <v>1195</v>
      </c>
      <c r="E1180" s="102"/>
      <c r="F1180" s="102"/>
      <c r="G1180" s="100"/>
      <c r="H1180" s="103" t="s">
        <v>1527</v>
      </c>
      <c r="I1180" s="100" t="s">
        <v>1526</v>
      </c>
      <c r="J1180" s="102" t="s">
        <v>1362</v>
      </c>
      <c r="K1180" s="104" t="s">
        <v>847</v>
      </c>
      <c r="L1180" s="100" t="s">
        <v>1526</v>
      </c>
      <c r="M1180" s="105" t="s">
        <v>2279</v>
      </c>
      <c r="N1180" s="106"/>
    </row>
    <row r="1181" spans="1:15" ht="16.149999999999999" customHeight="1">
      <c r="A1181" s="108"/>
      <c r="B1181" s="109" t="s">
        <v>588</v>
      </c>
      <c r="C1181" s="110" t="s">
        <v>1582</v>
      </c>
      <c r="D1181" s="110" t="s">
        <v>589</v>
      </c>
      <c r="E1181" s="110" t="s">
        <v>86</v>
      </c>
      <c r="F1181" s="110" t="s">
        <v>590</v>
      </c>
      <c r="G1181" s="110" t="s">
        <v>86</v>
      </c>
      <c r="H1181" s="111" t="s">
        <v>513</v>
      </c>
      <c r="I1181" s="110"/>
      <c r="J1181" s="110"/>
      <c r="K1181" s="110"/>
      <c r="L1181" s="110"/>
      <c r="M1181" s="112"/>
      <c r="N1181" s="113"/>
    </row>
    <row r="1182" spans="1:15" ht="16.149999999999999" customHeight="1">
      <c r="A1182" s="108"/>
      <c r="B1182" s="109"/>
      <c r="C1182" s="110"/>
      <c r="D1182" s="110"/>
      <c r="E1182" s="110"/>
      <c r="F1182" s="110"/>
      <c r="G1182" s="110"/>
      <c r="H1182" s="111"/>
      <c r="I1182" s="110"/>
      <c r="J1182" s="792"/>
      <c r="K1182" s="792"/>
      <c r="L1182" s="110"/>
      <c r="M1182" s="112"/>
      <c r="N1182" s="113"/>
    </row>
    <row r="1183" spans="1:15" ht="16.149999999999999" customHeight="1">
      <c r="A1183" s="115"/>
      <c r="F1183" s="117"/>
      <c r="G1183" s="118"/>
      <c r="H1183" s="119">
        <f>기계경비산출표!$E$237*1000</f>
        <v>142892000</v>
      </c>
      <c r="I1183" s="110" t="s">
        <v>972</v>
      </c>
      <c r="J1183" s="120">
        <v>2529</v>
      </c>
      <c r="K1183" s="118" t="s">
        <v>514</v>
      </c>
      <c r="L1183" s="121" t="s">
        <v>1582</v>
      </c>
      <c r="M1183" s="112">
        <f>TRUNC(H1183*J1183*(10^-7))</f>
        <v>36137</v>
      </c>
      <c r="N1183" s="113" t="s">
        <v>975</v>
      </c>
    </row>
    <row r="1184" spans="1:15" ht="16.149999999999999" customHeight="1">
      <c r="A1184" s="115"/>
      <c r="B1184" s="122"/>
      <c r="C1184" s="118"/>
      <c r="D1184" s="33"/>
      <c r="E1184" s="110"/>
      <c r="F1184" s="118"/>
      <c r="G1184" s="118"/>
      <c r="H1184" s="123"/>
      <c r="I1184" s="118"/>
      <c r="J1184" s="110"/>
      <c r="K1184" s="110"/>
      <c r="L1184" s="110"/>
      <c r="M1184" s="112"/>
      <c r="N1184" s="113"/>
    </row>
    <row r="1185" spans="1:15" ht="16.149999999999999" customHeight="1">
      <c r="A1185" s="124"/>
      <c r="B1185" s="125" t="s">
        <v>1115</v>
      </c>
      <c r="C1185" s="126"/>
      <c r="D1185" s="126"/>
      <c r="E1185" s="126"/>
      <c r="F1185" s="126"/>
      <c r="G1185" s="126"/>
      <c r="H1185" s="127"/>
      <c r="I1185" s="126"/>
      <c r="J1185" s="126"/>
      <c r="K1185" s="126"/>
      <c r="L1185" s="126"/>
      <c r="M1185" s="128"/>
      <c r="N1185" s="129"/>
    </row>
    <row r="1186" spans="1:15" ht="16.149999999999999" customHeight="1">
      <c r="A1186" s="130"/>
      <c r="B1186" s="131" t="s">
        <v>3186</v>
      </c>
      <c r="C1186" s="118"/>
      <c r="D1186" s="33">
        <f>SUMIF('노임(2015)'!$B$4:$B$87,B1186,'노임(2015)'!$C$4:$C$87)+SUMIF('노임(2015)'!$E$4:$E$87,B1186,'노임(2015)'!$F$4:$F$87)</f>
        <v>117523</v>
      </c>
      <c r="E1186" s="110" t="s">
        <v>972</v>
      </c>
      <c r="F1186" s="110" t="s">
        <v>973</v>
      </c>
      <c r="G1186" s="132" t="s">
        <v>974</v>
      </c>
      <c r="H1186" s="111"/>
      <c r="I1186" s="110"/>
      <c r="J1186" s="110"/>
      <c r="K1186" s="133">
        <v>1</v>
      </c>
      <c r="L1186" s="118" t="s">
        <v>1582</v>
      </c>
      <c r="M1186" s="112">
        <f>TRUNC(D1186*(1/8)*(16/12)*(25/20)*K1186)</f>
        <v>24483</v>
      </c>
      <c r="N1186" s="113" t="s">
        <v>975</v>
      </c>
    </row>
    <row r="1187" spans="1:15" ht="16.149999999999999" customHeight="1">
      <c r="A1187" s="130"/>
      <c r="B1187" s="131"/>
      <c r="C1187" s="118"/>
      <c r="D1187" s="33">
        <f>SUMIF('노임(2015)'!$B$4:$B$87,B1187,'노임(2015)'!$C$4:$C$87)+SUMIF('노임(2015)'!$E$4:$E$87,B1187,'노임(2015)'!$F$4:$F$87)</f>
        <v>0</v>
      </c>
      <c r="E1187" s="110"/>
      <c r="F1187" s="110"/>
      <c r="G1187" s="132"/>
      <c r="H1187" s="111"/>
      <c r="I1187" s="110"/>
      <c r="J1187" s="110"/>
      <c r="K1187" s="134"/>
      <c r="L1187" s="118"/>
      <c r="M1187" s="112"/>
      <c r="N1187" s="113"/>
    </row>
    <row r="1188" spans="1:15" ht="18.600000000000001" customHeight="1">
      <c r="A1188" s="130"/>
      <c r="B1188" s="109"/>
      <c r="C1188" s="118"/>
      <c r="D1188" s="33"/>
      <c r="E1188" s="110"/>
      <c r="F1188" s="110"/>
      <c r="G1188" s="132"/>
      <c r="H1188" s="111"/>
      <c r="I1188" s="110"/>
      <c r="J1188" s="110"/>
      <c r="K1188" s="134"/>
      <c r="L1188" s="118"/>
      <c r="M1188" s="112"/>
      <c r="N1188" s="113"/>
      <c r="O1188" s="114" t="s">
        <v>3682</v>
      </c>
    </row>
    <row r="1189" spans="1:15" ht="16.149999999999999" customHeight="1">
      <c r="A1189" s="130"/>
      <c r="B1189" s="109"/>
      <c r="C1189" s="118"/>
      <c r="D1189" s="110"/>
      <c r="E1189" s="110"/>
      <c r="F1189" s="110"/>
      <c r="G1189" s="110"/>
      <c r="H1189" s="111"/>
      <c r="I1189" s="791"/>
      <c r="J1189" s="791"/>
      <c r="K1189" s="118" t="s">
        <v>1164</v>
      </c>
      <c r="L1189" s="118" t="s">
        <v>1582</v>
      </c>
      <c r="M1189" s="112">
        <f>TRUNC(M1186+M1187+M1188)</f>
        <v>24483</v>
      </c>
      <c r="N1189" s="113" t="s">
        <v>975</v>
      </c>
      <c r="O1189" s="114" t="s">
        <v>1115</v>
      </c>
    </row>
    <row r="1190" spans="1:15" ht="18.600000000000001" customHeight="1">
      <c r="A1190" s="130"/>
      <c r="B1190" s="109"/>
      <c r="C1190" s="118"/>
      <c r="D1190" s="110"/>
      <c r="E1190" s="110"/>
      <c r="F1190" s="110"/>
      <c r="G1190" s="110"/>
      <c r="H1190" s="111"/>
      <c r="I1190" s="118"/>
      <c r="J1190" s="118"/>
      <c r="K1190" s="118"/>
      <c r="L1190" s="118"/>
      <c r="M1190" s="112"/>
      <c r="N1190" s="113"/>
      <c r="O1190" s="114" t="s">
        <v>3682</v>
      </c>
    </row>
    <row r="1191" spans="1:15" ht="18.600000000000001" customHeight="1">
      <c r="A1191" s="135"/>
      <c r="B1191" s="136"/>
      <c r="C1191" s="137"/>
      <c r="D1191" s="138"/>
      <c r="E1191" s="138"/>
      <c r="F1191" s="138"/>
      <c r="G1191" s="138"/>
      <c r="H1191" s="139"/>
      <c r="I1191" s="137"/>
      <c r="J1191" s="137"/>
      <c r="K1191" s="137"/>
      <c r="L1191" s="137"/>
      <c r="M1191" s="140"/>
      <c r="N1191" s="141"/>
      <c r="O1191" s="114" t="s">
        <v>3682</v>
      </c>
    </row>
    <row r="1192" spans="1:15" ht="16.149999999999999" customHeight="1">
      <c r="A1192" s="124"/>
      <c r="B1192" s="125" t="s">
        <v>1116</v>
      </c>
      <c r="C1192" s="142"/>
      <c r="D1192" s="126"/>
      <c r="E1192" s="126"/>
      <c r="F1192" s="126"/>
      <c r="G1192" s="126"/>
      <c r="H1192" s="127"/>
      <c r="I1192" s="126"/>
      <c r="J1192" s="126"/>
      <c r="K1192" s="126"/>
      <c r="L1192" s="126"/>
      <c r="M1192" s="128"/>
      <c r="N1192" s="129"/>
    </row>
    <row r="1193" spans="1:15" ht="16.149999999999999" customHeight="1">
      <c r="A1193" s="130"/>
      <c r="B1193" s="131" t="s">
        <v>2461</v>
      </c>
      <c r="C1193" s="118" t="s">
        <v>1526</v>
      </c>
      <c r="D1193" s="118">
        <v>26.3</v>
      </c>
      <c r="E1193" s="110" t="s">
        <v>456</v>
      </c>
      <c r="F1193" s="118" t="s">
        <v>972</v>
      </c>
      <c r="G1193" s="110"/>
      <c r="H1193" s="123">
        <f>중기기준!$G$35</f>
        <v>1114.9000000000001</v>
      </c>
      <c r="I1193" s="110" t="s">
        <v>975</v>
      </c>
      <c r="J1193" s="110"/>
      <c r="K1193" s="110"/>
      <c r="L1193" s="118" t="s">
        <v>1582</v>
      </c>
      <c r="M1193" s="112">
        <f>TRUNC(D1193*H1193,2)</f>
        <v>29321.87</v>
      </c>
      <c r="N1193" s="113" t="s">
        <v>975</v>
      </c>
    </row>
    <row r="1194" spans="1:15" ht="16.149999999999999" customHeight="1">
      <c r="A1194" s="130"/>
      <c r="B1194" s="109" t="s">
        <v>1556</v>
      </c>
      <c r="C1194" s="118" t="s">
        <v>1526</v>
      </c>
      <c r="D1194" s="145">
        <v>0.39</v>
      </c>
      <c r="E1194" s="110"/>
      <c r="F1194" s="118" t="s">
        <v>972</v>
      </c>
      <c r="G1194" s="110"/>
      <c r="H1194" s="123">
        <f>M1193</f>
        <v>29321.87</v>
      </c>
      <c r="I1194" s="110" t="s">
        <v>975</v>
      </c>
      <c r="J1194" s="110"/>
      <c r="K1194" s="110"/>
      <c r="L1194" s="118" t="s">
        <v>1582</v>
      </c>
      <c r="M1194" s="112">
        <f>TRUNC((D1194*H1194),2)</f>
        <v>11435.52</v>
      </c>
      <c r="N1194" s="113" t="s">
        <v>975</v>
      </c>
    </row>
    <row r="1195" spans="1:15" ht="16.149999999999999" customHeight="1">
      <c r="A1195" s="130"/>
      <c r="B1195" s="109"/>
      <c r="C1195" s="110"/>
      <c r="D1195" s="110"/>
      <c r="E1195" s="110"/>
      <c r="F1195" s="110"/>
      <c r="G1195" s="110"/>
      <c r="H1195" s="111"/>
      <c r="I1195" s="110"/>
      <c r="J1195" s="110"/>
      <c r="K1195" s="118" t="s">
        <v>1164</v>
      </c>
      <c r="L1195" s="118" t="s">
        <v>1582</v>
      </c>
      <c r="M1195" s="112">
        <f>TRUNC(SUM(M1193:M1194))</f>
        <v>40757</v>
      </c>
      <c r="N1195" s="113" t="s">
        <v>975</v>
      </c>
    </row>
    <row r="1196" spans="1:15" ht="18.600000000000001" customHeight="1">
      <c r="A1196" s="135"/>
      <c r="B1196" s="136"/>
      <c r="C1196" s="138"/>
      <c r="D1196" s="138"/>
      <c r="E1196" s="138"/>
      <c r="F1196" s="138"/>
      <c r="G1196" s="138"/>
      <c r="H1196" s="139"/>
      <c r="I1196" s="138"/>
      <c r="J1196" s="138"/>
      <c r="K1196" s="137"/>
      <c r="L1196" s="137"/>
      <c r="M1196" s="140"/>
      <c r="N1196" s="141"/>
      <c r="O1196" s="114" t="s">
        <v>3682</v>
      </c>
    </row>
    <row r="1197" spans="1:15" s="152" customFormat="1" ht="16.149999999999999" customHeight="1">
      <c r="A1197" s="146"/>
      <c r="B1197" s="147"/>
      <c r="C1197" s="148"/>
      <c r="D1197" s="148"/>
      <c r="E1197" s="148"/>
      <c r="F1197" s="148"/>
      <c r="G1197" s="148"/>
      <c r="H1197" s="149"/>
      <c r="I1197" s="148"/>
      <c r="J1197" s="148"/>
      <c r="K1197" s="148" t="s">
        <v>1118</v>
      </c>
      <c r="L1197" s="148" t="s">
        <v>1582</v>
      </c>
      <c r="M1197" s="150">
        <f>M1183+M1189+M1195</f>
        <v>101377</v>
      </c>
      <c r="N1197" s="151"/>
    </row>
    <row r="1198" spans="1:15" ht="16.149999999999999" customHeight="1">
      <c r="A1198" s="114"/>
    </row>
    <row r="1199" spans="1:15" s="107" customFormat="1" ht="16.149999999999999" customHeight="1">
      <c r="A1199" s="451">
        <f>A1180+1</f>
        <v>64</v>
      </c>
      <c r="B1199" s="99" t="s">
        <v>1100</v>
      </c>
      <c r="C1199" s="100" t="s">
        <v>1526</v>
      </c>
      <c r="D1199" s="101" t="s">
        <v>799</v>
      </c>
      <c r="E1199" s="102"/>
      <c r="F1199" s="102"/>
      <c r="G1199" s="100"/>
      <c r="H1199" s="103" t="s">
        <v>1527</v>
      </c>
      <c r="I1199" s="100" t="s">
        <v>1526</v>
      </c>
      <c r="J1199" s="102" t="s">
        <v>800</v>
      </c>
      <c r="K1199" s="104" t="s">
        <v>847</v>
      </c>
      <c r="L1199" s="100" t="s">
        <v>1526</v>
      </c>
      <c r="M1199" s="105" t="s">
        <v>200</v>
      </c>
      <c r="N1199" s="106"/>
    </row>
    <row r="1200" spans="1:15" ht="16.149999999999999" customHeight="1">
      <c r="A1200" s="108"/>
      <c r="B1200" s="109" t="s">
        <v>588</v>
      </c>
      <c r="C1200" s="110" t="s">
        <v>1582</v>
      </c>
      <c r="D1200" s="110" t="s">
        <v>589</v>
      </c>
      <c r="E1200" s="110" t="s">
        <v>86</v>
      </c>
      <c r="F1200" s="110" t="s">
        <v>590</v>
      </c>
      <c r="G1200" s="110" t="s">
        <v>86</v>
      </c>
      <c r="H1200" s="111" t="s">
        <v>2973</v>
      </c>
      <c r="I1200" s="110"/>
      <c r="J1200" s="110"/>
      <c r="K1200" s="110"/>
      <c r="L1200" s="110"/>
      <c r="M1200" s="112"/>
      <c r="N1200" s="113"/>
    </row>
    <row r="1201" spans="1:15" ht="16.149999999999999" customHeight="1">
      <c r="A1201" s="108"/>
      <c r="B1201" s="109"/>
      <c r="C1201" s="110"/>
      <c r="D1201" s="110"/>
      <c r="E1201" s="110"/>
      <c r="F1201" s="110"/>
      <c r="G1201" s="110"/>
      <c r="H1201" s="111"/>
      <c r="I1201" s="110"/>
      <c r="J1201" s="792"/>
      <c r="K1201" s="792"/>
      <c r="L1201" s="110"/>
      <c r="M1201" s="112"/>
      <c r="N1201" s="113"/>
    </row>
    <row r="1202" spans="1:15" ht="16.149999999999999" customHeight="1">
      <c r="A1202" s="115"/>
      <c r="F1202" s="117"/>
      <c r="G1202" s="118"/>
      <c r="H1202" s="119">
        <f>기계경비산출표!$E$243*1000</f>
        <v>177545000</v>
      </c>
      <c r="I1202" s="110" t="s">
        <v>972</v>
      </c>
      <c r="J1202" s="120">
        <v>2294</v>
      </c>
      <c r="K1202" s="118" t="s">
        <v>2974</v>
      </c>
      <c r="L1202" s="121" t="s">
        <v>1582</v>
      </c>
      <c r="M1202" s="112">
        <f>TRUNC(H1202*J1202*(10^-7))</f>
        <v>40728</v>
      </c>
      <c r="N1202" s="113" t="s">
        <v>975</v>
      </c>
    </row>
    <row r="1203" spans="1:15" ht="16.149999999999999" customHeight="1">
      <c r="A1203" s="115"/>
      <c r="B1203" s="122"/>
      <c r="C1203" s="118"/>
      <c r="D1203" s="33"/>
      <c r="E1203" s="110"/>
      <c r="F1203" s="118"/>
      <c r="G1203" s="118"/>
      <c r="H1203" s="123"/>
      <c r="I1203" s="118"/>
      <c r="J1203" s="110"/>
      <c r="K1203" s="110"/>
      <c r="L1203" s="110"/>
      <c r="M1203" s="112"/>
      <c r="N1203" s="113"/>
    </row>
    <row r="1204" spans="1:15" ht="16.149999999999999" customHeight="1">
      <c r="A1204" s="124"/>
      <c r="B1204" s="125" t="s">
        <v>1115</v>
      </c>
      <c r="C1204" s="126"/>
      <c r="D1204" s="126"/>
      <c r="E1204" s="126"/>
      <c r="F1204" s="126"/>
      <c r="G1204" s="126"/>
      <c r="H1204" s="127"/>
      <c r="I1204" s="126"/>
      <c r="J1204" s="126"/>
      <c r="K1204" s="126"/>
      <c r="L1204" s="126"/>
      <c r="M1204" s="128"/>
      <c r="N1204" s="129"/>
    </row>
    <row r="1205" spans="1:15" ht="16.149999999999999" customHeight="1">
      <c r="A1205" s="130"/>
      <c r="B1205" s="131" t="s">
        <v>3185</v>
      </c>
      <c r="C1205" s="118"/>
      <c r="D1205" s="33">
        <f>SUMIF('노임(2015)'!$B$4:$B$87,B1205,'노임(2015)'!$C$4:$C$87)+SUMIF('노임(2015)'!$E$4:$E$87,B1205,'노임(2015)'!$F$4:$F$87)</f>
        <v>130411</v>
      </c>
      <c r="E1205" s="110" t="s">
        <v>972</v>
      </c>
      <c r="F1205" s="110" t="s">
        <v>973</v>
      </c>
      <c r="G1205" s="132" t="s">
        <v>974</v>
      </c>
      <c r="H1205" s="111"/>
      <c r="I1205" s="110"/>
      <c r="J1205" s="110"/>
      <c r="K1205" s="133">
        <v>1</v>
      </c>
      <c r="L1205" s="118" t="s">
        <v>1582</v>
      </c>
      <c r="M1205" s="112">
        <f>TRUNC(D1205*(1/8)*(16/12)*(25/20)*K1205)</f>
        <v>27168</v>
      </c>
      <c r="N1205" s="113" t="s">
        <v>975</v>
      </c>
    </row>
    <row r="1206" spans="1:15" ht="16.149999999999999" customHeight="1">
      <c r="A1206" s="130"/>
      <c r="B1206" s="109"/>
      <c r="C1206" s="118"/>
      <c r="D1206" s="33"/>
      <c r="E1206" s="110"/>
      <c r="F1206" s="110"/>
      <c r="G1206" s="132"/>
      <c r="H1206" s="111"/>
      <c r="I1206" s="110"/>
      <c r="J1206" s="110"/>
      <c r="K1206" s="133"/>
      <c r="L1206" s="118"/>
      <c r="M1206" s="112"/>
      <c r="N1206" s="113"/>
    </row>
    <row r="1207" spans="1:15" ht="18.600000000000001" customHeight="1">
      <c r="A1207" s="130"/>
      <c r="B1207" s="109"/>
      <c r="C1207" s="118"/>
      <c r="D1207" s="33"/>
      <c r="E1207" s="110"/>
      <c r="F1207" s="110"/>
      <c r="G1207" s="132"/>
      <c r="H1207" s="111"/>
      <c r="I1207" s="110"/>
      <c r="J1207" s="110"/>
      <c r="K1207" s="134"/>
      <c r="L1207" s="118"/>
      <c r="M1207" s="112"/>
      <c r="N1207" s="113"/>
      <c r="O1207" s="114" t="s">
        <v>3682</v>
      </c>
    </row>
    <row r="1208" spans="1:15" ht="16.149999999999999" customHeight="1">
      <c r="A1208" s="130"/>
      <c r="B1208" s="109"/>
      <c r="C1208" s="118"/>
      <c r="D1208" s="110"/>
      <c r="E1208" s="110"/>
      <c r="F1208" s="110"/>
      <c r="G1208" s="110"/>
      <c r="H1208" s="111"/>
      <c r="I1208" s="791"/>
      <c r="J1208" s="791"/>
      <c r="K1208" s="118" t="s">
        <v>1164</v>
      </c>
      <c r="L1208" s="118" t="s">
        <v>1582</v>
      </c>
      <c r="M1208" s="112">
        <f>(M1205+M1206+M1207)</f>
        <v>27168</v>
      </c>
      <c r="N1208" s="113" t="s">
        <v>975</v>
      </c>
      <c r="O1208" s="114" t="s">
        <v>1115</v>
      </c>
    </row>
    <row r="1209" spans="1:15" ht="18.600000000000001" customHeight="1">
      <c r="A1209" s="130"/>
      <c r="B1209" s="109"/>
      <c r="C1209" s="118"/>
      <c r="D1209" s="110"/>
      <c r="E1209" s="110"/>
      <c r="F1209" s="110"/>
      <c r="G1209" s="110"/>
      <c r="H1209" s="111"/>
      <c r="I1209" s="118"/>
      <c r="J1209" s="118"/>
      <c r="K1209" s="118"/>
      <c r="L1209" s="118"/>
      <c r="M1209" s="112"/>
      <c r="N1209" s="113"/>
      <c r="O1209" s="114" t="s">
        <v>3682</v>
      </c>
    </row>
    <row r="1210" spans="1:15" ht="18.600000000000001" customHeight="1">
      <c r="A1210" s="135"/>
      <c r="B1210" s="136"/>
      <c r="C1210" s="137"/>
      <c r="D1210" s="138"/>
      <c r="E1210" s="138"/>
      <c r="F1210" s="138"/>
      <c r="G1210" s="138"/>
      <c r="H1210" s="139"/>
      <c r="I1210" s="137"/>
      <c r="J1210" s="137"/>
      <c r="K1210" s="137"/>
      <c r="L1210" s="137"/>
      <c r="M1210" s="140"/>
      <c r="N1210" s="141"/>
      <c r="O1210" s="114" t="s">
        <v>3682</v>
      </c>
    </row>
    <row r="1211" spans="1:15" ht="16.149999999999999" customHeight="1">
      <c r="A1211" s="124"/>
      <c r="B1211" s="125" t="s">
        <v>1116</v>
      </c>
      <c r="C1211" s="142"/>
      <c r="D1211" s="126"/>
      <c r="E1211" s="126"/>
      <c r="F1211" s="126"/>
      <c r="G1211" s="126"/>
      <c r="H1211" s="127"/>
      <c r="I1211" s="126"/>
      <c r="J1211" s="126"/>
      <c r="K1211" s="126"/>
      <c r="L1211" s="126"/>
      <c r="M1211" s="128"/>
      <c r="N1211" s="129"/>
    </row>
    <row r="1212" spans="1:15" ht="16.149999999999999" customHeight="1">
      <c r="A1212" s="130"/>
      <c r="B1212" s="131" t="s">
        <v>2461</v>
      </c>
      <c r="C1212" s="118" t="s">
        <v>1526</v>
      </c>
      <c r="D1212" s="118">
        <v>13</v>
      </c>
      <c r="E1212" s="110" t="s">
        <v>456</v>
      </c>
      <c r="F1212" s="118" t="s">
        <v>972</v>
      </c>
      <c r="G1212" s="110"/>
      <c r="H1212" s="123">
        <f>중기기준!$G$35</f>
        <v>1114.9000000000001</v>
      </c>
      <c r="I1212" s="110" t="s">
        <v>975</v>
      </c>
      <c r="J1212" s="110"/>
      <c r="K1212" s="110"/>
      <c r="L1212" s="118" t="s">
        <v>1582</v>
      </c>
      <c r="M1212" s="112">
        <f>TRUNC(D1212*H1212,2)</f>
        <v>14493.7</v>
      </c>
      <c r="N1212" s="113" t="s">
        <v>975</v>
      </c>
    </row>
    <row r="1213" spans="1:15" ht="16.149999999999999" customHeight="1">
      <c r="A1213" s="130"/>
      <c r="B1213" s="109" t="s">
        <v>1556</v>
      </c>
      <c r="C1213" s="118" t="s">
        <v>1526</v>
      </c>
      <c r="D1213" s="145">
        <v>7.0000000000000007E-2</v>
      </c>
      <c r="E1213" s="110"/>
      <c r="F1213" s="118" t="s">
        <v>972</v>
      </c>
      <c r="G1213" s="110"/>
      <c r="H1213" s="123">
        <f>M1212</f>
        <v>14493.7</v>
      </c>
      <c r="I1213" s="110" t="s">
        <v>975</v>
      </c>
      <c r="J1213" s="110"/>
      <c r="K1213" s="110"/>
      <c r="L1213" s="118" t="s">
        <v>1582</v>
      </c>
      <c r="M1213" s="112">
        <f>TRUNC((D1213*H1213),2)</f>
        <v>1014.55</v>
      </c>
      <c r="N1213" s="113" t="s">
        <v>975</v>
      </c>
    </row>
    <row r="1214" spans="1:15" ht="16.149999999999999" customHeight="1">
      <c r="A1214" s="130"/>
      <c r="B1214" s="109"/>
      <c r="C1214" s="110"/>
      <c r="D1214" s="110"/>
      <c r="E1214" s="110"/>
      <c r="F1214" s="110"/>
      <c r="G1214" s="110"/>
      <c r="H1214" s="111"/>
      <c r="I1214" s="110"/>
      <c r="J1214" s="110"/>
      <c r="K1214" s="118" t="s">
        <v>1164</v>
      </c>
      <c r="L1214" s="118" t="s">
        <v>1582</v>
      </c>
      <c r="M1214" s="112">
        <f>TRUNC(SUM(M1212:M1213))</f>
        <v>15508</v>
      </c>
      <c r="N1214" s="113" t="s">
        <v>975</v>
      </c>
    </row>
    <row r="1215" spans="1:15" ht="18.600000000000001" customHeight="1">
      <c r="A1215" s="135"/>
      <c r="B1215" s="136"/>
      <c r="C1215" s="138"/>
      <c r="D1215" s="138"/>
      <c r="E1215" s="138"/>
      <c r="F1215" s="138"/>
      <c r="G1215" s="138"/>
      <c r="H1215" s="139"/>
      <c r="I1215" s="138"/>
      <c r="J1215" s="138"/>
      <c r="K1215" s="137"/>
      <c r="L1215" s="137"/>
      <c r="M1215" s="140"/>
      <c r="N1215" s="141"/>
      <c r="O1215" s="114" t="s">
        <v>3682</v>
      </c>
    </row>
    <row r="1216" spans="1:15" s="152" customFormat="1" ht="16.149999999999999" customHeight="1">
      <c r="A1216" s="146"/>
      <c r="B1216" s="147"/>
      <c r="C1216" s="148"/>
      <c r="D1216" s="148"/>
      <c r="E1216" s="148"/>
      <c r="F1216" s="148"/>
      <c r="G1216" s="148"/>
      <c r="H1216" s="149"/>
      <c r="I1216" s="148"/>
      <c r="J1216" s="148"/>
      <c r="K1216" s="148" t="s">
        <v>1118</v>
      </c>
      <c r="L1216" s="148" t="s">
        <v>1582</v>
      </c>
      <c r="M1216" s="150">
        <f>M1202+M1208+M1214</f>
        <v>83404</v>
      </c>
      <c r="N1216" s="151"/>
    </row>
    <row r="1217" spans="1:15" ht="16.149999999999999" customHeight="1">
      <c r="A1217" s="153"/>
      <c r="B1217" s="125"/>
      <c r="C1217" s="153"/>
      <c r="D1217" s="153"/>
      <c r="E1217" s="153"/>
      <c r="F1217" s="153"/>
      <c r="G1217" s="153"/>
      <c r="H1217" s="154"/>
      <c r="I1217" s="153"/>
      <c r="J1217" s="153"/>
      <c r="K1217" s="153"/>
      <c r="L1217" s="153"/>
      <c r="M1217" s="128"/>
      <c r="N1217" s="142"/>
    </row>
    <row r="1218" spans="1:15" s="107" customFormat="1" ht="16.149999999999999" customHeight="1">
      <c r="A1218" s="451">
        <f>A1199+1</f>
        <v>65</v>
      </c>
      <c r="B1218" s="99" t="s">
        <v>1100</v>
      </c>
      <c r="C1218" s="100" t="s">
        <v>1526</v>
      </c>
      <c r="D1218" s="101" t="s">
        <v>801</v>
      </c>
      <c r="E1218" s="102"/>
      <c r="F1218" s="102"/>
      <c r="G1218" s="100"/>
      <c r="H1218" s="103" t="s">
        <v>1527</v>
      </c>
      <c r="I1218" s="100" t="s">
        <v>1526</v>
      </c>
      <c r="J1218" s="167" t="s">
        <v>802</v>
      </c>
      <c r="K1218" s="104" t="s">
        <v>847</v>
      </c>
      <c r="L1218" s="100" t="s">
        <v>1526</v>
      </c>
      <c r="M1218" s="105" t="s">
        <v>201</v>
      </c>
      <c r="N1218" s="106"/>
    </row>
    <row r="1219" spans="1:15" ht="16.149999999999999" customHeight="1">
      <c r="A1219" s="108"/>
      <c r="B1219" s="109" t="s">
        <v>588</v>
      </c>
      <c r="C1219" s="110" t="s">
        <v>1582</v>
      </c>
      <c r="D1219" s="110" t="s">
        <v>589</v>
      </c>
      <c r="E1219" s="110" t="s">
        <v>86</v>
      </c>
      <c r="F1219" s="110" t="s">
        <v>590</v>
      </c>
      <c r="G1219" s="110" t="s">
        <v>86</v>
      </c>
      <c r="H1219" s="111" t="s">
        <v>2973</v>
      </c>
      <c r="I1219" s="110"/>
      <c r="J1219" s="110"/>
      <c r="K1219" s="110"/>
      <c r="L1219" s="110"/>
      <c r="M1219" s="112"/>
      <c r="N1219" s="113"/>
    </row>
    <row r="1220" spans="1:15" ht="16.149999999999999" customHeight="1">
      <c r="A1220" s="108"/>
      <c r="B1220" s="109"/>
      <c r="C1220" s="110"/>
      <c r="D1220" s="110"/>
      <c r="E1220" s="110"/>
      <c r="F1220" s="110"/>
      <c r="G1220" s="110"/>
      <c r="H1220" s="111"/>
      <c r="I1220" s="110"/>
      <c r="J1220" s="792"/>
      <c r="K1220" s="792"/>
      <c r="L1220" s="110"/>
      <c r="M1220" s="112"/>
      <c r="N1220" s="113"/>
    </row>
    <row r="1221" spans="1:15" ht="16.149999999999999" customHeight="1">
      <c r="A1221" s="115"/>
      <c r="F1221" s="117"/>
      <c r="G1221" s="118"/>
      <c r="H1221" s="119">
        <f>기계경비산출표!$E$245*1000</f>
        <v>55718000</v>
      </c>
      <c r="I1221" s="110" t="s">
        <v>972</v>
      </c>
      <c r="J1221" s="120">
        <v>2474</v>
      </c>
      <c r="K1221" s="118" t="s">
        <v>2974</v>
      </c>
      <c r="L1221" s="121" t="s">
        <v>1582</v>
      </c>
      <c r="M1221" s="112">
        <f>TRUNC(H1221*J1221*(10^-7))</f>
        <v>13784</v>
      </c>
      <c r="N1221" s="113" t="s">
        <v>975</v>
      </c>
    </row>
    <row r="1222" spans="1:15" ht="16.149999999999999" customHeight="1">
      <c r="A1222" s="115"/>
      <c r="B1222" s="122"/>
      <c r="C1222" s="118"/>
      <c r="D1222" s="33"/>
      <c r="E1222" s="110"/>
      <c r="F1222" s="118"/>
      <c r="G1222" s="118"/>
      <c r="H1222" s="123"/>
      <c r="I1222" s="118"/>
      <c r="J1222" s="110"/>
      <c r="K1222" s="110"/>
      <c r="L1222" s="110"/>
      <c r="M1222" s="112"/>
      <c r="N1222" s="113"/>
    </row>
    <row r="1223" spans="1:15" ht="16.149999999999999" customHeight="1">
      <c r="A1223" s="124"/>
      <c r="B1223" s="125" t="s">
        <v>1115</v>
      </c>
      <c r="C1223" s="126"/>
      <c r="D1223" s="126"/>
      <c r="E1223" s="126"/>
      <c r="F1223" s="126"/>
      <c r="G1223" s="126"/>
      <c r="H1223" s="127"/>
      <c r="I1223" s="126"/>
      <c r="J1223" s="126"/>
      <c r="K1223" s="126"/>
      <c r="L1223" s="126"/>
      <c r="M1223" s="128"/>
      <c r="N1223" s="129"/>
    </row>
    <row r="1224" spans="1:15" ht="16.149999999999999" customHeight="1">
      <c r="A1224" s="130"/>
      <c r="B1224" s="131" t="s">
        <v>3185</v>
      </c>
      <c r="C1224" s="118"/>
      <c r="D1224" s="33">
        <f>SUMIF('노임(2015)'!$B$4:$B$87,B1224,'노임(2015)'!$C$4:$C$87)+SUMIF('노임(2015)'!$E$4:$E$87,B1224,'노임(2015)'!$F$4:$F$87)</f>
        <v>130411</v>
      </c>
      <c r="E1224" s="110" t="s">
        <v>972</v>
      </c>
      <c r="F1224" s="110" t="s">
        <v>973</v>
      </c>
      <c r="G1224" s="132" t="s">
        <v>974</v>
      </c>
      <c r="H1224" s="111"/>
      <c r="I1224" s="110"/>
      <c r="J1224" s="110"/>
      <c r="K1224" s="133">
        <v>1</v>
      </c>
      <c r="L1224" s="118" t="s">
        <v>1582</v>
      </c>
      <c r="M1224" s="112">
        <f>TRUNC(D1224*(1/8)*(16/12)*(25/20)*K1224)</f>
        <v>27168</v>
      </c>
      <c r="N1224" s="113" t="s">
        <v>975</v>
      </c>
    </row>
    <row r="1225" spans="1:15" ht="16.149999999999999" customHeight="1">
      <c r="A1225" s="130"/>
      <c r="B1225" s="109"/>
      <c r="C1225" s="118"/>
      <c r="D1225" s="33">
        <f>SUMIF('노임(2015)'!$B$4:$B$87,B1225,'노임(2015)'!$C$4:$C$87)+SUMIF('노임(2015)'!$E$4:$E$87,B1225,'노임(2015)'!$F$4:$F$87)</f>
        <v>0</v>
      </c>
      <c r="E1225" s="110"/>
      <c r="F1225" s="110"/>
      <c r="G1225" s="132"/>
      <c r="H1225" s="111"/>
      <c r="I1225" s="110"/>
      <c r="J1225" s="110"/>
      <c r="K1225" s="134"/>
      <c r="L1225" s="118"/>
      <c r="M1225" s="112"/>
      <c r="N1225" s="113"/>
    </row>
    <row r="1226" spans="1:15" ht="18.600000000000001" customHeight="1">
      <c r="A1226" s="130"/>
      <c r="B1226" s="109"/>
      <c r="C1226" s="118"/>
      <c r="D1226" s="33"/>
      <c r="E1226" s="110"/>
      <c r="F1226" s="110"/>
      <c r="G1226" s="132"/>
      <c r="H1226" s="111"/>
      <c r="I1226" s="110"/>
      <c r="J1226" s="110"/>
      <c r="K1226" s="134"/>
      <c r="L1226" s="118"/>
      <c r="M1226" s="112"/>
      <c r="N1226" s="113"/>
      <c r="O1226" s="114" t="s">
        <v>3682</v>
      </c>
    </row>
    <row r="1227" spans="1:15" ht="16.149999999999999" customHeight="1">
      <c r="A1227" s="130"/>
      <c r="B1227" s="109"/>
      <c r="C1227" s="118"/>
      <c r="D1227" s="110"/>
      <c r="E1227" s="110"/>
      <c r="F1227" s="110"/>
      <c r="G1227" s="110"/>
      <c r="H1227" s="111"/>
      <c r="I1227" s="791"/>
      <c r="J1227" s="791"/>
      <c r="K1227" s="118" t="s">
        <v>1164</v>
      </c>
      <c r="L1227" s="118" t="s">
        <v>1582</v>
      </c>
      <c r="M1227" s="112">
        <f>(M1224+M1225+M1226)</f>
        <v>27168</v>
      </c>
      <c r="N1227" s="113" t="s">
        <v>975</v>
      </c>
      <c r="O1227" s="114" t="s">
        <v>1115</v>
      </c>
    </row>
    <row r="1228" spans="1:15" ht="18.600000000000001" customHeight="1">
      <c r="A1228" s="130"/>
      <c r="B1228" s="109"/>
      <c r="C1228" s="118"/>
      <c r="D1228" s="110"/>
      <c r="E1228" s="110"/>
      <c r="F1228" s="110"/>
      <c r="G1228" s="110"/>
      <c r="H1228" s="111"/>
      <c r="I1228" s="118"/>
      <c r="J1228" s="118"/>
      <c r="K1228" s="118"/>
      <c r="L1228" s="118"/>
      <c r="M1228" s="112"/>
      <c r="N1228" s="113"/>
      <c r="O1228" s="114" t="s">
        <v>3682</v>
      </c>
    </row>
    <row r="1229" spans="1:15" ht="18.600000000000001" customHeight="1">
      <c r="A1229" s="135"/>
      <c r="B1229" s="136"/>
      <c r="C1229" s="137"/>
      <c r="D1229" s="138"/>
      <c r="E1229" s="138"/>
      <c r="F1229" s="138"/>
      <c r="G1229" s="138"/>
      <c r="H1229" s="139"/>
      <c r="I1229" s="137"/>
      <c r="J1229" s="137"/>
      <c r="K1229" s="137"/>
      <c r="L1229" s="137"/>
      <c r="M1229" s="140"/>
      <c r="N1229" s="141"/>
      <c r="O1229" s="114" t="s">
        <v>3682</v>
      </c>
    </row>
    <row r="1230" spans="1:15" ht="16.149999999999999" customHeight="1">
      <c r="A1230" s="124"/>
      <c r="B1230" s="125" t="s">
        <v>1116</v>
      </c>
      <c r="C1230" s="142"/>
      <c r="D1230" s="126"/>
      <c r="E1230" s="126"/>
      <c r="F1230" s="126"/>
      <c r="G1230" s="126"/>
      <c r="H1230" s="127"/>
      <c r="I1230" s="126"/>
      <c r="J1230" s="126"/>
      <c r="K1230" s="126"/>
      <c r="L1230" s="126"/>
      <c r="M1230" s="128"/>
      <c r="N1230" s="129"/>
    </row>
    <row r="1231" spans="1:15" ht="16.149999999999999" customHeight="1">
      <c r="A1231" s="130"/>
      <c r="B1231" s="131" t="s">
        <v>2461</v>
      </c>
      <c r="C1231" s="118" t="s">
        <v>1526</v>
      </c>
      <c r="D1231" s="118">
        <v>10.9</v>
      </c>
      <c r="E1231" s="110" t="s">
        <v>456</v>
      </c>
      <c r="F1231" s="118" t="s">
        <v>972</v>
      </c>
      <c r="G1231" s="110"/>
      <c r="H1231" s="123">
        <f>중기기준!$G$35</f>
        <v>1114.9000000000001</v>
      </c>
      <c r="I1231" s="110" t="s">
        <v>975</v>
      </c>
      <c r="J1231" s="110"/>
      <c r="K1231" s="110"/>
      <c r="L1231" s="118" t="s">
        <v>1582</v>
      </c>
      <c r="M1231" s="112">
        <f>TRUNC(D1231*H1231,2)</f>
        <v>12152.41</v>
      </c>
      <c r="N1231" s="113" t="s">
        <v>975</v>
      </c>
    </row>
    <row r="1232" spans="1:15" ht="16.149999999999999" customHeight="1">
      <c r="A1232" s="130"/>
      <c r="B1232" s="109" t="s">
        <v>1556</v>
      </c>
      <c r="C1232" s="118" t="s">
        <v>1526</v>
      </c>
      <c r="D1232" s="145">
        <v>0.25</v>
      </c>
      <c r="E1232" s="110"/>
      <c r="F1232" s="118" t="s">
        <v>972</v>
      </c>
      <c r="G1232" s="110"/>
      <c r="H1232" s="123">
        <f>M1231</f>
        <v>12152.41</v>
      </c>
      <c r="I1232" s="110" t="s">
        <v>975</v>
      </c>
      <c r="J1232" s="110"/>
      <c r="K1232" s="110"/>
      <c r="L1232" s="118" t="s">
        <v>1582</v>
      </c>
      <c r="M1232" s="112">
        <f>TRUNC((D1232*H1232),2)</f>
        <v>3038.1</v>
      </c>
      <c r="N1232" s="113" t="s">
        <v>975</v>
      </c>
    </row>
    <row r="1233" spans="1:15" ht="16.149999999999999" customHeight="1">
      <c r="A1233" s="130"/>
      <c r="B1233" s="109"/>
      <c r="C1233" s="110"/>
      <c r="D1233" s="110"/>
      <c r="E1233" s="110"/>
      <c r="F1233" s="110"/>
      <c r="G1233" s="110"/>
      <c r="H1233" s="111"/>
      <c r="I1233" s="110"/>
      <c r="J1233" s="110"/>
      <c r="K1233" s="118" t="s">
        <v>1164</v>
      </c>
      <c r="L1233" s="118" t="s">
        <v>1582</v>
      </c>
      <c r="M1233" s="112">
        <f>TRUNC(SUM(M1231:M1232))</f>
        <v>15190</v>
      </c>
      <c r="N1233" s="113" t="s">
        <v>975</v>
      </c>
    </row>
    <row r="1234" spans="1:15" ht="18.600000000000001" customHeight="1">
      <c r="A1234" s="135"/>
      <c r="B1234" s="136"/>
      <c r="C1234" s="138"/>
      <c r="D1234" s="138"/>
      <c r="E1234" s="138"/>
      <c r="F1234" s="138"/>
      <c r="G1234" s="138"/>
      <c r="H1234" s="139"/>
      <c r="I1234" s="138"/>
      <c r="J1234" s="138"/>
      <c r="K1234" s="137"/>
      <c r="L1234" s="137"/>
      <c r="M1234" s="140"/>
      <c r="N1234" s="141"/>
      <c r="O1234" s="114" t="s">
        <v>3682</v>
      </c>
    </row>
    <row r="1235" spans="1:15" s="152" customFormat="1" ht="16.149999999999999" customHeight="1">
      <c r="A1235" s="146"/>
      <c r="B1235" s="147"/>
      <c r="C1235" s="148"/>
      <c r="D1235" s="148"/>
      <c r="E1235" s="148"/>
      <c r="F1235" s="148"/>
      <c r="G1235" s="148"/>
      <c r="H1235" s="149"/>
      <c r="I1235" s="148"/>
      <c r="J1235" s="148"/>
      <c r="K1235" s="148" t="s">
        <v>1118</v>
      </c>
      <c r="L1235" s="148" t="s">
        <v>1582</v>
      </c>
      <c r="M1235" s="150">
        <f>M1221+M1227+M1233</f>
        <v>56142</v>
      </c>
      <c r="N1235" s="151"/>
    </row>
    <row r="1236" spans="1:15" ht="16.149999999999999" customHeight="1">
      <c r="A1236" s="114"/>
    </row>
    <row r="1237" spans="1:15" s="107" customFormat="1" ht="16.149999999999999" customHeight="1">
      <c r="A1237" s="451">
        <f>A1218+1</f>
        <v>66</v>
      </c>
      <c r="B1237" s="99" t="s">
        <v>1100</v>
      </c>
      <c r="C1237" s="100" t="s">
        <v>1526</v>
      </c>
      <c r="D1237" s="101" t="s">
        <v>908</v>
      </c>
      <c r="E1237" s="102"/>
      <c r="F1237" s="102"/>
      <c r="G1237" s="100"/>
      <c r="H1237" s="103" t="s">
        <v>1527</v>
      </c>
      <c r="I1237" s="100" t="s">
        <v>1526</v>
      </c>
      <c r="J1237" s="102" t="s">
        <v>909</v>
      </c>
      <c r="K1237" s="104" t="s">
        <v>847</v>
      </c>
      <c r="L1237" s="100" t="s">
        <v>1526</v>
      </c>
      <c r="M1237" s="105" t="str">
        <f>기계경비산출표!$B$249</f>
        <v>3430-0400</v>
      </c>
      <c r="N1237" s="106"/>
    </row>
    <row r="1238" spans="1:15" ht="16.149999999999999" customHeight="1">
      <c r="A1238" s="108"/>
      <c r="B1238" s="109" t="s">
        <v>588</v>
      </c>
      <c r="C1238" s="110" t="s">
        <v>1582</v>
      </c>
      <c r="D1238" s="110" t="s">
        <v>589</v>
      </c>
      <c r="E1238" s="110" t="s">
        <v>86</v>
      </c>
      <c r="F1238" s="110" t="s">
        <v>590</v>
      </c>
      <c r="G1238" s="110" t="s">
        <v>86</v>
      </c>
      <c r="H1238" s="111" t="s">
        <v>2973</v>
      </c>
      <c r="I1238" s="110"/>
      <c r="J1238" s="110"/>
      <c r="K1238" s="110"/>
      <c r="L1238" s="110"/>
      <c r="M1238" s="112"/>
      <c r="N1238" s="113"/>
    </row>
    <row r="1239" spans="1:15" ht="16.149999999999999" customHeight="1">
      <c r="A1239" s="108"/>
      <c r="B1239" s="109"/>
      <c r="C1239" s="110"/>
      <c r="D1239" s="110"/>
      <c r="E1239" s="110"/>
      <c r="F1239" s="110"/>
      <c r="G1239" s="110"/>
      <c r="H1239" s="111"/>
      <c r="I1239" s="110"/>
      <c r="J1239" s="792"/>
      <c r="K1239" s="792"/>
      <c r="L1239" s="110"/>
      <c r="M1239" s="112"/>
      <c r="N1239" s="113"/>
    </row>
    <row r="1240" spans="1:15" ht="16.149999999999999" customHeight="1">
      <c r="A1240" s="115"/>
      <c r="F1240" s="117"/>
      <c r="G1240" s="118"/>
      <c r="H1240" s="119">
        <f>기계경비산출표!$E$249*1000</f>
        <v>2778000</v>
      </c>
      <c r="I1240" s="110" t="s">
        <v>972</v>
      </c>
      <c r="J1240" s="120">
        <v>2481</v>
      </c>
      <c r="K1240" s="118" t="s">
        <v>2974</v>
      </c>
      <c r="L1240" s="121" t="s">
        <v>1582</v>
      </c>
      <c r="M1240" s="112">
        <f>TRUNC(H1240*J1240*(10^-7))</f>
        <v>689</v>
      </c>
      <c r="N1240" s="113" t="s">
        <v>975</v>
      </c>
    </row>
    <row r="1241" spans="1:15" ht="16.149999999999999" customHeight="1">
      <c r="A1241" s="115"/>
      <c r="B1241" s="122"/>
      <c r="C1241" s="118"/>
      <c r="D1241" s="33"/>
      <c r="E1241" s="110"/>
      <c r="F1241" s="118"/>
      <c r="G1241" s="118"/>
      <c r="H1241" s="123"/>
      <c r="I1241" s="118"/>
      <c r="J1241" s="110"/>
      <c r="K1241" s="110"/>
      <c r="L1241" s="110"/>
      <c r="M1241" s="112"/>
      <c r="N1241" s="113"/>
    </row>
    <row r="1242" spans="1:15" ht="16.149999999999999" customHeight="1">
      <c r="A1242" s="124"/>
      <c r="B1242" s="125" t="s">
        <v>1115</v>
      </c>
      <c r="C1242" s="126"/>
      <c r="D1242" s="126"/>
      <c r="E1242" s="126"/>
      <c r="F1242" s="126"/>
      <c r="G1242" s="126"/>
      <c r="H1242" s="127"/>
      <c r="I1242" s="126"/>
      <c r="J1242" s="126"/>
      <c r="K1242" s="126"/>
      <c r="L1242" s="126"/>
      <c r="M1242" s="128"/>
      <c r="N1242" s="129"/>
    </row>
    <row r="1243" spans="1:15" ht="16.149999999999999" customHeight="1">
      <c r="A1243" s="130"/>
      <c r="B1243" s="753" t="s">
        <v>3185</v>
      </c>
      <c r="C1243" s="118"/>
      <c r="D1243" s="33">
        <f>SUMIF('노임(2015)'!$B$4:$B$87,B1243,'노임(2015)'!$C$4:$C$87)+SUMIF('노임(2015)'!$E$4:$E$87,B1243,'노임(2015)'!$F$4:$F$87)</f>
        <v>130411</v>
      </c>
      <c r="E1243" s="110" t="s">
        <v>972</v>
      </c>
      <c r="F1243" s="110" t="s">
        <v>973</v>
      </c>
      <c r="G1243" s="132" t="s">
        <v>974</v>
      </c>
      <c r="H1243" s="111"/>
      <c r="I1243" s="110"/>
      <c r="J1243" s="110"/>
      <c r="K1243" s="133">
        <v>1</v>
      </c>
      <c r="L1243" s="118" t="s">
        <v>1582</v>
      </c>
      <c r="M1243" s="112">
        <f>TRUNC(D1243*(1/8)*(16/12)*(25/20)*K1243)</f>
        <v>27168</v>
      </c>
      <c r="N1243" s="113" t="s">
        <v>975</v>
      </c>
    </row>
    <row r="1244" spans="1:15" ht="16.149999999999999" customHeight="1">
      <c r="A1244" s="130"/>
      <c r="B1244" s="109"/>
      <c r="C1244" s="118"/>
      <c r="D1244" s="33">
        <f>SUMIF('노임(2015)'!$B$4:$B$87,B1244,'노임(2015)'!$C$4:$C$87)+SUMIF('노임(2015)'!$E$4:$E$87,B1244,'노임(2015)'!$F$4:$F$87)</f>
        <v>0</v>
      </c>
      <c r="E1244" s="110"/>
      <c r="F1244" s="110"/>
      <c r="G1244" s="132"/>
      <c r="H1244" s="111"/>
      <c r="I1244" s="110"/>
      <c r="J1244" s="110"/>
      <c r="K1244" s="134"/>
      <c r="L1244" s="118"/>
      <c r="M1244" s="112"/>
      <c r="N1244" s="113"/>
    </row>
    <row r="1245" spans="1:15" ht="18.600000000000001" customHeight="1">
      <c r="A1245" s="130"/>
      <c r="B1245" s="109"/>
      <c r="C1245" s="118"/>
      <c r="D1245" s="33"/>
      <c r="E1245" s="110"/>
      <c r="F1245" s="110"/>
      <c r="G1245" s="132"/>
      <c r="H1245" s="111"/>
      <c r="I1245" s="110"/>
      <c r="J1245" s="110"/>
      <c r="K1245" s="134"/>
      <c r="L1245" s="118"/>
      <c r="M1245" s="112"/>
      <c r="N1245" s="113"/>
      <c r="O1245" s="114" t="s">
        <v>3682</v>
      </c>
    </row>
    <row r="1246" spans="1:15" ht="16.149999999999999" customHeight="1">
      <c r="A1246" s="130"/>
      <c r="B1246" s="109"/>
      <c r="C1246" s="118"/>
      <c r="D1246" s="110"/>
      <c r="E1246" s="110"/>
      <c r="F1246" s="110"/>
      <c r="G1246" s="110"/>
      <c r="H1246" s="111"/>
      <c r="I1246" s="791"/>
      <c r="J1246" s="791"/>
      <c r="K1246" s="118" t="s">
        <v>1164</v>
      </c>
      <c r="L1246" s="118" t="s">
        <v>1582</v>
      </c>
      <c r="M1246" s="112">
        <f>(M1243+M1244+M1245)</f>
        <v>27168</v>
      </c>
      <c r="N1246" s="113" t="s">
        <v>975</v>
      </c>
      <c r="O1246" s="114" t="s">
        <v>1115</v>
      </c>
    </row>
    <row r="1247" spans="1:15" ht="18.600000000000001" customHeight="1">
      <c r="A1247" s="130"/>
      <c r="B1247" s="109"/>
      <c r="C1247" s="118"/>
      <c r="D1247" s="110"/>
      <c r="E1247" s="110"/>
      <c r="F1247" s="110"/>
      <c r="G1247" s="110"/>
      <c r="H1247" s="111"/>
      <c r="I1247" s="118"/>
      <c r="J1247" s="118"/>
      <c r="K1247" s="118"/>
      <c r="L1247" s="118"/>
      <c r="M1247" s="112"/>
      <c r="N1247" s="113"/>
      <c r="O1247" s="114" t="s">
        <v>3682</v>
      </c>
    </row>
    <row r="1248" spans="1:15" ht="18.600000000000001" customHeight="1">
      <c r="A1248" s="135"/>
      <c r="B1248" s="136"/>
      <c r="C1248" s="137"/>
      <c r="D1248" s="138"/>
      <c r="E1248" s="138"/>
      <c r="F1248" s="138"/>
      <c r="G1248" s="138"/>
      <c r="H1248" s="139"/>
      <c r="I1248" s="137"/>
      <c r="J1248" s="137"/>
      <c r="K1248" s="137"/>
      <c r="L1248" s="137"/>
      <c r="M1248" s="140"/>
      <c r="N1248" s="141"/>
      <c r="O1248" s="114" t="s">
        <v>3682</v>
      </c>
    </row>
    <row r="1249" spans="1:15" ht="16.149999999999999" customHeight="1">
      <c r="A1249" s="124"/>
      <c r="B1249" s="125" t="s">
        <v>1116</v>
      </c>
      <c r="C1249" s="142"/>
      <c r="D1249" s="126"/>
      <c r="E1249" s="126"/>
      <c r="F1249" s="126"/>
      <c r="G1249" s="126"/>
      <c r="H1249" s="127"/>
      <c r="I1249" s="126"/>
      <c r="J1249" s="126"/>
      <c r="K1249" s="126"/>
      <c r="L1249" s="126"/>
      <c r="M1249" s="128"/>
      <c r="N1249" s="129"/>
    </row>
    <row r="1250" spans="1:15" ht="16.149999999999999" customHeight="1">
      <c r="A1250" s="130"/>
      <c r="B1250" s="131" t="s">
        <v>970</v>
      </c>
      <c r="C1250" s="118" t="s">
        <v>1526</v>
      </c>
      <c r="D1250" s="118">
        <v>1.2</v>
      </c>
      <c r="E1250" s="110" t="s">
        <v>456</v>
      </c>
      <c r="F1250" s="118" t="s">
        <v>972</v>
      </c>
      <c r="G1250" s="110"/>
      <c r="H1250" s="123">
        <f>중기기준!$G$33</f>
        <v>1324.27</v>
      </c>
      <c r="I1250" s="110" t="s">
        <v>975</v>
      </c>
      <c r="J1250" s="110"/>
      <c r="K1250" s="110"/>
      <c r="L1250" s="118" t="s">
        <v>1582</v>
      </c>
      <c r="M1250" s="112">
        <f>TRUNC(D1250*H1250,2)</f>
        <v>1589.12</v>
      </c>
      <c r="N1250" s="113" t="s">
        <v>975</v>
      </c>
    </row>
    <row r="1251" spans="1:15" ht="16.149999999999999" customHeight="1">
      <c r="A1251" s="130"/>
      <c r="B1251" s="109" t="s">
        <v>1556</v>
      </c>
      <c r="C1251" s="118" t="s">
        <v>1526</v>
      </c>
      <c r="D1251" s="145">
        <v>0.06</v>
      </c>
      <c r="E1251" s="110"/>
      <c r="F1251" s="118" t="s">
        <v>972</v>
      </c>
      <c r="G1251" s="110"/>
      <c r="H1251" s="123">
        <f>M1250</f>
        <v>1589.12</v>
      </c>
      <c r="I1251" s="110" t="s">
        <v>975</v>
      </c>
      <c r="J1251" s="110"/>
      <c r="K1251" s="110"/>
      <c r="L1251" s="118" t="s">
        <v>1582</v>
      </c>
      <c r="M1251" s="112">
        <f>TRUNC((D1251*H1251),2)</f>
        <v>95.34</v>
      </c>
      <c r="N1251" s="113" t="s">
        <v>975</v>
      </c>
    </row>
    <row r="1252" spans="1:15" ht="16.149999999999999" customHeight="1">
      <c r="A1252" s="130"/>
      <c r="B1252" s="109"/>
      <c r="C1252" s="110"/>
      <c r="D1252" s="110"/>
      <c r="E1252" s="110"/>
      <c r="F1252" s="110"/>
      <c r="G1252" s="110"/>
      <c r="H1252" s="111"/>
      <c r="I1252" s="110"/>
      <c r="J1252" s="110"/>
      <c r="K1252" s="118" t="s">
        <v>1164</v>
      </c>
      <c r="L1252" s="118" t="s">
        <v>1582</v>
      </c>
      <c r="M1252" s="112">
        <f>TRUNC(SUM(M1250:M1251))</f>
        <v>1684</v>
      </c>
      <c r="N1252" s="113" t="s">
        <v>975</v>
      </c>
    </row>
    <row r="1253" spans="1:15" ht="18.600000000000001" customHeight="1">
      <c r="A1253" s="135"/>
      <c r="B1253" s="136"/>
      <c r="C1253" s="138"/>
      <c r="D1253" s="138"/>
      <c r="E1253" s="138"/>
      <c r="F1253" s="138"/>
      <c r="G1253" s="138"/>
      <c r="H1253" s="139"/>
      <c r="I1253" s="138"/>
      <c r="J1253" s="138"/>
      <c r="K1253" s="137"/>
      <c r="L1253" s="137"/>
      <c r="M1253" s="140"/>
      <c r="N1253" s="141"/>
      <c r="O1253" s="114" t="s">
        <v>3682</v>
      </c>
    </row>
    <row r="1254" spans="1:15" s="152" customFormat="1" ht="16.149999999999999" customHeight="1">
      <c r="A1254" s="146"/>
      <c r="B1254" s="147"/>
      <c r="C1254" s="148"/>
      <c r="D1254" s="148"/>
      <c r="E1254" s="148"/>
      <c r="F1254" s="148"/>
      <c r="G1254" s="148"/>
      <c r="H1254" s="149"/>
      <c r="I1254" s="148"/>
      <c r="J1254" s="148"/>
      <c r="K1254" s="148" t="s">
        <v>1118</v>
      </c>
      <c r="L1254" s="148" t="s">
        <v>1582</v>
      </c>
      <c r="M1254" s="150">
        <f>M1240+M1246+M1252</f>
        <v>29541</v>
      </c>
      <c r="N1254" s="151"/>
    </row>
    <row r="1255" spans="1:15" ht="16.149999999999999" customHeight="1">
      <c r="A1255" s="153"/>
      <c r="B1255" s="125"/>
      <c r="C1255" s="153"/>
      <c r="D1255" s="153"/>
      <c r="E1255" s="153"/>
      <c r="F1255" s="153"/>
      <c r="G1255" s="153"/>
      <c r="H1255" s="154"/>
      <c r="I1255" s="153"/>
      <c r="J1255" s="153"/>
      <c r="K1255" s="153"/>
      <c r="L1255" s="153"/>
      <c r="M1255" s="128"/>
      <c r="N1255" s="142"/>
    </row>
    <row r="1256" spans="1:15" s="107" customFormat="1" ht="16.149999999999999" customHeight="1">
      <c r="A1256" s="451">
        <f>A1237+1</f>
        <v>67</v>
      </c>
      <c r="B1256" s="99" t="s">
        <v>1100</v>
      </c>
      <c r="C1256" s="100" t="s">
        <v>1526</v>
      </c>
      <c r="D1256" s="101" t="s">
        <v>976</v>
      </c>
      <c r="E1256" s="102"/>
      <c r="F1256" s="102"/>
      <c r="G1256" s="100"/>
      <c r="H1256" s="103" t="s">
        <v>1527</v>
      </c>
      <c r="I1256" s="100" t="s">
        <v>1526</v>
      </c>
      <c r="J1256" s="167" t="s">
        <v>1581</v>
      </c>
      <c r="K1256" s="104" t="s">
        <v>847</v>
      </c>
      <c r="L1256" s="100" t="s">
        <v>1526</v>
      </c>
      <c r="M1256" s="105" t="s">
        <v>202</v>
      </c>
      <c r="N1256" s="106"/>
    </row>
    <row r="1257" spans="1:15" ht="16.149999999999999" customHeight="1">
      <c r="A1257" s="108"/>
      <c r="B1257" s="109" t="s">
        <v>588</v>
      </c>
      <c r="C1257" s="110" t="s">
        <v>1582</v>
      </c>
      <c r="D1257" s="110" t="s">
        <v>589</v>
      </c>
      <c r="E1257" s="110" t="s">
        <v>86</v>
      </c>
      <c r="F1257" s="110" t="s">
        <v>590</v>
      </c>
      <c r="G1257" s="110" t="s">
        <v>86</v>
      </c>
      <c r="H1257" s="111" t="s">
        <v>513</v>
      </c>
      <c r="I1257" s="110"/>
      <c r="J1257" s="110"/>
      <c r="K1257" s="110"/>
      <c r="L1257" s="110"/>
      <c r="M1257" s="112"/>
      <c r="N1257" s="113"/>
    </row>
    <row r="1258" spans="1:15" ht="16.149999999999999" customHeight="1">
      <c r="A1258" s="108"/>
      <c r="B1258" s="109"/>
      <c r="C1258" s="110"/>
      <c r="D1258" s="110"/>
      <c r="E1258" s="110"/>
      <c r="F1258" s="110"/>
      <c r="G1258" s="110"/>
      <c r="H1258" s="111"/>
      <c r="I1258" s="110"/>
      <c r="J1258" s="792"/>
      <c r="K1258" s="792"/>
      <c r="L1258" s="110"/>
      <c r="M1258" s="112"/>
      <c r="N1258" s="113"/>
    </row>
    <row r="1259" spans="1:15" ht="16.149999999999999" customHeight="1">
      <c r="A1259" s="115"/>
      <c r="F1259" s="117"/>
      <c r="G1259" s="118"/>
      <c r="H1259" s="119">
        <f>기계경비산출표!$E$276*1000</f>
        <v>16196000</v>
      </c>
      <c r="I1259" s="110" t="s">
        <v>972</v>
      </c>
      <c r="J1259" s="120">
        <v>2971</v>
      </c>
      <c r="K1259" s="118" t="s">
        <v>514</v>
      </c>
      <c r="L1259" s="121" t="s">
        <v>1582</v>
      </c>
      <c r="M1259" s="112">
        <f>TRUNC(H1259*J1259*(10^-7))</f>
        <v>4811</v>
      </c>
      <c r="N1259" s="113" t="s">
        <v>975</v>
      </c>
    </row>
    <row r="1260" spans="1:15" ht="16.149999999999999" customHeight="1">
      <c r="A1260" s="115"/>
      <c r="B1260" s="122"/>
      <c r="C1260" s="118"/>
      <c r="D1260" s="33"/>
      <c r="E1260" s="110"/>
      <c r="F1260" s="118"/>
      <c r="G1260" s="118"/>
      <c r="H1260" s="123"/>
      <c r="I1260" s="118"/>
      <c r="J1260" s="110"/>
      <c r="K1260" s="110"/>
      <c r="L1260" s="110"/>
      <c r="M1260" s="112"/>
      <c r="N1260" s="113"/>
    </row>
    <row r="1261" spans="1:15" ht="16.149999999999999" customHeight="1">
      <c r="A1261" s="124"/>
      <c r="B1261" s="125" t="s">
        <v>1115</v>
      </c>
      <c r="C1261" s="126"/>
      <c r="D1261" s="126"/>
      <c r="E1261" s="126"/>
      <c r="F1261" s="126"/>
      <c r="G1261" s="126"/>
      <c r="H1261" s="127"/>
      <c r="I1261" s="126"/>
      <c r="J1261" s="126"/>
      <c r="K1261" s="126"/>
      <c r="L1261" s="126"/>
      <c r="M1261" s="128"/>
      <c r="N1261" s="129"/>
    </row>
    <row r="1262" spans="1:15" ht="16.149999999999999" customHeight="1">
      <c r="A1262" s="130"/>
      <c r="B1262" s="131" t="s">
        <v>3189</v>
      </c>
      <c r="C1262" s="118"/>
      <c r="D1262" s="33">
        <f>SUMIF('노임(2015)'!$B$4:$B$87,B1262,'노임(2015)'!$C$4:$C$87)+SUMIF('노임(2015)'!$E$4:$E$87,B1262,'노임(2015)'!$F$4:$F$87)</f>
        <v>90909</v>
      </c>
      <c r="E1262" s="110" t="s">
        <v>972</v>
      </c>
      <c r="F1262" s="110" t="s">
        <v>973</v>
      </c>
      <c r="G1262" s="132" t="s">
        <v>974</v>
      </c>
      <c r="H1262" s="111"/>
      <c r="I1262" s="110"/>
      <c r="J1262" s="110"/>
      <c r="K1262" s="133">
        <v>1</v>
      </c>
      <c r="L1262" s="118" t="s">
        <v>1582</v>
      </c>
      <c r="M1262" s="112">
        <f>TRUNC(D1262*(1/8)*(16/12)*(25/20)*K1262)</f>
        <v>18939</v>
      </c>
      <c r="N1262" s="113" t="s">
        <v>975</v>
      </c>
    </row>
    <row r="1263" spans="1:15" ht="16.149999999999999" customHeight="1">
      <c r="A1263" s="130"/>
      <c r="B1263" s="131"/>
      <c r="C1263" s="118"/>
      <c r="D1263" s="33">
        <f>SUMIF('노임(2015)'!$B$4:$B$87,B1263,'노임(2015)'!$C$4:$C$87)+SUMIF('노임(2015)'!$E$4:$E$87,B1263,'노임(2015)'!$F$4:$F$87)</f>
        <v>0</v>
      </c>
      <c r="E1263" s="110"/>
      <c r="F1263" s="110"/>
      <c r="G1263" s="132"/>
      <c r="H1263" s="111"/>
      <c r="I1263" s="110"/>
      <c r="J1263" s="110"/>
      <c r="K1263" s="134"/>
      <c r="L1263" s="118"/>
      <c r="M1263" s="112"/>
      <c r="N1263" s="113"/>
    </row>
    <row r="1264" spans="1:15" ht="18.600000000000001" customHeight="1">
      <c r="A1264" s="130"/>
      <c r="B1264" s="109"/>
      <c r="C1264" s="118"/>
      <c r="D1264" s="33"/>
      <c r="E1264" s="110"/>
      <c r="F1264" s="110"/>
      <c r="G1264" s="132"/>
      <c r="H1264" s="111"/>
      <c r="I1264" s="110"/>
      <c r="J1264" s="110"/>
      <c r="K1264" s="134"/>
      <c r="L1264" s="118"/>
      <c r="M1264" s="112"/>
      <c r="N1264" s="113"/>
      <c r="O1264" s="114" t="s">
        <v>3682</v>
      </c>
    </row>
    <row r="1265" spans="1:15" ht="16.149999999999999" customHeight="1">
      <c r="A1265" s="130"/>
      <c r="B1265" s="109"/>
      <c r="C1265" s="118"/>
      <c r="D1265" s="110"/>
      <c r="E1265" s="110"/>
      <c r="F1265" s="110"/>
      <c r="G1265" s="110"/>
      <c r="H1265" s="111"/>
      <c r="I1265" s="791"/>
      <c r="J1265" s="791"/>
      <c r="K1265" s="118" t="s">
        <v>1164</v>
      </c>
      <c r="L1265" s="118" t="s">
        <v>1582</v>
      </c>
      <c r="M1265" s="112">
        <f>TRUNC(M1262+M1263+M1264)</f>
        <v>18939</v>
      </c>
      <c r="N1265" s="113" t="s">
        <v>975</v>
      </c>
      <c r="O1265" s="114" t="s">
        <v>1115</v>
      </c>
    </row>
    <row r="1266" spans="1:15" ht="18.600000000000001" customHeight="1">
      <c r="A1266" s="130"/>
      <c r="B1266" s="109"/>
      <c r="C1266" s="118"/>
      <c r="D1266" s="110"/>
      <c r="E1266" s="110"/>
      <c r="F1266" s="110"/>
      <c r="G1266" s="110"/>
      <c r="H1266" s="111"/>
      <c r="I1266" s="118"/>
      <c r="J1266" s="118"/>
      <c r="K1266" s="118"/>
      <c r="L1266" s="118"/>
      <c r="M1266" s="112"/>
      <c r="N1266" s="113"/>
      <c r="O1266" s="114" t="s">
        <v>3682</v>
      </c>
    </row>
    <row r="1267" spans="1:15" ht="18.600000000000001" customHeight="1">
      <c r="A1267" s="135"/>
      <c r="B1267" s="136"/>
      <c r="C1267" s="137"/>
      <c r="D1267" s="138"/>
      <c r="E1267" s="138"/>
      <c r="F1267" s="138"/>
      <c r="G1267" s="138"/>
      <c r="H1267" s="139"/>
      <c r="I1267" s="137"/>
      <c r="J1267" s="137"/>
      <c r="K1267" s="137"/>
      <c r="L1267" s="137"/>
      <c r="M1267" s="140"/>
      <c r="N1267" s="141"/>
      <c r="O1267" s="114" t="s">
        <v>3682</v>
      </c>
    </row>
    <row r="1268" spans="1:15" ht="16.149999999999999" customHeight="1">
      <c r="A1268" s="124"/>
      <c r="B1268" s="125" t="s">
        <v>1116</v>
      </c>
      <c r="C1268" s="142"/>
      <c r="D1268" s="126"/>
      <c r="E1268" s="126"/>
      <c r="F1268" s="126"/>
      <c r="G1268" s="126"/>
      <c r="H1268" s="127"/>
      <c r="I1268" s="126"/>
      <c r="J1268" s="126"/>
      <c r="K1268" s="126"/>
      <c r="L1268" s="126"/>
      <c r="M1268" s="128"/>
      <c r="N1268" s="129"/>
    </row>
    <row r="1269" spans="1:15" ht="16.149999999999999" customHeight="1">
      <c r="A1269" s="130"/>
      <c r="B1269" s="131" t="s">
        <v>970</v>
      </c>
      <c r="C1269" s="118" t="s">
        <v>1526</v>
      </c>
      <c r="D1269" s="118">
        <v>3.9</v>
      </c>
      <c r="E1269" s="110" t="s">
        <v>456</v>
      </c>
      <c r="F1269" s="118" t="s">
        <v>972</v>
      </c>
      <c r="G1269" s="110"/>
      <c r="H1269" s="123">
        <f>중기기준!$G$33</f>
        <v>1324.27</v>
      </c>
      <c r="I1269" s="110" t="s">
        <v>975</v>
      </c>
      <c r="J1269" s="110"/>
      <c r="K1269" s="110"/>
      <c r="L1269" s="118" t="s">
        <v>1582</v>
      </c>
      <c r="M1269" s="112">
        <f>TRUNC(D1269*H1269,2)</f>
        <v>5164.6499999999996</v>
      </c>
      <c r="N1269" s="113" t="s">
        <v>975</v>
      </c>
    </row>
    <row r="1270" spans="1:15" ht="16.149999999999999" customHeight="1">
      <c r="A1270" s="130"/>
      <c r="B1270" s="109" t="s">
        <v>1556</v>
      </c>
      <c r="C1270" s="118" t="s">
        <v>1526</v>
      </c>
      <c r="D1270" s="145">
        <v>0.02</v>
      </c>
      <c r="E1270" s="110"/>
      <c r="F1270" s="118" t="s">
        <v>972</v>
      </c>
      <c r="G1270" s="110"/>
      <c r="H1270" s="123">
        <f>M1269</f>
        <v>5164.6499999999996</v>
      </c>
      <c r="I1270" s="110" t="s">
        <v>975</v>
      </c>
      <c r="J1270" s="110"/>
      <c r="K1270" s="110"/>
      <c r="L1270" s="118" t="s">
        <v>1582</v>
      </c>
      <c r="M1270" s="112">
        <f>TRUNC((D1270*H1270),2)</f>
        <v>103.29</v>
      </c>
      <c r="N1270" s="113" t="s">
        <v>975</v>
      </c>
    </row>
    <row r="1271" spans="1:15" ht="16.149999999999999" customHeight="1">
      <c r="A1271" s="130"/>
      <c r="B1271" s="109"/>
      <c r="C1271" s="110"/>
      <c r="D1271" s="110"/>
      <c r="E1271" s="110"/>
      <c r="F1271" s="110"/>
      <c r="G1271" s="110"/>
      <c r="H1271" s="111"/>
      <c r="I1271" s="110"/>
      <c r="J1271" s="110"/>
      <c r="K1271" s="118" t="s">
        <v>1164</v>
      </c>
      <c r="L1271" s="118" t="s">
        <v>1582</v>
      </c>
      <c r="M1271" s="112">
        <f>TRUNC(SUM(M1269:M1270))</f>
        <v>5267</v>
      </c>
      <c r="N1271" s="113" t="s">
        <v>975</v>
      </c>
    </row>
    <row r="1272" spans="1:15" ht="18.600000000000001" customHeight="1">
      <c r="A1272" s="135"/>
      <c r="B1272" s="136"/>
      <c r="C1272" s="138"/>
      <c r="D1272" s="138"/>
      <c r="E1272" s="138"/>
      <c r="F1272" s="138"/>
      <c r="G1272" s="138"/>
      <c r="H1272" s="139"/>
      <c r="I1272" s="138"/>
      <c r="J1272" s="138"/>
      <c r="K1272" s="137"/>
      <c r="L1272" s="137"/>
      <c r="M1272" s="140"/>
      <c r="N1272" s="141"/>
      <c r="O1272" s="114" t="s">
        <v>3682</v>
      </c>
    </row>
    <row r="1273" spans="1:15" s="152" customFormat="1" ht="16.149999999999999" customHeight="1">
      <c r="A1273" s="146"/>
      <c r="B1273" s="147"/>
      <c r="C1273" s="148"/>
      <c r="D1273" s="148"/>
      <c r="E1273" s="148"/>
      <c r="F1273" s="148"/>
      <c r="G1273" s="148"/>
      <c r="H1273" s="149"/>
      <c r="I1273" s="148"/>
      <c r="J1273" s="148"/>
      <c r="K1273" s="148" t="s">
        <v>1118</v>
      </c>
      <c r="L1273" s="148" t="s">
        <v>1582</v>
      </c>
      <c r="M1273" s="150">
        <f>M1259+M1265+M1271</f>
        <v>29017</v>
      </c>
      <c r="N1273" s="151"/>
    </row>
    <row r="1274" spans="1:15" ht="16.149999999999999" customHeight="1">
      <c r="A1274" s="114"/>
    </row>
    <row r="1275" spans="1:15" s="107" customFormat="1" ht="16.149999999999999" customHeight="1">
      <c r="A1275" s="451">
        <f>A1256+1</f>
        <v>68</v>
      </c>
      <c r="B1275" s="99" t="s">
        <v>1100</v>
      </c>
      <c r="C1275" s="100" t="s">
        <v>1526</v>
      </c>
      <c r="D1275" s="101" t="s">
        <v>2264</v>
      </c>
      <c r="E1275" s="102"/>
      <c r="F1275" s="102"/>
      <c r="G1275" s="100"/>
      <c r="H1275" s="171" t="s">
        <v>203</v>
      </c>
      <c r="I1275" s="100"/>
      <c r="J1275" s="167"/>
      <c r="K1275" s="104" t="s">
        <v>847</v>
      </c>
      <c r="L1275" s="100" t="s">
        <v>1526</v>
      </c>
      <c r="M1275" s="105" t="s">
        <v>204</v>
      </c>
      <c r="N1275" s="106"/>
    </row>
    <row r="1276" spans="1:15" ht="16.149999999999999" customHeight="1">
      <c r="A1276" s="108"/>
      <c r="B1276" s="109" t="s">
        <v>588</v>
      </c>
      <c r="C1276" s="110" t="s">
        <v>1582</v>
      </c>
      <c r="D1276" s="110" t="s">
        <v>589</v>
      </c>
      <c r="E1276" s="110" t="s">
        <v>86</v>
      </c>
      <c r="F1276" s="110" t="s">
        <v>590</v>
      </c>
      <c r="G1276" s="110" t="s">
        <v>86</v>
      </c>
      <c r="H1276" s="111" t="s">
        <v>513</v>
      </c>
      <c r="I1276" s="110"/>
      <c r="J1276" s="110"/>
      <c r="K1276" s="110"/>
      <c r="L1276" s="110"/>
      <c r="M1276" s="112"/>
      <c r="N1276" s="113"/>
    </row>
    <row r="1277" spans="1:15" ht="16.149999999999999" customHeight="1">
      <c r="A1277" s="108"/>
      <c r="B1277" s="109"/>
      <c r="C1277" s="110"/>
      <c r="D1277" s="110"/>
      <c r="E1277" s="110"/>
      <c r="F1277" s="110"/>
      <c r="G1277" s="110"/>
      <c r="H1277" s="111"/>
      <c r="I1277" s="110"/>
      <c r="J1277" s="110"/>
      <c r="K1277" s="110"/>
      <c r="L1277" s="110"/>
      <c r="M1277" s="112"/>
      <c r="N1277" s="113"/>
    </row>
    <row r="1278" spans="1:15" ht="16.149999999999999" customHeight="1">
      <c r="A1278" s="115"/>
      <c r="F1278" s="117"/>
      <c r="G1278" s="118"/>
      <c r="H1278" s="119">
        <f>기계경비산출표!$E$279*1000</f>
        <v>2331000</v>
      </c>
      <c r="I1278" s="110" t="s">
        <v>972</v>
      </c>
      <c r="J1278" s="158">
        <v>6266</v>
      </c>
      <c r="K1278" s="118" t="s">
        <v>514</v>
      </c>
      <c r="L1278" s="121" t="s">
        <v>1582</v>
      </c>
      <c r="M1278" s="112">
        <f>TRUNC(H1278*J1278*(10^-7))</f>
        <v>1460</v>
      </c>
      <c r="N1278" s="113" t="s">
        <v>975</v>
      </c>
    </row>
    <row r="1279" spans="1:15" ht="16.149999999999999" customHeight="1">
      <c r="A1279" s="115"/>
      <c r="B1279" s="122"/>
      <c r="C1279" s="118"/>
      <c r="D1279" s="33"/>
      <c r="E1279" s="110"/>
      <c r="F1279" s="118"/>
      <c r="G1279" s="118"/>
      <c r="H1279" s="123"/>
      <c r="I1279" s="118"/>
      <c r="J1279" s="110"/>
      <c r="K1279" s="110"/>
      <c r="L1279" s="110"/>
      <c r="M1279" s="112"/>
      <c r="N1279" s="113"/>
    </row>
    <row r="1280" spans="1:15" ht="16.149999999999999" customHeight="1">
      <c r="A1280" s="124"/>
      <c r="B1280" s="125" t="s">
        <v>1115</v>
      </c>
      <c r="C1280" s="126"/>
      <c r="D1280" s="126"/>
      <c r="E1280" s="126"/>
      <c r="F1280" s="126"/>
      <c r="G1280" s="126"/>
      <c r="H1280" s="127"/>
      <c r="I1280" s="126"/>
      <c r="J1280" s="126"/>
      <c r="K1280" s="126"/>
      <c r="L1280" s="126"/>
      <c r="M1280" s="128"/>
      <c r="N1280" s="129"/>
    </row>
    <row r="1281" spans="1:15" ht="16.149999999999999" customHeight="1">
      <c r="A1281" s="130"/>
      <c r="B1281" s="131" t="s">
        <v>3189</v>
      </c>
      <c r="C1281" s="118"/>
      <c r="D1281" s="33">
        <f>SUMIF('노임(2015)'!$B$4:$B$87,B1281,'노임(2015)'!$C$4:$C$87)+SUMIF('노임(2015)'!$E$4:$E$87,B1281,'노임(2015)'!$F$4:$F$87)</f>
        <v>90909</v>
      </c>
      <c r="E1281" s="110" t="s">
        <v>972</v>
      </c>
      <c r="F1281" s="110" t="s">
        <v>973</v>
      </c>
      <c r="G1281" s="132" t="s">
        <v>974</v>
      </c>
      <c r="H1281" s="111"/>
      <c r="I1281" s="110"/>
      <c r="J1281" s="110"/>
      <c r="K1281" s="133">
        <v>1</v>
      </c>
      <c r="L1281" s="118" t="s">
        <v>1582</v>
      </c>
      <c r="M1281" s="112">
        <f>TRUNC(D1281*(1/8)*(16/12)*(25/20)*K1281)</f>
        <v>18939</v>
      </c>
      <c r="N1281" s="113" t="s">
        <v>975</v>
      </c>
    </row>
    <row r="1282" spans="1:15" ht="16.149999999999999" customHeight="1">
      <c r="A1282" s="130"/>
      <c r="B1282" s="131"/>
      <c r="C1282" s="118"/>
      <c r="D1282" s="33">
        <f>SUMIF('노임(2015)'!$B$4:$B$87,B1282,'노임(2015)'!$C$4:$C$87)+SUMIF('노임(2015)'!$E$4:$E$87,B1282,'노임(2015)'!$F$4:$F$87)</f>
        <v>0</v>
      </c>
      <c r="E1282" s="110"/>
      <c r="F1282" s="110"/>
      <c r="G1282" s="132"/>
      <c r="H1282" s="111"/>
      <c r="I1282" s="110"/>
      <c r="J1282" s="110"/>
      <c r="K1282" s="134"/>
      <c r="L1282" s="118"/>
      <c r="M1282" s="112"/>
      <c r="N1282" s="113"/>
    </row>
    <row r="1283" spans="1:15" ht="18.600000000000001" customHeight="1">
      <c r="A1283" s="130"/>
      <c r="B1283" s="109"/>
      <c r="C1283" s="118"/>
      <c r="D1283" s="33"/>
      <c r="E1283" s="110"/>
      <c r="F1283" s="110"/>
      <c r="G1283" s="132"/>
      <c r="H1283" s="111"/>
      <c r="I1283" s="110"/>
      <c r="J1283" s="110"/>
      <c r="K1283" s="134"/>
      <c r="L1283" s="118"/>
      <c r="M1283" s="112"/>
      <c r="N1283" s="113"/>
      <c r="O1283" s="114" t="s">
        <v>3682</v>
      </c>
    </row>
    <row r="1284" spans="1:15" ht="16.149999999999999" customHeight="1">
      <c r="A1284" s="130"/>
      <c r="B1284" s="109"/>
      <c r="C1284" s="118"/>
      <c r="D1284" s="110"/>
      <c r="E1284" s="110"/>
      <c r="F1284" s="110"/>
      <c r="G1284" s="110"/>
      <c r="H1284" s="111"/>
      <c r="I1284" s="791"/>
      <c r="J1284" s="791"/>
      <c r="K1284" s="118" t="s">
        <v>1164</v>
      </c>
      <c r="L1284" s="118" t="s">
        <v>1582</v>
      </c>
      <c r="M1284" s="112">
        <f>TRUNC(M1281+M1282+M1283)</f>
        <v>18939</v>
      </c>
      <c r="N1284" s="113" t="s">
        <v>975</v>
      </c>
      <c r="O1284" s="114" t="s">
        <v>1115</v>
      </c>
    </row>
    <row r="1285" spans="1:15" ht="18.600000000000001" customHeight="1">
      <c r="A1285" s="130"/>
      <c r="B1285" s="109"/>
      <c r="C1285" s="118"/>
      <c r="D1285" s="110"/>
      <c r="E1285" s="110"/>
      <c r="F1285" s="110"/>
      <c r="G1285" s="110"/>
      <c r="H1285" s="111"/>
      <c r="I1285" s="118"/>
      <c r="J1285" s="118"/>
      <c r="K1285" s="118"/>
      <c r="L1285" s="118"/>
      <c r="M1285" s="112"/>
      <c r="N1285" s="113"/>
      <c r="O1285" s="114" t="s">
        <v>3682</v>
      </c>
    </row>
    <row r="1286" spans="1:15" ht="18.600000000000001" customHeight="1">
      <c r="A1286" s="135"/>
      <c r="B1286" s="136"/>
      <c r="C1286" s="137"/>
      <c r="D1286" s="138"/>
      <c r="E1286" s="138"/>
      <c r="F1286" s="138"/>
      <c r="G1286" s="138"/>
      <c r="H1286" s="139"/>
      <c r="I1286" s="137"/>
      <c r="J1286" s="137"/>
      <c r="K1286" s="137"/>
      <c r="L1286" s="137"/>
      <c r="M1286" s="140"/>
      <c r="N1286" s="141"/>
      <c r="O1286" s="114" t="s">
        <v>3682</v>
      </c>
    </row>
    <row r="1287" spans="1:15" ht="16.149999999999999" customHeight="1">
      <c r="A1287" s="124"/>
      <c r="B1287" s="125" t="s">
        <v>1116</v>
      </c>
      <c r="C1287" s="142"/>
      <c r="D1287" s="126"/>
      <c r="E1287" s="126"/>
      <c r="F1287" s="126"/>
      <c r="G1287" s="126"/>
      <c r="H1287" s="127"/>
      <c r="I1287" s="126"/>
      <c r="J1287" s="126"/>
      <c r="K1287" s="126"/>
      <c r="L1287" s="126"/>
      <c r="M1287" s="128"/>
      <c r="N1287" s="129"/>
    </row>
    <row r="1288" spans="1:15" ht="16.149999999999999" customHeight="1">
      <c r="A1288" s="130"/>
      <c r="B1288" s="131" t="s">
        <v>1123</v>
      </c>
      <c r="C1288" s="118" t="s">
        <v>1526</v>
      </c>
      <c r="D1288" s="118">
        <v>5.6</v>
      </c>
      <c r="E1288" s="110" t="s">
        <v>456</v>
      </c>
      <c r="F1288" s="118" t="s">
        <v>972</v>
      </c>
      <c r="G1288" s="110"/>
      <c r="H1288" s="123">
        <f>중기기준!G33</f>
        <v>1324.27</v>
      </c>
      <c r="I1288" s="110" t="s">
        <v>975</v>
      </c>
      <c r="J1288" s="110"/>
      <c r="K1288" s="110"/>
      <c r="L1288" s="118" t="s">
        <v>1582</v>
      </c>
      <c r="M1288" s="112">
        <f>TRUNC(D1288*H1288,2)</f>
        <v>7415.91</v>
      </c>
      <c r="N1288" s="113" t="s">
        <v>975</v>
      </c>
    </row>
    <row r="1289" spans="1:15" ht="16.149999999999999" customHeight="1">
      <c r="A1289" s="130"/>
      <c r="B1289" s="109" t="s">
        <v>1556</v>
      </c>
      <c r="C1289" s="118" t="s">
        <v>1526</v>
      </c>
      <c r="D1289" s="145">
        <v>0.2</v>
      </c>
      <c r="E1289" s="110"/>
      <c r="F1289" s="118" t="s">
        <v>972</v>
      </c>
      <c r="G1289" s="110"/>
      <c r="H1289" s="123">
        <f>M1288</f>
        <v>7415.91</v>
      </c>
      <c r="I1289" s="110" t="s">
        <v>975</v>
      </c>
      <c r="J1289" s="110"/>
      <c r="K1289" s="110"/>
      <c r="L1289" s="118" t="s">
        <v>1582</v>
      </c>
      <c r="M1289" s="112">
        <f>TRUNC(D1289*H1289,2)</f>
        <v>1483.18</v>
      </c>
      <c r="N1289" s="113" t="s">
        <v>975</v>
      </c>
    </row>
    <row r="1290" spans="1:15" ht="16.149999999999999" customHeight="1">
      <c r="A1290" s="130"/>
      <c r="B1290" s="109"/>
      <c r="C1290" s="110"/>
      <c r="D1290" s="110"/>
      <c r="E1290" s="110"/>
      <c r="F1290" s="110"/>
      <c r="G1290" s="110"/>
      <c r="H1290" s="111"/>
      <c r="I1290" s="110"/>
      <c r="J1290" s="110"/>
      <c r="K1290" s="118" t="s">
        <v>1164</v>
      </c>
      <c r="L1290" s="118" t="s">
        <v>1582</v>
      </c>
      <c r="M1290" s="112">
        <f>TRUNC(SUM(M1288:M1289))</f>
        <v>8899</v>
      </c>
      <c r="N1290" s="113" t="s">
        <v>975</v>
      </c>
    </row>
    <row r="1291" spans="1:15" ht="18.600000000000001" customHeight="1">
      <c r="A1291" s="135"/>
      <c r="B1291" s="136"/>
      <c r="C1291" s="138"/>
      <c r="D1291" s="138"/>
      <c r="E1291" s="138"/>
      <c r="F1291" s="138"/>
      <c r="G1291" s="138"/>
      <c r="H1291" s="139"/>
      <c r="I1291" s="138"/>
      <c r="J1291" s="138"/>
      <c r="K1291" s="137"/>
      <c r="L1291" s="137"/>
      <c r="M1291" s="140"/>
      <c r="N1291" s="141"/>
      <c r="O1291" s="114" t="s">
        <v>3682</v>
      </c>
    </row>
    <row r="1292" spans="1:15" s="152" customFormat="1" ht="16.149999999999999" customHeight="1">
      <c r="A1292" s="146"/>
      <c r="B1292" s="147"/>
      <c r="C1292" s="148"/>
      <c r="D1292" s="148"/>
      <c r="E1292" s="148"/>
      <c r="F1292" s="148"/>
      <c r="G1292" s="148"/>
      <c r="H1292" s="149"/>
      <c r="I1292" s="148"/>
      <c r="J1292" s="148"/>
      <c r="K1292" s="148" t="s">
        <v>1118</v>
      </c>
      <c r="L1292" s="148" t="s">
        <v>1582</v>
      </c>
      <c r="M1292" s="150">
        <f>M1278+M1284+M1290</f>
        <v>29298</v>
      </c>
      <c r="N1292" s="151"/>
    </row>
    <row r="1293" spans="1:15" ht="16.149999999999999" customHeight="1">
      <c r="A1293" s="153"/>
      <c r="B1293" s="125"/>
      <c r="C1293" s="153"/>
      <c r="D1293" s="153"/>
      <c r="E1293" s="153"/>
      <c r="F1293" s="153"/>
      <c r="G1293" s="153"/>
      <c r="H1293" s="154"/>
      <c r="I1293" s="153"/>
      <c r="J1293" s="153"/>
      <c r="K1293" s="153"/>
      <c r="L1293" s="153"/>
      <c r="M1293" s="128"/>
      <c r="N1293" s="142"/>
    </row>
    <row r="1294" spans="1:15" s="107" customFormat="1" ht="16.149999999999999" customHeight="1">
      <c r="A1294" s="451">
        <f>A1275+1</f>
        <v>69</v>
      </c>
      <c r="B1294" s="99" t="s">
        <v>1100</v>
      </c>
      <c r="C1294" s="100" t="s">
        <v>1526</v>
      </c>
      <c r="D1294" s="101" t="s">
        <v>3807</v>
      </c>
      <c r="E1294" s="102"/>
      <c r="F1294" s="102"/>
      <c r="G1294" s="102"/>
      <c r="H1294" s="157" t="s">
        <v>1527</v>
      </c>
      <c r="I1294" s="100" t="s">
        <v>1526</v>
      </c>
      <c r="J1294" s="167" t="s">
        <v>205</v>
      </c>
      <c r="K1294" s="104" t="s">
        <v>847</v>
      </c>
      <c r="L1294" s="100" t="s">
        <v>1526</v>
      </c>
      <c r="M1294" s="105" t="s">
        <v>206</v>
      </c>
      <c r="N1294" s="106"/>
    </row>
    <row r="1295" spans="1:15" ht="16.149999999999999" customHeight="1">
      <c r="A1295" s="108"/>
      <c r="B1295" s="109" t="s">
        <v>588</v>
      </c>
      <c r="C1295" s="110" t="s">
        <v>1582</v>
      </c>
      <c r="D1295" s="110" t="s">
        <v>589</v>
      </c>
      <c r="E1295" s="110" t="s">
        <v>86</v>
      </c>
      <c r="F1295" s="110" t="s">
        <v>590</v>
      </c>
      <c r="G1295" s="110" t="s">
        <v>86</v>
      </c>
      <c r="H1295" s="111" t="s">
        <v>513</v>
      </c>
      <c r="I1295" s="110"/>
      <c r="J1295" s="110"/>
      <c r="K1295" s="110"/>
      <c r="L1295" s="110"/>
      <c r="M1295" s="112"/>
      <c r="N1295" s="113"/>
    </row>
    <row r="1296" spans="1:15" ht="16.149999999999999" customHeight="1">
      <c r="A1296" s="108"/>
      <c r="B1296" s="109"/>
      <c r="C1296" s="110"/>
      <c r="D1296" s="110"/>
      <c r="E1296" s="110"/>
      <c r="F1296" s="110"/>
      <c r="G1296" s="110"/>
      <c r="H1296" s="111"/>
      <c r="I1296" s="110"/>
      <c r="J1296" s="110"/>
      <c r="K1296" s="110"/>
      <c r="L1296" s="110"/>
      <c r="M1296" s="112"/>
      <c r="N1296" s="113"/>
    </row>
    <row r="1297" spans="1:15" ht="16.149999999999999" customHeight="1">
      <c r="A1297" s="115"/>
      <c r="F1297" s="117"/>
      <c r="G1297" s="118"/>
      <c r="H1297" s="119">
        <f>기계경비산출표!$E$280*1000</f>
        <v>215264000</v>
      </c>
      <c r="I1297" s="110" t="s">
        <v>972</v>
      </c>
      <c r="J1297" s="120">
        <v>2562</v>
      </c>
      <c r="K1297" s="118" t="s">
        <v>514</v>
      </c>
      <c r="L1297" s="121" t="s">
        <v>1582</v>
      </c>
      <c r="M1297" s="112">
        <f>TRUNC(H1297*J1297*(10^-7))</f>
        <v>55150</v>
      </c>
      <c r="N1297" s="113" t="s">
        <v>975</v>
      </c>
    </row>
    <row r="1298" spans="1:15" ht="16.149999999999999" customHeight="1">
      <c r="A1298" s="115"/>
      <c r="B1298" s="122"/>
      <c r="C1298" s="118"/>
      <c r="D1298" s="33"/>
      <c r="E1298" s="110"/>
      <c r="F1298" s="118"/>
      <c r="G1298" s="118"/>
      <c r="H1298" s="123"/>
      <c r="I1298" s="118"/>
      <c r="J1298" s="110"/>
      <c r="K1298" s="110"/>
      <c r="L1298" s="110"/>
      <c r="M1298" s="112"/>
      <c r="N1298" s="113"/>
    </row>
    <row r="1299" spans="1:15" ht="16.149999999999999" customHeight="1">
      <c r="A1299" s="124"/>
      <c r="B1299" s="125" t="s">
        <v>1115</v>
      </c>
      <c r="C1299" s="126"/>
      <c r="D1299" s="126"/>
      <c r="E1299" s="126"/>
      <c r="F1299" s="126"/>
      <c r="G1299" s="126"/>
      <c r="H1299" s="127"/>
      <c r="I1299" s="126"/>
      <c r="J1299" s="126"/>
      <c r="K1299" s="126"/>
      <c r="L1299" s="126"/>
      <c r="M1299" s="128"/>
      <c r="N1299" s="129"/>
    </row>
    <row r="1300" spans="1:15" ht="16.149999999999999" customHeight="1">
      <c r="A1300" s="130"/>
      <c r="B1300" s="131" t="s">
        <v>3185</v>
      </c>
      <c r="C1300" s="118"/>
      <c r="D1300" s="33">
        <f>SUMIF('노임(2015)'!$B$4:$B$87,B1300,'노임(2015)'!$C$4:$C$87)+SUMIF('노임(2015)'!$E$4:$E$87,B1300,'노임(2015)'!$F$4:$F$87)</f>
        <v>130411</v>
      </c>
      <c r="E1300" s="110" t="s">
        <v>972</v>
      </c>
      <c r="F1300" s="110" t="s">
        <v>973</v>
      </c>
      <c r="G1300" s="132" t="s">
        <v>974</v>
      </c>
      <c r="H1300" s="111"/>
      <c r="I1300" s="110"/>
      <c r="J1300" s="110"/>
      <c r="K1300" s="133">
        <v>1</v>
      </c>
      <c r="L1300" s="118" t="s">
        <v>1582</v>
      </c>
      <c r="M1300" s="112">
        <f>TRUNC(D1300*(1/8)*(16/12)*(25/20)*K1300)</f>
        <v>27168</v>
      </c>
      <c r="N1300" s="113" t="s">
        <v>975</v>
      </c>
    </row>
    <row r="1301" spans="1:15" ht="16.149999999999999" customHeight="1">
      <c r="A1301" s="130"/>
      <c r="B1301" s="131"/>
      <c r="C1301" s="118"/>
      <c r="D1301" s="33">
        <f>SUMIF('노임(2015)'!$B$4:$B$87,B1301,'노임(2015)'!$C$4:$C$87)+SUMIF('노임(2015)'!$E$4:$E$87,B1301,'노임(2015)'!$F$4:$F$87)</f>
        <v>0</v>
      </c>
      <c r="E1301" s="110"/>
      <c r="F1301" s="110"/>
      <c r="G1301" s="132"/>
      <c r="H1301" s="111"/>
      <c r="I1301" s="110"/>
      <c r="J1301" s="110"/>
      <c r="K1301" s="134"/>
      <c r="L1301" s="118"/>
      <c r="M1301" s="112"/>
      <c r="N1301" s="113"/>
    </row>
    <row r="1302" spans="1:15" ht="18.600000000000001" customHeight="1">
      <c r="A1302" s="130"/>
      <c r="B1302" s="109"/>
      <c r="C1302" s="118"/>
      <c r="D1302" s="33"/>
      <c r="E1302" s="110"/>
      <c r="F1302" s="110"/>
      <c r="G1302" s="132"/>
      <c r="H1302" s="111"/>
      <c r="I1302" s="110"/>
      <c r="J1302" s="110"/>
      <c r="K1302" s="134"/>
      <c r="L1302" s="118"/>
      <c r="M1302" s="112"/>
      <c r="N1302" s="113"/>
      <c r="O1302" s="114" t="s">
        <v>3682</v>
      </c>
    </row>
    <row r="1303" spans="1:15" ht="16.149999999999999" customHeight="1">
      <c r="A1303" s="130"/>
      <c r="B1303" s="109"/>
      <c r="C1303" s="118"/>
      <c r="D1303" s="110"/>
      <c r="E1303" s="110"/>
      <c r="F1303" s="110"/>
      <c r="G1303" s="110"/>
      <c r="H1303" s="111"/>
      <c r="I1303" s="791"/>
      <c r="J1303" s="791"/>
      <c r="K1303" s="118" t="s">
        <v>1164</v>
      </c>
      <c r="L1303" s="118" t="s">
        <v>1582</v>
      </c>
      <c r="M1303" s="112">
        <f>TRUNC(M1300+M1301+M1302)</f>
        <v>27168</v>
      </c>
      <c r="N1303" s="113" t="s">
        <v>975</v>
      </c>
      <c r="O1303" s="114" t="s">
        <v>1115</v>
      </c>
    </row>
    <row r="1304" spans="1:15" ht="18.600000000000001" customHeight="1">
      <c r="A1304" s="130"/>
      <c r="B1304" s="109"/>
      <c r="C1304" s="118"/>
      <c r="D1304" s="110"/>
      <c r="E1304" s="110"/>
      <c r="F1304" s="110"/>
      <c r="G1304" s="110"/>
      <c r="H1304" s="111"/>
      <c r="I1304" s="118"/>
      <c r="J1304" s="118"/>
      <c r="K1304" s="118"/>
      <c r="L1304" s="118"/>
      <c r="M1304" s="112"/>
      <c r="N1304" s="113"/>
      <c r="O1304" s="114" t="s">
        <v>3682</v>
      </c>
    </row>
    <row r="1305" spans="1:15" ht="18.600000000000001" customHeight="1">
      <c r="A1305" s="135"/>
      <c r="B1305" s="136"/>
      <c r="C1305" s="137"/>
      <c r="D1305" s="138"/>
      <c r="E1305" s="138"/>
      <c r="F1305" s="138"/>
      <c r="G1305" s="138"/>
      <c r="H1305" s="139"/>
      <c r="I1305" s="137"/>
      <c r="J1305" s="137"/>
      <c r="K1305" s="137"/>
      <c r="L1305" s="137"/>
      <c r="M1305" s="140"/>
      <c r="N1305" s="141"/>
      <c r="O1305" s="114" t="s">
        <v>3682</v>
      </c>
    </row>
    <row r="1306" spans="1:15" ht="16.149999999999999" customHeight="1">
      <c r="A1306" s="124"/>
      <c r="B1306" s="125" t="s">
        <v>1116</v>
      </c>
      <c r="C1306" s="142"/>
      <c r="D1306" s="126"/>
      <c r="E1306" s="126"/>
      <c r="F1306" s="126"/>
      <c r="G1306" s="126"/>
      <c r="H1306" s="127"/>
      <c r="I1306" s="126"/>
      <c r="J1306" s="126"/>
      <c r="K1306" s="126"/>
      <c r="L1306" s="126"/>
      <c r="M1306" s="128"/>
      <c r="N1306" s="129"/>
    </row>
    <row r="1307" spans="1:15" ht="16.149999999999999" customHeight="1">
      <c r="A1307" s="130"/>
      <c r="B1307" s="109" t="s">
        <v>598</v>
      </c>
      <c r="C1307" s="118" t="s">
        <v>1526</v>
      </c>
      <c r="D1307" s="118">
        <v>17.3</v>
      </c>
      <c r="E1307" s="110" t="s">
        <v>456</v>
      </c>
      <c r="F1307" s="118" t="s">
        <v>972</v>
      </c>
      <c r="G1307" s="110"/>
      <c r="H1307" s="123">
        <f>중기기준!$G$35</f>
        <v>1114.9000000000001</v>
      </c>
      <c r="I1307" s="110" t="s">
        <v>975</v>
      </c>
      <c r="J1307" s="110"/>
      <c r="K1307" s="110"/>
      <c r="L1307" s="118" t="s">
        <v>1582</v>
      </c>
      <c r="M1307" s="112">
        <f>TRUNC(D1307*H1307,2)</f>
        <v>19287.77</v>
      </c>
      <c r="N1307" s="113" t="s">
        <v>975</v>
      </c>
    </row>
    <row r="1308" spans="1:15" ht="16.149999999999999" customHeight="1">
      <c r="A1308" s="130"/>
      <c r="B1308" s="109" t="s">
        <v>1556</v>
      </c>
      <c r="C1308" s="118" t="s">
        <v>1526</v>
      </c>
      <c r="D1308" s="145">
        <v>0.35</v>
      </c>
      <c r="E1308" s="110"/>
      <c r="F1308" s="118" t="s">
        <v>972</v>
      </c>
      <c r="G1308" s="110"/>
      <c r="H1308" s="123">
        <f>M1307</f>
        <v>19287.77</v>
      </c>
      <c r="I1308" s="110" t="s">
        <v>975</v>
      </c>
      <c r="J1308" s="110"/>
      <c r="K1308" s="110"/>
      <c r="L1308" s="118" t="s">
        <v>1582</v>
      </c>
      <c r="M1308" s="112">
        <f>TRUNC(D1308*H1308,2)</f>
        <v>6750.71</v>
      </c>
      <c r="N1308" s="113" t="s">
        <v>975</v>
      </c>
    </row>
    <row r="1309" spans="1:15" ht="16.149999999999999" customHeight="1">
      <c r="A1309" s="130"/>
      <c r="B1309" s="109"/>
      <c r="C1309" s="110"/>
      <c r="D1309" s="110"/>
      <c r="E1309" s="110"/>
      <c r="F1309" s="110"/>
      <c r="G1309" s="110"/>
      <c r="H1309" s="111"/>
      <c r="I1309" s="110"/>
      <c r="J1309" s="110"/>
      <c r="K1309" s="118" t="s">
        <v>1164</v>
      </c>
      <c r="L1309" s="118" t="s">
        <v>1582</v>
      </c>
      <c r="M1309" s="112">
        <f>TRUNC(SUM(M1307:M1308))</f>
        <v>26038</v>
      </c>
      <c r="N1309" s="113" t="s">
        <v>975</v>
      </c>
    </row>
    <row r="1310" spans="1:15" ht="18.600000000000001" customHeight="1">
      <c r="A1310" s="135"/>
      <c r="B1310" s="136"/>
      <c r="C1310" s="138"/>
      <c r="D1310" s="138"/>
      <c r="E1310" s="138"/>
      <c r="F1310" s="138"/>
      <c r="G1310" s="138"/>
      <c r="H1310" s="139"/>
      <c r="I1310" s="138"/>
      <c r="J1310" s="138"/>
      <c r="K1310" s="137"/>
      <c r="L1310" s="137"/>
      <c r="M1310" s="140"/>
      <c r="N1310" s="141"/>
      <c r="O1310" s="114" t="s">
        <v>3682</v>
      </c>
    </row>
    <row r="1311" spans="1:15" s="152" customFormat="1" ht="16.149999999999999" customHeight="1">
      <c r="A1311" s="146"/>
      <c r="B1311" s="147"/>
      <c r="C1311" s="148"/>
      <c r="D1311" s="148"/>
      <c r="E1311" s="148"/>
      <c r="F1311" s="148"/>
      <c r="G1311" s="148"/>
      <c r="H1311" s="149"/>
      <c r="I1311" s="148"/>
      <c r="J1311" s="148"/>
      <c r="K1311" s="148" t="s">
        <v>1118</v>
      </c>
      <c r="L1311" s="148" t="s">
        <v>1582</v>
      </c>
      <c r="M1311" s="150">
        <f>M1297+M1303+M1309</f>
        <v>108356</v>
      </c>
      <c r="N1311" s="151"/>
    </row>
    <row r="1312" spans="1:15" ht="16.149999999999999" customHeight="1">
      <c r="A1312" s="114"/>
    </row>
    <row r="1313" spans="1:15" s="107" customFormat="1" ht="16.149999999999999" customHeight="1">
      <c r="A1313" s="451">
        <f>A1294+1</f>
        <v>70</v>
      </c>
      <c r="B1313" s="99" t="s">
        <v>1100</v>
      </c>
      <c r="C1313" s="100" t="s">
        <v>1526</v>
      </c>
      <c r="D1313" s="101" t="s">
        <v>207</v>
      </c>
      <c r="E1313" s="102"/>
      <c r="F1313" s="102"/>
      <c r="G1313" s="102"/>
      <c r="H1313" s="171" t="s">
        <v>208</v>
      </c>
      <c r="I1313" s="100"/>
      <c r="J1313" s="167"/>
      <c r="K1313" s="104" t="s">
        <v>847</v>
      </c>
      <c r="L1313" s="100" t="s">
        <v>1526</v>
      </c>
      <c r="M1313" s="105" t="s">
        <v>209</v>
      </c>
      <c r="N1313" s="106"/>
    </row>
    <row r="1314" spans="1:15" ht="16.149999999999999" customHeight="1">
      <c r="A1314" s="108"/>
      <c r="B1314" s="109" t="s">
        <v>588</v>
      </c>
      <c r="C1314" s="110" t="s">
        <v>1582</v>
      </c>
      <c r="D1314" s="110" t="s">
        <v>589</v>
      </c>
      <c r="E1314" s="110" t="s">
        <v>86</v>
      </c>
      <c r="F1314" s="110" t="s">
        <v>590</v>
      </c>
      <c r="G1314" s="110" t="s">
        <v>86</v>
      </c>
      <c r="H1314" s="111" t="s">
        <v>513</v>
      </c>
      <c r="I1314" s="110"/>
      <c r="J1314" s="110"/>
      <c r="K1314" s="110"/>
      <c r="L1314" s="110"/>
      <c r="M1314" s="112"/>
      <c r="N1314" s="113"/>
    </row>
    <row r="1315" spans="1:15" ht="16.149999999999999" customHeight="1">
      <c r="A1315" s="108"/>
      <c r="B1315" s="109"/>
      <c r="C1315" s="110"/>
      <c r="D1315" s="110"/>
      <c r="E1315" s="110"/>
      <c r="F1315" s="110"/>
      <c r="G1315" s="110"/>
      <c r="H1315" s="111"/>
      <c r="I1315" s="110"/>
      <c r="J1315" s="110"/>
      <c r="K1315" s="110"/>
      <c r="L1315" s="110"/>
      <c r="M1315" s="112"/>
      <c r="N1315" s="113"/>
    </row>
    <row r="1316" spans="1:15" ht="16.149999999999999" customHeight="1">
      <c r="A1316" s="115"/>
      <c r="F1316" s="117"/>
      <c r="G1316" s="118"/>
      <c r="H1316" s="119">
        <f>기계경비산출표!$E$284*1000</f>
        <v>164000</v>
      </c>
      <c r="I1316" s="110" t="s">
        <v>972</v>
      </c>
      <c r="J1316" s="120">
        <v>4867</v>
      </c>
      <c r="K1316" s="118" t="s">
        <v>514</v>
      </c>
      <c r="L1316" s="121" t="s">
        <v>1582</v>
      </c>
      <c r="M1316" s="112">
        <f>TRUNC(H1316*J1316*(10^-7))</f>
        <v>79</v>
      </c>
      <c r="N1316" s="113" t="s">
        <v>975</v>
      </c>
    </row>
    <row r="1317" spans="1:15" ht="16.149999999999999" customHeight="1">
      <c r="A1317" s="115"/>
      <c r="B1317" s="122"/>
      <c r="C1317" s="118"/>
      <c r="D1317" s="33"/>
      <c r="E1317" s="110"/>
      <c r="F1317" s="118"/>
      <c r="G1317" s="118"/>
      <c r="H1317" s="123"/>
      <c r="I1317" s="118"/>
      <c r="J1317" s="110"/>
      <c r="K1317" s="110"/>
      <c r="L1317" s="110"/>
      <c r="M1317" s="112"/>
      <c r="N1317" s="113"/>
    </row>
    <row r="1318" spans="1:15" ht="16.149999999999999" customHeight="1">
      <c r="A1318" s="124"/>
      <c r="B1318" s="125" t="s">
        <v>1115</v>
      </c>
      <c r="C1318" s="126"/>
      <c r="D1318" s="126"/>
      <c r="E1318" s="126"/>
      <c r="F1318" s="126"/>
      <c r="G1318" s="126"/>
      <c r="H1318" s="127"/>
      <c r="I1318" s="126"/>
      <c r="J1318" s="126"/>
      <c r="K1318" s="126"/>
      <c r="L1318" s="126"/>
      <c r="M1318" s="128"/>
      <c r="N1318" s="129"/>
    </row>
    <row r="1319" spans="1:15" ht="16.149999999999999" customHeight="1">
      <c r="A1319" s="130"/>
      <c r="B1319" s="131"/>
      <c r="C1319" s="118"/>
      <c r="D1319" s="33">
        <f>SUMIF('노임(2015)'!$B$4:$B$87,B1319,'노임(2015)'!$C$4:$C$87)+SUMIF('노임(2015)'!$E$4:$E$87,B1319,'노임(2015)'!$F$4:$F$87)</f>
        <v>0</v>
      </c>
      <c r="E1319" s="110"/>
      <c r="F1319" s="110"/>
      <c r="G1319" s="132"/>
      <c r="H1319" s="111"/>
      <c r="I1319" s="110"/>
      <c r="J1319" s="110"/>
      <c r="K1319" s="133"/>
      <c r="L1319" s="118"/>
      <c r="M1319" s="112"/>
      <c r="N1319" s="113"/>
    </row>
    <row r="1320" spans="1:15" ht="16.149999999999999" customHeight="1">
      <c r="A1320" s="130"/>
      <c r="B1320" s="131"/>
      <c r="C1320" s="118"/>
      <c r="D1320" s="33">
        <f>SUMIF('노임(2015)'!$B$4:$B$87,B1320,'노임(2015)'!$C$4:$C$87)+SUMIF('노임(2015)'!$E$4:$E$87,B1320,'노임(2015)'!$F$4:$F$87)</f>
        <v>0</v>
      </c>
      <c r="E1320" s="110"/>
      <c r="F1320" s="110"/>
      <c r="G1320" s="132"/>
      <c r="H1320" s="111"/>
      <c r="I1320" s="110"/>
      <c r="J1320" s="110"/>
      <c r="K1320" s="134"/>
      <c r="L1320" s="118"/>
      <c r="M1320" s="112"/>
      <c r="N1320" s="113"/>
    </row>
    <row r="1321" spans="1:15" ht="18.600000000000001" customHeight="1">
      <c r="A1321" s="130"/>
      <c r="B1321" s="109"/>
      <c r="C1321" s="118"/>
      <c r="D1321" s="33"/>
      <c r="E1321" s="110"/>
      <c r="F1321" s="110"/>
      <c r="G1321" s="132"/>
      <c r="H1321" s="111"/>
      <c r="I1321" s="110"/>
      <c r="J1321" s="110"/>
      <c r="K1321" s="134"/>
      <c r="L1321" s="118"/>
      <c r="M1321" s="112"/>
      <c r="N1321" s="113"/>
      <c r="O1321" s="114" t="s">
        <v>3682</v>
      </c>
    </row>
    <row r="1322" spans="1:15" ht="16.149999999999999" customHeight="1">
      <c r="A1322" s="130"/>
      <c r="B1322" s="109"/>
      <c r="C1322" s="118"/>
      <c r="D1322" s="110"/>
      <c r="E1322" s="110"/>
      <c r="F1322" s="110"/>
      <c r="G1322" s="110"/>
      <c r="H1322" s="111"/>
      <c r="I1322" s="791"/>
      <c r="J1322" s="791"/>
      <c r="K1322" s="118" t="s">
        <v>1164</v>
      </c>
      <c r="L1322" s="118" t="s">
        <v>1582</v>
      </c>
      <c r="M1322" s="112">
        <f>TRUNC(M1319+M1320+M1321)</f>
        <v>0</v>
      </c>
      <c r="N1322" s="113" t="s">
        <v>975</v>
      </c>
      <c r="O1322" s="114" t="s">
        <v>1115</v>
      </c>
    </row>
    <row r="1323" spans="1:15" ht="18.600000000000001" customHeight="1">
      <c r="A1323" s="130"/>
      <c r="B1323" s="109"/>
      <c r="C1323" s="118"/>
      <c r="D1323" s="110"/>
      <c r="E1323" s="110"/>
      <c r="F1323" s="110"/>
      <c r="G1323" s="110"/>
      <c r="H1323" s="111"/>
      <c r="I1323" s="118"/>
      <c r="J1323" s="118"/>
      <c r="K1323" s="118"/>
      <c r="L1323" s="118"/>
      <c r="M1323" s="112"/>
      <c r="N1323" s="113"/>
      <c r="O1323" s="114" t="s">
        <v>3682</v>
      </c>
    </row>
    <row r="1324" spans="1:15" ht="18.600000000000001" customHeight="1">
      <c r="A1324" s="135"/>
      <c r="B1324" s="136"/>
      <c r="C1324" s="137"/>
      <c r="D1324" s="138"/>
      <c r="E1324" s="138"/>
      <c r="F1324" s="138"/>
      <c r="G1324" s="138"/>
      <c r="H1324" s="139"/>
      <c r="I1324" s="137"/>
      <c r="J1324" s="137"/>
      <c r="K1324" s="137"/>
      <c r="L1324" s="137"/>
      <c r="M1324" s="140"/>
      <c r="N1324" s="141"/>
      <c r="O1324" s="114" t="s">
        <v>3682</v>
      </c>
    </row>
    <row r="1325" spans="1:15" ht="16.149999999999999" customHeight="1">
      <c r="A1325" s="124"/>
      <c r="B1325" s="125" t="s">
        <v>1116</v>
      </c>
      <c r="C1325" s="142"/>
      <c r="D1325" s="126"/>
      <c r="E1325" s="126"/>
      <c r="F1325" s="126"/>
      <c r="G1325" s="126"/>
      <c r="H1325" s="127"/>
      <c r="I1325" s="126"/>
      <c r="J1325" s="126"/>
      <c r="K1325" s="126"/>
      <c r="L1325" s="126"/>
      <c r="M1325" s="128"/>
      <c r="N1325" s="129"/>
    </row>
    <row r="1326" spans="1:15" ht="16.149999999999999" customHeight="1">
      <c r="A1326" s="130"/>
      <c r="B1326" s="131"/>
      <c r="C1326" s="118"/>
      <c r="D1326" s="118"/>
      <c r="E1326" s="110"/>
      <c r="F1326" s="118"/>
      <c r="G1326" s="110"/>
      <c r="H1326" s="123"/>
      <c r="I1326" s="110"/>
      <c r="J1326" s="110"/>
      <c r="K1326" s="110"/>
      <c r="L1326" s="118"/>
      <c r="M1326" s="112"/>
      <c r="N1326" s="113"/>
    </row>
    <row r="1327" spans="1:15" ht="16.149999999999999" customHeight="1">
      <c r="A1327" s="130"/>
      <c r="B1327" s="109"/>
      <c r="C1327" s="118"/>
      <c r="D1327" s="145"/>
      <c r="E1327" s="110"/>
      <c r="F1327" s="118"/>
      <c r="G1327" s="110"/>
      <c r="H1327" s="123"/>
      <c r="I1327" s="110"/>
      <c r="J1327" s="110"/>
      <c r="K1327" s="110"/>
      <c r="L1327" s="118"/>
      <c r="M1327" s="112"/>
      <c r="N1327" s="113"/>
    </row>
    <row r="1328" spans="1:15" ht="16.149999999999999" customHeight="1">
      <c r="A1328" s="130"/>
      <c r="B1328" s="109"/>
      <c r="C1328" s="110"/>
      <c r="D1328" s="110"/>
      <c r="E1328" s="110"/>
      <c r="F1328" s="110"/>
      <c r="G1328" s="110"/>
      <c r="H1328" s="111"/>
      <c r="I1328" s="110"/>
      <c r="J1328" s="110"/>
      <c r="K1328" s="118" t="s">
        <v>1164</v>
      </c>
      <c r="L1328" s="118" t="s">
        <v>1582</v>
      </c>
      <c r="M1328" s="112">
        <f>TRUNC(SUM(M1326:M1327))</f>
        <v>0</v>
      </c>
      <c r="N1328" s="113" t="s">
        <v>975</v>
      </c>
    </row>
    <row r="1329" spans="1:15" ht="18.600000000000001" customHeight="1">
      <c r="A1329" s="135"/>
      <c r="B1329" s="136"/>
      <c r="C1329" s="138"/>
      <c r="D1329" s="138"/>
      <c r="E1329" s="138"/>
      <c r="F1329" s="138"/>
      <c r="G1329" s="138"/>
      <c r="H1329" s="139"/>
      <c r="I1329" s="138"/>
      <c r="J1329" s="138"/>
      <c r="K1329" s="137"/>
      <c r="L1329" s="137"/>
      <c r="M1329" s="140"/>
      <c r="N1329" s="141"/>
      <c r="O1329" s="114" t="s">
        <v>3682</v>
      </c>
    </row>
    <row r="1330" spans="1:15" s="152" customFormat="1" ht="16.149999999999999" customHeight="1">
      <c r="A1330" s="146"/>
      <c r="B1330" s="147"/>
      <c r="C1330" s="148"/>
      <c r="D1330" s="148"/>
      <c r="E1330" s="148"/>
      <c r="F1330" s="148"/>
      <c r="G1330" s="148"/>
      <c r="H1330" s="149"/>
      <c r="I1330" s="148"/>
      <c r="J1330" s="148"/>
      <c r="K1330" s="148" t="s">
        <v>1118</v>
      </c>
      <c r="L1330" s="148" t="s">
        <v>1582</v>
      </c>
      <c r="M1330" s="150">
        <f>M1316+M1322+M1328</f>
        <v>79</v>
      </c>
      <c r="N1330" s="151"/>
    </row>
    <row r="1331" spans="1:15" ht="16.149999999999999" customHeight="1">
      <c r="A1331" s="153"/>
      <c r="B1331" s="125"/>
      <c r="C1331" s="153"/>
      <c r="D1331" s="153"/>
      <c r="E1331" s="153"/>
      <c r="F1331" s="153"/>
      <c r="G1331" s="153"/>
      <c r="H1331" s="154"/>
      <c r="I1331" s="153"/>
      <c r="J1331" s="153"/>
      <c r="K1331" s="153"/>
      <c r="L1331" s="153"/>
      <c r="M1331" s="128"/>
      <c r="N1331" s="142"/>
    </row>
    <row r="1332" spans="1:15" s="107" customFormat="1" ht="16.149999999999999" customHeight="1">
      <c r="A1332" s="451">
        <f>A1313+1</f>
        <v>71</v>
      </c>
      <c r="B1332" s="99" t="s">
        <v>1100</v>
      </c>
      <c r="C1332" s="100" t="s">
        <v>1526</v>
      </c>
      <c r="D1332" s="101" t="s">
        <v>210</v>
      </c>
      <c r="E1332" s="102"/>
      <c r="F1332" s="102"/>
      <c r="G1332" s="102"/>
      <c r="H1332" s="171" t="s">
        <v>211</v>
      </c>
      <c r="I1332" s="100"/>
      <c r="J1332" s="167"/>
      <c r="K1332" s="104" t="s">
        <v>847</v>
      </c>
      <c r="L1332" s="100" t="s">
        <v>1526</v>
      </c>
      <c r="M1332" s="105" t="s">
        <v>212</v>
      </c>
      <c r="N1332" s="106"/>
    </row>
    <row r="1333" spans="1:15" ht="16.149999999999999" customHeight="1">
      <c r="A1333" s="108"/>
      <c r="B1333" s="109" t="s">
        <v>588</v>
      </c>
      <c r="C1333" s="110" t="s">
        <v>1582</v>
      </c>
      <c r="D1333" s="110" t="s">
        <v>589</v>
      </c>
      <c r="E1333" s="110" t="s">
        <v>86</v>
      </c>
      <c r="F1333" s="110" t="s">
        <v>590</v>
      </c>
      <c r="G1333" s="110" t="s">
        <v>86</v>
      </c>
      <c r="H1333" s="111" t="s">
        <v>513</v>
      </c>
      <c r="I1333" s="110"/>
      <c r="J1333" s="110"/>
      <c r="K1333" s="110"/>
      <c r="L1333" s="110"/>
      <c r="M1333" s="112"/>
      <c r="N1333" s="113"/>
    </row>
    <row r="1334" spans="1:15" ht="16.149999999999999" customHeight="1">
      <c r="A1334" s="108"/>
      <c r="B1334" s="109"/>
      <c r="C1334" s="110"/>
      <c r="D1334" s="110"/>
      <c r="E1334" s="110"/>
      <c r="F1334" s="110"/>
      <c r="G1334" s="110"/>
      <c r="H1334" s="111"/>
      <c r="I1334" s="110"/>
      <c r="J1334" s="110"/>
      <c r="K1334" s="110"/>
      <c r="L1334" s="110"/>
      <c r="M1334" s="112"/>
      <c r="N1334" s="113"/>
    </row>
    <row r="1335" spans="1:15" ht="16.149999999999999" customHeight="1">
      <c r="A1335" s="115"/>
      <c r="F1335" s="117"/>
      <c r="G1335" s="118"/>
      <c r="H1335" s="119">
        <f>기계경비산출표!$E$285*1000</f>
        <v>315000</v>
      </c>
      <c r="I1335" s="110" t="s">
        <v>972</v>
      </c>
      <c r="J1335" s="120">
        <v>5033</v>
      </c>
      <c r="K1335" s="118" t="s">
        <v>514</v>
      </c>
      <c r="L1335" s="121" t="s">
        <v>1582</v>
      </c>
      <c r="M1335" s="112">
        <f>TRUNC(H1335*J1335*(10^-7))</f>
        <v>158</v>
      </c>
      <c r="N1335" s="113" t="s">
        <v>975</v>
      </c>
    </row>
    <row r="1336" spans="1:15" ht="16.149999999999999" customHeight="1">
      <c r="A1336" s="115"/>
      <c r="B1336" s="122"/>
      <c r="C1336" s="118"/>
      <c r="D1336" s="33"/>
      <c r="E1336" s="110"/>
      <c r="F1336" s="118"/>
      <c r="G1336" s="118"/>
      <c r="H1336" s="123"/>
      <c r="I1336" s="118"/>
      <c r="J1336" s="110"/>
      <c r="K1336" s="110"/>
      <c r="L1336" s="110"/>
      <c r="M1336" s="112"/>
      <c r="N1336" s="113"/>
    </row>
    <row r="1337" spans="1:15" ht="16.149999999999999" customHeight="1">
      <c r="A1337" s="124"/>
      <c r="B1337" s="125" t="s">
        <v>1115</v>
      </c>
      <c r="C1337" s="126"/>
      <c r="D1337" s="126"/>
      <c r="E1337" s="126"/>
      <c r="F1337" s="126"/>
      <c r="G1337" s="126"/>
      <c r="H1337" s="127"/>
      <c r="I1337" s="126"/>
      <c r="J1337" s="126"/>
      <c r="K1337" s="126"/>
      <c r="L1337" s="126"/>
      <c r="M1337" s="128"/>
      <c r="N1337" s="129"/>
    </row>
    <row r="1338" spans="1:15" ht="16.149999999999999" customHeight="1">
      <c r="A1338" s="130"/>
      <c r="B1338" s="131"/>
      <c r="C1338" s="118"/>
      <c r="D1338" s="33">
        <f>SUMIF('노임(2015)'!$B$4:$B$87,B1338,'노임(2015)'!$C$4:$C$87)+SUMIF('노임(2015)'!$E$4:$E$87,B1338,'노임(2015)'!$F$4:$F$87)</f>
        <v>0</v>
      </c>
      <c r="E1338" s="110"/>
      <c r="F1338" s="110"/>
      <c r="G1338" s="132"/>
      <c r="H1338" s="111"/>
      <c r="I1338" s="110"/>
      <c r="J1338" s="110"/>
      <c r="K1338" s="133"/>
      <c r="L1338" s="118"/>
      <c r="M1338" s="112"/>
      <c r="N1338" s="113"/>
    </row>
    <row r="1339" spans="1:15" ht="16.149999999999999" customHeight="1">
      <c r="A1339" s="130"/>
      <c r="B1339" s="131"/>
      <c r="C1339" s="118"/>
      <c r="D1339" s="33">
        <f>SUMIF('노임(2015)'!$B$4:$B$87,B1339,'노임(2015)'!$C$4:$C$87)+SUMIF('노임(2015)'!$E$4:$E$87,B1339,'노임(2015)'!$F$4:$F$87)</f>
        <v>0</v>
      </c>
      <c r="E1339" s="110"/>
      <c r="F1339" s="110"/>
      <c r="G1339" s="132"/>
      <c r="H1339" s="111"/>
      <c r="I1339" s="110"/>
      <c r="J1339" s="110"/>
      <c r="K1339" s="134"/>
      <c r="L1339" s="118"/>
      <c r="M1339" s="112"/>
      <c r="N1339" s="113"/>
    </row>
    <row r="1340" spans="1:15" ht="18.600000000000001" customHeight="1">
      <c r="A1340" s="130"/>
      <c r="B1340" s="109"/>
      <c r="C1340" s="118"/>
      <c r="D1340" s="33"/>
      <c r="E1340" s="110"/>
      <c r="F1340" s="110"/>
      <c r="G1340" s="132"/>
      <c r="H1340" s="111"/>
      <c r="I1340" s="110"/>
      <c r="J1340" s="110"/>
      <c r="K1340" s="134"/>
      <c r="L1340" s="118"/>
      <c r="M1340" s="112"/>
      <c r="N1340" s="113"/>
      <c r="O1340" s="114" t="s">
        <v>3682</v>
      </c>
    </row>
    <row r="1341" spans="1:15" ht="16.149999999999999" customHeight="1">
      <c r="A1341" s="130"/>
      <c r="B1341" s="109"/>
      <c r="C1341" s="118"/>
      <c r="D1341" s="110"/>
      <c r="E1341" s="110"/>
      <c r="F1341" s="110"/>
      <c r="G1341" s="110"/>
      <c r="H1341" s="111"/>
      <c r="I1341" s="791"/>
      <c r="J1341" s="791"/>
      <c r="K1341" s="118" t="s">
        <v>1164</v>
      </c>
      <c r="L1341" s="118" t="s">
        <v>1582</v>
      </c>
      <c r="M1341" s="112">
        <f>TRUNC(M1338+M1339+M1340)</f>
        <v>0</v>
      </c>
      <c r="N1341" s="113" t="s">
        <v>975</v>
      </c>
      <c r="O1341" s="114" t="s">
        <v>1115</v>
      </c>
    </row>
    <row r="1342" spans="1:15" ht="18.600000000000001" customHeight="1">
      <c r="A1342" s="130"/>
      <c r="B1342" s="109"/>
      <c r="C1342" s="118"/>
      <c r="D1342" s="110"/>
      <c r="E1342" s="110"/>
      <c r="F1342" s="110"/>
      <c r="G1342" s="110"/>
      <c r="H1342" s="111"/>
      <c r="I1342" s="118"/>
      <c r="J1342" s="118"/>
      <c r="K1342" s="118"/>
      <c r="L1342" s="118"/>
      <c r="M1342" s="112"/>
      <c r="N1342" s="113"/>
      <c r="O1342" s="114" t="s">
        <v>3682</v>
      </c>
    </row>
    <row r="1343" spans="1:15" ht="18.600000000000001" customHeight="1">
      <c r="A1343" s="135"/>
      <c r="B1343" s="136"/>
      <c r="C1343" s="137"/>
      <c r="D1343" s="138"/>
      <c r="E1343" s="138"/>
      <c r="F1343" s="138"/>
      <c r="G1343" s="138"/>
      <c r="H1343" s="139"/>
      <c r="I1343" s="137"/>
      <c r="J1343" s="137"/>
      <c r="K1343" s="137"/>
      <c r="L1343" s="137"/>
      <c r="M1343" s="140"/>
      <c r="N1343" s="141"/>
      <c r="O1343" s="114" t="s">
        <v>3682</v>
      </c>
    </row>
    <row r="1344" spans="1:15" ht="16.149999999999999" customHeight="1">
      <c r="A1344" s="124"/>
      <c r="B1344" s="125" t="s">
        <v>1116</v>
      </c>
      <c r="C1344" s="142"/>
      <c r="D1344" s="126"/>
      <c r="E1344" s="126"/>
      <c r="F1344" s="126"/>
      <c r="G1344" s="126"/>
      <c r="H1344" s="127"/>
      <c r="I1344" s="126"/>
      <c r="J1344" s="126"/>
      <c r="K1344" s="126"/>
      <c r="L1344" s="126"/>
      <c r="M1344" s="128"/>
      <c r="N1344" s="129"/>
    </row>
    <row r="1345" spans="1:15" ht="16.149999999999999" customHeight="1">
      <c r="A1345" s="130"/>
      <c r="B1345" s="131" t="s">
        <v>1123</v>
      </c>
      <c r="C1345" s="118" t="s">
        <v>1526</v>
      </c>
      <c r="D1345" s="118">
        <v>1</v>
      </c>
      <c r="E1345" s="110" t="s">
        <v>456</v>
      </c>
      <c r="F1345" s="118" t="s">
        <v>972</v>
      </c>
      <c r="G1345" s="110"/>
      <c r="H1345" s="123">
        <f>중기기준!$G$33</f>
        <v>1324.27</v>
      </c>
      <c r="I1345" s="110" t="s">
        <v>975</v>
      </c>
      <c r="J1345" s="110"/>
      <c r="K1345" s="110"/>
      <c r="L1345" s="118" t="s">
        <v>1582</v>
      </c>
      <c r="M1345" s="112">
        <f>TRUNC(D1345*H1345,2)</f>
        <v>1324.27</v>
      </c>
      <c r="N1345" s="113" t="s">
        <v>975</v>
      </c>
    </row>
    <row r="1346" spans="1:15" ht="16.149999999999999" customHeight="1">
      <c r="A1346" s="130"/>
      <c r="B1346" s="109" t="s">
        <v>1556</v>
      </c>
      <c r="C1346" s="118" t="s">
        <v>1526</v>
      </c>
      <c r="D1346" s="145">
        <v>0.1</v>
      </c>
      <c r="E1346" s="110"/>
      <c r="F1346" s="118" t="s">
        <v>972</v>
      </c>
      <c r="G1346" s="110"/>
      <c r="H1346" s="123">
        <f>M1345</f>
        <v>1324.27</v>
      </c>
      <c r="I1346" s="110" t="s">
        <v>975</v>
      </c>
      <c r="J1346" s="110"/>
      <c r="K1346" s="110"/>
      <c r="L1346" s="118" t="s">
        <v>1582</v>
      </c>
      <c r="M1346" s="112">
        <f>TRUNC(D1346*H1346,2)</f>
        <v>132.41999999999999</v>
      </c>
      <c r="N1346" s="113" t="s">
        <v>975</v>
      </c>
    </row>
    <row r="1347" spans="1:15" ht="16.149999999999999" customHeight="1">
      <c r="A1347" s="130"/>
      <c r="B1347" s="109"/>
      <c r="C1347" s="110"/>
      <c r="D1347" s="110"/>
      <c r="E1347" s="110"/>
      <c r="F1347" s="110"/>
      <c r="G1347" s="110"/>
      <c r="H1347" s="111"/>
      <c r="I1347" s="110"/>
      <c r="J1347" s="110"/>
      <c r="K1347" s="118" t="s">
        <v>1164</v>
      </c>
      <c r="L1347" s="118" t="s">
        <v>1582</v>
      </c>
      <c r="M1347" s="112">
        <f>TRUNC(SUM(M1345:M1346))</f>
        <v>1456</v>
      </c>
      <c r="N1347" s="113" t="s">
        <v>975</v>
      </c>
    </row>
    <row r="1348" spans="1:15" ht="18.600000000000001" customHeight="1">
      <c r="A1348" s="135"/>
      <c r="B1348" s="136"/>
      <c r="C1348" s="138"/>
      <c r="D1348" s="138"/>
      <c r="E1348" s="138"/>
      <c r="F1348" s="138"/>
      <c r="G1348" s="138"/>
      <c r="H1348" s="139"/>
      <c r="I1348" s="138"/>
      <c r="J1348" s="138"/>
      <c r="K1348" s="137"/>
      <c r="L1348" s="137"/>
      <c r="M1348" s="140"/>
      <c r="N1348" s="141"/>
      <c r="O1348" s="114" t="s">
        <v>3682</v>
      </c>
    </row>
    <row r="1349" spans="1:15" s="152" customFormat="1" ht="16.149999999999999" customHeight="1">
      <c r="A1349" s="146"/>
      <c r="B1349" s="147"/>
      <c r="C1349" s="148"/>
      <c r="D1349" s="148"/>
      <c r="E1349" s="148"/>
      <c r="F1349" s="148"/>
      <c r="G1349" s="148"/>
      <c r="H1349" s="149"/>
      <c r="I1349" s="148"/>
      <c r="J1349" s="148"/>
      <c r="K1349" s="148" t="s">
        <v>1118</v>
      </c>
      <c r="L1349" s="148" t="s">
        <v>1582</v>
      </c>
      <c r="M1349" s="150">
        <f>M1335+M1341+M1347</f>
        <v>1614</v>
      </c>
      <c r="N1349" s="151"/>
    </row>
    <row r="1350" spans="1:15" ht="16.149999999999999" customHeight="1">
      <c r="A1350" s="114"/>
    </row>
    <row r="1351" spans="1:15" s="107" customFormat="1" ht="16.149999999999999" customHeight="1">
      <c r="A1351" s="451">
        <f>A1332+1</f>
        <v>72</v>
      </c>
      <c r="B1351" s="99" t="s">
        <v>1100</v>
      </c>
      <c r="C1351" s="100" t="s">
        <v>1526</v>
      </c>
      <c r="D1351" s="101" t="s">
        <v>1745</v>
      </c>
      <c r="E1351" s="102"/>
      <c r="F1351" s="102"/>
      <c r="G1351" s="100"/>
      <c r="H1351" s="171" t="s">
        <v>213</v>
      </c>
      <c r="I1351" s="100"/>
      <c r="J1351" s="101"/>
      <c r="K1351" s="104" t="s">
        <v>847</v>
      </c>
      <c r="L1351" s="100" t="s">
        <v>1526</v>
      </c>
      <c r="M1351" s="105" t="s">
        <v>214</v>
      </c>
      <c r="N1351" s="106"/>
    </row>
    <row r="1352" spans="1:15" ht="16.149999999999999" customHeight="1">
      <c r="A1352" s="108"/>
      <c r="B1352" s="109" t="s">
        <v>588</v>
      </c>
      <c r="C1352" s="110" t="s">
        <v>1582</v>
      </c>
      <c r="D1352" s="110" t="s">
        <v>589</v>
      </c>
      <c r="E1352" s="110" t="s">
        <v>86</v>
      </c>
      <c r="F1352" s="110" t="s">
        <v>590</v>
      </c>
      <c r="G1352" s="110" t="s">
        <v>86</v>
      </c>
      <c r="H1352" s="111" t="s">
        <v>513</v>
      </c>
      <c r="I1352" s="110"/>
      <c r="J1352" s="110"/>
      <c r="K1352" s="110"/>
      <c r="L1352" s="110"/>
      <c r="M1352" s="112"/>
      <c r="N1352" s="113"/>
    </row>
    <row r="1353" spans="1:15" ht="16.149999999999999" customHeight="1">
      <c r="A1353" s="108"/>
      <c r="B1353" s="109"/>
      <c r="C1353" s="110"/>
      <c r="D1353" s="110"/>
      <c r="E1353" s="110"/>
      <c r="F1353" s="110"/>
      <c r="G1353" s="110"/>
      <c r="H1353" s="111"/>
      <c r="I1353" s="110"/>
      <c r="J1353" s="792"/>
      <c r="K1353" s="792"/>
      <c r="L1353" s="110"/>
      <c r="M1353" s="112"/>
      <c r="N1353" s="113"/>
    </row>
    <row r="1354" spans="1:15" ht="16.149999999999999" customHeight="1">
      <c r="A1354" s="115"/>
      <c r="F1354" s="117"/>
      <c r="G1354" s="118"/>
      <c r="H1354" s="119">
        <f>기계경비산출표!$E$361*1000</f>
        <v>12426000</v>
      </c>
      <c r="I1354" s="110" t="s">
        <v>972</v>
      </c>
      <c r="J1354" s="120">
        <v>1663</v>
      </c>
      <c r="K1354" s="118" t="s">
        <v>514</v>
      </c>
      <c r="L1354" s="121" t="s">
        <v>1582</v>
      </c>
      <c r="M1354" s="112">
        <f>TRUNC(H1354*J1354*(10^-7))</f>
        <v>2066</v>
      </c>
      <c r="N1354" s="113" t="s">
        <v>975</v>
      </c>
    </row>
    <row r="1355" spans="1:15" ht="16.149999999999999" customHeight="1">
      <c r="A1355" s="115"/>
      <c r="B1355" s="122"/>
      <c r="C1355" s="118"/>
      <c r="D1355" s="33"/>
      <c r="E1355" s="110"/>
      <c r="F1355" s="118"/>
      <c r="G1355" s="118"/>
      <c r="H1355" s="123"/>
      <c r="I1355" s="118"/>
      <c r="J1355" s="110"/>
      <c r="K1355" s="110"/>
      <c r="L1355" s="110"/>
      <c r="M1355" s="112"/>
      <c r="N1355" s="113"/>
    </row>
    <row r="1356" spans="1:15" ht="16.149999999999999" customHeight="1">
      <c r="A1356" s="124"/>
      <c r="B1356" s="125" t="s">
        <v>1115</v>
      </c>
      <c r="C1356" s="126"/>
      <c r="D1356" s="126"/>
      <c r="E1356" s="126"/>
      <c r="F1356" s="126"/>
      <c r="G1356" s="126"/>
      <c r="H1356" s="127"/>
      <c r="I1356" s="126"/>
      <c r="J1356" s="126"/>
      <c r="K1356" s="126"/>
      <c r="L1356" s="126"/>
      <c r="M1356" s="128"/>
      <c r="N1356" s="129"/>
    </row>
    <row r="1357" spans="1:15" ht="16.149999999999999" customHeight="1">
      <c r="A1357" s="130"/>
      <c r="B1357" s="131" t="s">
        <v>3185</v>
      </c>
      <c r="C1357" s="118"/>
      <c r="D1357" s="33">
        <f>SUMIF('노임(2015)'!$B$4:$B$87,B1357,'노임(2015)'!$C$4:$C$87)+SUMIF('노임(2015)'!$E$4:$E$87,B1357,'노임(2015)'!$F$4:$F$87)</f>
        <v>130411</v>
      </c>
      <c r="E1357" s="110" t="s">
        <v>972</v>
      </c>
      <c r="F1357" s="110" t="s">
        <v>973</v>
      </c>
      <c r="G1357" s="132" t="s">
        <v>974</v>
      </c>
      <c r="H1357" s="111"/>
      <c r="I1357" s="110"/>
      <c r="J1357" s="110"/>
      <c r="K1357" s="133">
        <v>1</v>
      </c>
      <c r="L1357" s="118" t="s">
        <v>1582</v>
      </c>
      <c r="M1357" s="112">
        <f>TRUNC(D1357*(1/8)*(16/12)*(25/20)*K1357)</f>
        <v>27168</v>
      </c>
      <c r="N1357" s="113" t="s">
        <v>975</v>
      </c>
    </row>
    <row r="1358" spans="1:15" ht="16.149999999999999" customHeight="1">
      <c r="A1358" s="130"/>
      <c r="B1358" s="131"/>
      <c r="C1358" s="118"/>
      <c r="D1358" s="33">
        <f>SUMIF('노임(2015)'!$B$4:$B$87,B1358,'노임(2015)'!$C$4:$C$87)+SUMIF('노임(2015)'!$E$4:$E$87,B1358,'노임(2015)'!$F$4:$F$87)</f>
        <v>0</v>
      </c>
      <c r="E1358" s="110"/>
      <c r="F1358" s="110"/>
      <c r="G1358" s="132"/>
      <c r="H1358" s="111"/>
      <c r="I1358" s="110"/>
      <c r="J1358" s="110"/>
      <c r="K1358" s="134"/>
      <c r="L1358" s="118"/>
      <c r="M1358" s="112"/>
      <c r="N1358" s="113"/>
    </row>
    <row r="1359" spans="1:15" ht="18.600000000000001" customHeight="1">
      <c r="A1359" s="130"/>
      <c r="B1359" s="109"/>
      <c r="C1359" s="118"/>
      <c r="D1359" s="33"/>
      <c r="E1359" s="110"/>
      <c r="F1359" s="110"/>
      <c r="G1359" s="132"/>
      <c r="H1359" s="111"/>
      <c r="I1359" s="110"/>
      <c r="J1359" s="110"/>
      <c r="K1359" s="134"/>
      <c r="L1359" s="118"/>
      <c r="M1359" s="112"/>
      <c r="N1359" s="113"/>
      <c r="O1359" s="114" t="s">
        <v>3682</v>
      </c>
    </row>
    <row r="1360" spans="1:15" ht="16.149999999999999" customHeight="1">
      <c r="A1360" s="130"/>
      <c r="B1360" s="109"/>
      <c r="C1360" s="118"/>
      <c r="D1360" s="110"/>
      <c r="E1360" s="110"/>
      <c r="F1360" s="110"/>
      <c r="G1360" s="110"/>
      <c r="H1360" s="111"/>
      <c r="I1360" s="791"/>
      <c r="J1360" s="791"/>
      <c r="K1360" s="118" t="s">
        <v>1164</v>
      </c>
      <c r="L1360" s="118" t="s">
        <v>1582</v>
      </c>
      <c r="M1360" s="112">
        <f>TRUNC(M1357+M1358+M1359)</f>
        <v>27168</v>
      </c>
      <c r="N1360" s="113" t="s">
        <v>975</v>
      </c>
      <c r="O1360" s="114" t="s">
        <v>1115</v>
      </c>
    </row>
    <row r="1361" spans="1:15" ht="18.600000000000001" customHeight="1">
      <c r="A1361" s="130"/>
      <c r="B1361" s="109"/>
      <c r="C1361" s="118"/>
      <c r="D1361" s="110"/>
      <c r="E1361" s="110"/>
      <c r="F1361" s="110"/>
      <c r="G1361" s="110"/>
      <c r="H1361" s="111"/>
      <c r="I1361" s="118"/>
      <c r="J1361" s="118"/>
      <c r="K1361" s="118"/>
      <c r="L1361" s="118"/>
      <c r="M1361" s="112"/>
      <c r="N1361" s="113"/>
      <c r="O1361" s="114" t="s">
        <v>3682</v>
      </c>
    </row>
    <row r="1362" spans="1:15" ht="18.600000000000001" customHeight="1">
      <c r="A1362" s="135"/>
      <c r="B1362" s="136"/>
      <c r="C1362" s="137"/>
      <c r="D1362" s="138"/>
      <c r="E1362" s="138"/>
      <c r="F1362" s="138"/>
      <c r="G1362" s="138"/>
      <c r="H1362" s="139"/>
      <c r="I1362" s="137"/>
      <c r="J1362" s="137"/>
      <c r="K1362" s="137"/>
      <c r="L1362" s="137"/>
      <c r="M1362" s="140"/>
      <c r="N1362" s="141"/>
      <c r="O1362" s="114" t="s">
        <v>3682</v>
      </c>
    </row>
    <row r="1363" spans="1:15" ht="16.149999999999999" customHeight="1">
      <c r="A1363" s="124"/>
      <c r="B1363" s="125" t="s">
        <v>1116</v>
      </c>
      <c r="C1363" s="142"/>
      <c r="D1363" s="126"/>
      <c r="E1363" s="126"/>
      <c r="F1363" s="126"/>
      <c r="G1363" s="126"/>
      <c r="H1363" s="127"/>
      <c r="I1363" s="126"/>
      <c r="J1363" s="126"/>
      <c r="K1363" s="126"/>
      <c r="L1363" s="126"/>
      <c r="M1363" s="128"/>
      <c r="N1363" s="129"/>
    </row>
    <row r="1364" spans="1:15" ht="16.149999999999999" customHeight="1">
      <c r="A1364" s="130"/>
      <c r="B1364" s="131" t="s">
        <v>2461</v>
      </c>
      <c r="C1364" s="118" t="s">
        <v>1526</v>
      </c>
      <c r="D1364" s="118">
        <v>6.2</v>
      </c>
      <c r="E1364" s="110" t="s">
        <v>456</v>
      </c>
      <c r="F1364" s="118" t="s">
        <v>972</v>
      </c>
      <c r="G1364" s="110"/>
      <c r="H1364" s="123">
        <f>중기기준!$G$35</f>
        <v>1114.9000000000001</v>
      </c>
      <c r="I1364" s="110" t="s">
        <v>975</v>
      </c>
      <c r="J1364" s="110"/>
      <c r="K1364" s="110"/>
      <c r="L1364" s="118" t="s">
        <v>1582</v>
      </c>
      <c r="M1364" s="112">
        <f>TRUNC(D1364*H1364,2)</f>
        <v>6912.38</v>
      </c>
      <c r="N1364" s="113" t="s">
        <v>975</v>
      </c>
    </row>
    <row r="1365" spans="1:15" ht="16.149999999999999" customHeight="1">
      <c r="A1365" s="130"/>
      <c r="B1365" s="109" t="s">
        <v>1556</v>
      </c>
      <c r="C1365" s="118" t="s">
        <v>1526</v>
      </c>
      <c r="D1365" s="145">
        <v>0.16</v>
      </c>
      <c r="E1365" s="110"/>
      <c r="F1365" s="118" t="s">
        <v>972</v>
      </c>
      <c r="G1365" s="110"/>
      <c r="H1365" s="123">
        <f>M1364</f>
        <v>6912.38</v>
      </c>
      <c r="I1365" s="110" t="s">
        <v>975</v>
      </c>
      <c r="J1365" s="110"/>
      <c r="K1365" s="110"/>
      <c r="L1365" s="118" t="s">
        <v>1582</v>
      </c>
      <c r="M1365" s="112">
        <f>TRUNC(D1365*H1365,2)</f>
        <v>1105.98</v>
      </c>
      <c r="N1365" s="113" t="s">
        <v>975</v>
      </c>
    </row>
    <row r="1366" spans="1:15" ht="16.149999999999999" customHeight="1">
      <c r="A1366" s="130"/>
      <c r="B1366" s="109"/>
      <c r="C1366" s="110"/>
      <c r="D1366" s="110"/>
      <c r="E1366" s="110"/>
      <c r="F1366" s="110"/>
      <c r="G1366" s="110"/>
      <c r="H1366" s="111"/>
      <c r="I1366" s="110"/>
      <c r="J1366" s="110"/>
      <c r="K1366" s="118" t="s">
        <v>1164</v>
      </c>
      <c r="L1366" s="118" t="s">
        <v>1582</v>
      </c>
      <c r="M1366" s="112">
        <f>TRUNC(SUM(M1364:M1365))</f>
        <v>8018</v>
      </c>
      <c r="N1366" s="113" t="s">
        <v>975</v>
      </c>
    </row>
    <row r="1367" spans="1:15" ht="18.600000000000001" customHeight="1">
      <c r="A1367" s="135"/>
      <c r="B1367" s="136"/>
      <c r="C1367" s="138"/>
      <c r="D1367" s="138"/>
      <c r="E1367" s="138"/>
      <c r="F1367" s="138"/>
      <c r="G1367" s="138"/>
      <c r="H1367" s="139"/>
      <c r="I1367" s="138"/>
      <c r="J1367" s="138"/>
      <c r="K1367" s="137"/>
      <c r="L1367" s="137"/>
      <c r="M1367" s="140"/>
      <c r="N1367" s="141"/>
      <c r="O1367" s="114" t="s">
        <v>3682</v>
      </c>
    </row>
    <row r="1368" spans="1:15" s="152" customFormat="1" ht="16.149999999999999" customHeight="1">
      <c r="A1368" s="146"/>
      <c r="B1368" s="147"/>
      <c r="C1368" s="148"/>
      <c r="D1368" s="148"/>
      <c r="E1368" s="148"/>
      <c r="F1368" s="148"/>
      <c r="G1368" s="148"/>
      <c r="H1368" s="149"/>
      <c r="I1368" s="148"/>
      <c r="J1368" s="148"/>
      <c r="K1368" s="148" t="s">
        <v>1118</v>
      </c>
      <c r="L1368" s="148" t="s">
        <v>1582</v>
      </c>
      <c r="M1368" s="150">
        <f>M1354+M1360+M1366</f>
        <v>37252</v>
      </c>
      <c r="N1368" s="151"/>
    </row>
    <row r="1369" spans="1:15" ht="16.149999999999999" customHeight="1">
      <c r="A1369" s="153"/>
      <c r="B1369" s="125"/>
      <c r="C1369" s="153"/>
      <c r="D1369" s="153"/>
      <c r="E1369" s="153"/>
      <c r="F1369" s="153"/>
      <c r="G1369" s="153"/>
      <c r="H1369" s="154"/>
      <c r="I1369" s="153"/>
      <c r="J1369" s="153"/>
      <c r="K1369" s="153"/>
      <c r="L1369" s="153"/>
      <c r="M1369" s="128"/>
      <c r="N1369" s="142"/>
    </row>
    <row r="1370" spans="1:15" s="107" customFormat="1" ht="16.149999999999999" customHeight="1">
      <c r="A1370" s="451">
        <f>A1351+1</f>
        <v>73</v>
      </c>
      <c r="B1370" s="99" t="s">
        <v>1100</v>
      </c>
      <c r="C1370" s="100" t="s">
        <v>1526</v>
      </c>
      <c r="D1370" s="101" t="s">
        <v>1745</v>
      </c>
      <c r="E1370" s="102"/>
      <c r="F1370" s="102"/>
      <c r="G1370" s="100"/>
      <c r="H1370" s="171" t="s">
        <v>215</v>
      </c>
      <c r="I1370" s="100"/>
      <c r="J1370" s="101"/>
      <c r="K1370" s="104" t="s">
        <v>847</v>
      </c>
      <c r="L1370" s="100" t="s">
        <v>1526</v>
      </c>
      <c r="M1370" s="105" t="s">
        <v>216</v>
      </c>
      <c r="N1370" s="106"/>
    </row>
    <row r="1371" spans="1:15" ht="16.149999999999999" customHeight="1">
      <c r="A1371" s="108"/>
      <c r="B1371" s="109" t="s">
        <v>588</v>
      </c>
      <c r="C1371" s="110" t="s">
        <v>1582</v>
      </c>
      <c r="D1371" s="110" t="s">
        <v>589</v>
      </c>
      <c r="E1371" s="110" t="s">
        <v>86</v>
      </c>
      <c r="F1371" s="110" t="s">
        <v>590</v>
      </c>
      <c r="G1371" s="110" t="s">
        <v>86</v>
      </c>
      <c r="H1371" s="111" t="s">
        <v>513</v>
      </c>
      <c r="I1371" s="110"/>
      <c r="J1371" s="110"/>
      <c r="K1371" s="110"/>
      <c r="L1371" s="110"/>
      <c r="M1371" s="112"/>
      <c r="N1371" s="113"/>
    </row>
    <row r="1372" spans="1:15" ht="16.149999999999999" customHeight="1">
      <c r="A1372" s="108"/>
      <c r="B1372" s="109"/>
      <c r="C1372" s="110"/>
      <c r="D1372" s="110"/>
      <c r="E1372" s="110"/>
      <c r="F1372" s="110"/>
      <c r="G1372" s="110"/>
      <c r="H1372" s="111"/>
      <c r="I1372" s="110"/>
      <c r="J1372" s="792"/>
      <c r="K1372" s="792"/>
      <c r="L1372" s="110"/>
      <c r="M1372" s="112"/>
      <c r="N1372" s="113"/>
    </row>
    <row r="1373" spans="1:15" ht="16.149999999999999" customHeight="1">
      <c r="A1373" s="115"/>
      <c r="F1373" s="117"/>
      <c r="G1373" s="118"/>
      <c r="H1373" s="119">
        <f>기계경비산출표!$E$363*1000</f>
        <v>27727000</v>
      </c>
      <c r="I1373" s="110" t="s">
        <v>972</v>
      </c>
      <c r="J1373" s="120">
        <v>1663</v>
      </c>
      <c r="K1373" s="118" t="s">
        <v>514</v>
      </c>
      <c r="L1373" s="121" t="s">
        <v>1582</v>
      </c>
      <c r="M1373" s="112">
        <f>TRUNC(H1373*J1373*(10^-7))</f>
        <v>4611</v>
      </c>
      <c r="N1373" s="113" t="s">
        <v>975</v>
      </c>
    </row>
    <row r="1374" spans="1:15" ht="16.149999999999999" customHeight="1">
      <c r="A1374" s="115"/>
      <c r="B1374" s="122"/>
      <c r="C1374" s="118"/>
      <c r="D1374" s="33"/>
      <c r="E1374" s="110"/>
      <c r="F1374" s="118"/>
      <c r="G1374" s="118"/>
      <c r="H1374" s="123"/>
      <c r="I1374" s="118"/>
      <c r="J1374" s="110"/>
      <c r="K1374" s="110"/>
      <c r="L1374" s="110"/>
      <c r="M1374" s="112"/>
      <c r="N1374" s="113"/>
    </row>
    <row r="1375" spans="1:15" ht="16.149999999999999" customHeight="1">
      <c r="A1375" s="124"/>
      <c r="B1375" s="125" t="s">
        <v>1115</v>
      </c>
      <c r="C1375" s="126"/>
      <c r="D1375" s="126"/>
      <c r="E1375" s="126"/>
      <c r="F1375" s="126"/>
      <c r="G1375" s="126"/>
      <c r="H1375" s="127"/>
      <c r="I1375" s="126"/>
      <c r="J1375" s="126"/>
      <c r="K1375" s="126"/>
      <c r="L1375" s="126"/>
      <c r="M1375" s="128"/>
      <c r="N1375" s="129"/>
    </row>
    <row r="1376" spans="1:15" ht="16.149999999999999" customHeight="1">
      <c r="A1376" s="130"/>
      <c r="B1376" s="131" t="s">
        <v>3185</v>
      </c>
      <c r="C1376" s="118"/>
      <c r="D1376" s="33">
        <f>SUMIF('노임(2015)'!$B$4:$B$87,B1376,'노임(2015)'!$C$4:$C$87)+SUMIF('노임(2015)'!$E$4:$E$87,B1376,'노임(2015)'!$F$4:$F$87)</f>
        <v>130411</v>
      </c>
      <c r="E1376" s="110" t="s">
        <v>972</v>
      </c>
      <c r="F1376" s="110" t="s">
        <v>973</v>
      </c>
      <c r="G1376" s="132" t="s">
        <v>974</v>
      </c>
      <c r="H1376" s="111"/>
      <c r="I1376" s="110"/>
      <c r="J1376" s="110"/>
      <c r="K1376" s="133">
        <v>1</v>
      </c>
      <c r="L1376" s="118" t="s">
        <v>1582</v>
      </c>
      <c r="M1376" s="112">
        <f>TRUNC(D1376*(1/8)*(16/12)*(25/20)*K1376)</f>
        <v>27168</v>
      </c>
      <c r="N1376" s="113" t="s">
        <v>975</v>
      </c>
    </row>
    <row r="1377" spans="1:15" ht="16.149999999999999" customHeight="1">
      <c r="A1377" s="130"/>
      <c r="B1377" s="131"/>
      <c r="C1377" s="118"/>
      <c r="D1377" s="33">
        <f>SUMIF('노임(2015)'!$B$4:$B$87,B1377,'노임(2015)'!$C$4:$C$87)+SUMIF('노임(2015)'!$E$4:$E$87,B1377,'노임(2015)'!$F$4:$F$87)</f>
        <v>0</v>
      </c>
      <c r="E1377" s="110"/>
      <c r="F1377" s="110"/>
      <c r="G1377" s="132"/>
      <c r="H1377" s="111"/>
      <c r="I1377" s="110"/>
      <c r="J1377" s="110"/>
      <c r="K1377" s="134"/>
      <c r="L1377" s="118"/>
      <c r="M1377" s="112"/>
      <c r="N1377" s="113"/>
    </row>
    <row r="1378" spans="1:15" ht="18.600000000000001" customHeight="1">
      <c r="A1378" s="130"/>
      <c r="B1378" s="109"/>
      <c r="C1378" s="118"/>
      <c r="D1378" s="33"/>
      <c r="E1378" s="110"/>
      <c r="F1378" s="110"/>
      <c r="G1378" s="132"/>
      <c r="H1378" s="111"/>
      <c r="I1378" s="110"/>
      <c r="J1378" s="110"/>
      <c r="K1378" s="134"/>
      <c r="L1378" s="118"/>
      <c r="M1378" s="112"/>
      <c r="N1378" s="113"/>
      <c r="O1378" s="114" t="s">
        <v>3682</v>
      </c>
    </row>
    <row r="1379" spans="1:15" ht="16.149999999999999" customHeight="1">
      <c r="A1379" s="130"/>
      <c r="B1379" s="109"/>
      <c r="C1379" s="118"/>
      <c r="D1379" s="110"/>
      <c r="E1379" s="110"/>
      <c r="F1379" s="110"/>
      <c r="G1379" s="110"/>
      <c r="H1379" s="111"/>
      <c r="I1379" s="791"/>
      <c r="J1379" s="791"/>
      <c r="K1379" s="118" t="s">
        <v>1164</v>
      </c>
      <c r="L1379" s="118" t="s">
        <v>1582</v>
      </c>
      <c r="M1379" s="112">
        <f>TRUNC(M1376+M1377+M1378)</f>
        <v>27168</v>
      </c>
      <c r="N1379" s="113" t="s">
        <v>975</v>
      </c>
      <c r="O1379" s="114" t="s">
        <v>1115</v>
      </c>
    </row>
    <row r="1380" spans="1:15" ht="18.600000000000001" customHeight="1">
      <c r="A1380" s="130"/>
      <c r="B1380" s="109"/>
      <c r="C1380" s="118"/>
      <c r="D1380" s="110"/>
      <c r="E1380" s="110"/>
      <c r="F1380" s="110"/>
      <c r="G1380" s="110"/>
      <c r="H1380" s="111"/>
      <c r="I1380" s="118"/>
      <c r="J1380" s="118"/>
      <c r="K1380" s="118"/>
      <c r="L1380" s="118"/>
      <c r="M1380" s="112"/>
      <c r="N1380" s="113"/>
      <c r="O1380" s="114" t="s">
        <v>3682</v>
      </c>
    </row>
    <row r="1381" spans="1:15" ht="18.600000000000001" customHeight="1">
      <c r="A1381" s="135"/>
      <c r="B1381" s="136"/>
      <c r="C1381" s="137"/>
      <c r="D1381" s="138"/>
      <c r="E1381" s="138"/>
      <c r="F1381" s="138"/>
      <c r="G1381" s="138"/>
      <c r="H1381" s="139"/>
      <c r="I1381" s="137"/>
      <c r="J1381" s="137"/>
      <c r="K1381" s="137"/>
      <c r="L1381" s="137"/>
      <c r="M1381" s="140"/>
      <c r="N1381" s="141"/>
      <c r="O1381" s="114" t="s">
        <v>3682</v>
      </c>
    </row>
    <row r="1382" spans="1:15" ht="16.149999999999999" customHeight="1">
      <c r="A1382" s="124"/>
      <c r="B1382" s="125" t="s">
        <v>1116</v>
      </c>
      <c r="C1382" s="142"/>
      <c r="D1382" s="126"/>
      <c r="E1382" s="126"/>
      <c r="F1382" s="126"/>
      <c r="G1382" s="126"/>
      <c r="H1382" s="127"/>
      <c r="I1382" s="126"/>
      <c r="J1382" s="126"/>
      <c r="K1382" s="126"/>
      <c r="L1382" s="126"/>
      <c r="M1382" s="128"/>
      <c r="N1382" s="129"/>
    </row>
    <row r="1383" spans="1:15" ht="16.149999999999999" customHeight="1">
      <c r="A1383" s="130"/>
      <c r="B1383" s="131" t="s">
        <v>2461</v>
      </c>
      <c r="C1383" s="118" t="s">
        <v>1526</v>
      </c>
      <c r="D1383" s="118">
        <v>14.2</v>
      </c>
      <c r="E1383" s="110" t="s">
        <v>456</v>
      </c>
      <c r="F1383" s="118" t="s">
        <v>972</v>
      </c>
      <c r="G1383" s="110"/>
      <c r="H1383" s="123">
        <f>중기기준!$G$35</f>
        <v>1114.9000000000001</v>
      </c>
      <c r="I1383" s="110" t="s">
        <v>975</v>
      </c>
      <c r="J1383" s="110"/>
      <c r="K1383" s="110"/>
      <c r="L1383" s="118" t="s">
        <v>1582</v>
      </c>
      <c r="M1383" s="112">
        <f>TRUNC(D1383*H1383*100)/100</f>
        <v>15831.58</v>
      </c>
      <c r="N1383" s="113" t="s">
        <v>975</v>
      </c>
    </row>
    <row r="1384" spans="1:15" ht="16.149999999999999" customHeight="1">
      <c r="A1384" s="130"/>
      <c r="B1384" s="109" t="s">
        <v>1556</v>
      </c>
      <c r="C1384" s="118" t="s">
        <v>1526</v>
      </c>
      <c r="D1384" s="145">
        <v>0.16</v>
      </c>
      <c r="E1384" s="110"/>
      <c r="F1384" s="118" t="s">
        <v>972</v>
      </c>
      <c r="G1384" s="110"/>
      <c r="H1384" s="123">
        <f>M1383</f>
        <v>15831.58</v>
      </c>
      <c r="I1384" s="110" t="s">
        <v>975</v>
      </c>
      <c r="J1384" s="110"/>
      <c r="K1384" s="110"/>
      <c r="L1384" s="118" t="s">
        <v>1582</v>
      </c>
      <c r="M1384" s="112">
        <f>TRUNC(D1384*H1384*100)/100</f>
        <v>2533.0500000000002</v>
      </c>
      <c r="N1384" s="113" t="s">
        <v>975</v>
      </c>
    </row>
    <row r="1385" spans="1:15" ht="16.149999999999999" customHeight="1">
      <c r="A1385" s="130"/>
      <c r="B1385" s="109"/>
      <c r="C1385" s="110"/>
      <c r="D1385" s="110"/>
      <c r="E1385" s="110"/>
      <c r="F1385" s="110"/>
      <c r="G1385" s="110"/>
      <c r="H1385" s="111"/>
      <c r="I1385" s="110"/>
      <c r="J1385" s="110"/>
      <c r="K1385" s="118" t="s">
        <v>1164</v>
      </c>
      <c r="L1385" s="118" t="s">
        <v>1582</v>
      </c>
      <c r="M1385" s="112">
        <f>TRUNC(SUM(M1383:M1384))</f>
        <v>18364</v>
      </c>
      <c r="N1385" s="113" t="s">
        <v>975</v>
      </c>
    </row>
    <row r="1386" spans="1:15" ht="18.600000000000001" customHeight="1">
      <c r="A1386" s="135"/>
      <c r="B1386" s="136"/>
      <c r="C1386" s="138"/>
      <c r="D1386" s="138"/>
      <c r="E1386" s="138"/>
      <c r="F1386" s="138"/>
      <c r="G1386" s="138"/>
      <c r="H1386" s="139"/>
      <c r="I1386" s="138"/>
      <c r="J1386" s="138"/>
      <c r="K1386" s="137"/>
      <c r="L1386" s="137"/>
      <c r="M1386" s="140"/>
      <c r="N1386" s="141"/>
      <c r="O1386" s="114" t="s">
        <v>3682</v>
      </c>
    </row>
    <row r="1387" spans="1:15" s="152" customFormat="1" ht="16.149999999999999" customHeight="1">
      <c r="A1387" s="146"/>
      <c r="B1387" s="147"/>
      <c r="C1387" s="148"/>
      <c r="D1387" s="148"/>
      <c r="E1387" s="148"/>
      <c r="F1387" s="148"/>
      <c r="G1387" s="148"/>
      <c r="H1387" s="149"/>
      <c r="I1387" s="148"/>
      <c r="J1387" s="148"/>
      <c r="K1387" s="148" t="s">
        <v>1118</v>
      </c>
      <c r="L1387" s="148" t="s">
        <v>1582</v>
      </c>
      <c r="M1387" s="150">
        <f>M1373+M1379+M1385</f>
        <v>50143</v>
      </c>
      <c r="N1387" s="151"/>
    </row>
    <row r="1388" spans="1:15" ht="16.149999999999999" customHeight="1">
      <c r="A1388" s="114"/>
    </row>
    <row r="1389" spans="1:15" s="107" customFormat="1" ht="16.149999999999999" customHeight="1">
      <c r="A1389" s="451">
        <f>A1370+1</f>
        <v>74</v>
      </c>
      <c r="B1389" s="99" t="s">
        <v>1100</v>
      </c>
      <c r="C1389" s="100" t="s">
        <v>1526</v>
      </c>
      <c r="D1389" s="101" t="s">
        <v>1745</v>
      </c>
      <c r="E1389" s="102"/>
      <c r="F1389" s="102"/>
      <c r="G1389" s="100"/>
      <c r="H1389" s="171" t="s">
        <v>217</v>
      </c>
      <c r="I1389" s="100"/>
      <c r="J1389" s="101"/>
      <c r="K1389" s="104" t="s">
        <v>847</v>
      </c>
      <c r="L1389" s="100" t="s">
        <v>1526</v>
      </c>
      <c r="M1389" s="105" t="s">
        <v>218</v>
      </c>
      <c r="N1389" s="106"/>
    </row>
    <row r="1390" spans="1:15" ht="16.149999999999999" customHeight="1">
      <c r="A1390" s="108"/>
      <c r="B1390" s="109" t="s">
        <v>588</v>
      </c>
      <c r="C1390" s="110" t="s">
        <v>1582</v>
      </c>
      <c r="D1390" s="110" t="s">
        <v>589</v>
      </c>
      <c r="E1390" s="110" t="s">
        <v>86</v>
      </c>
      <c r="F1390" s="110" t="s">
        <v>590</v>
      </c>
      <c r="G1390" s="110" t="s">
        <v>86</v>
      </c>
      <c r="H1390" s="111" t="s">
        <v>513</v>
      </c>
      <c r="I1390" s="110"/>
      <c r="J1390" s="110"/>
      <c r="K1390" s="110"/>
      <c r="L1390" s="110"/>
      <c r="M1390" s="112"/>
      <c r="N1390" s="113"/>
    </row>
    <row r="1391" spans="1:15" ht="16.149999999999999" customHeight="1">
      <c r="A1391" s="108"/>
      <c r="B1391" s="109"/>
      <c r="C1391" s="110"/>
      <c r="D1391" s="110"/>
      <c r="E1391" s="110"/>
      <c r="F1391" s="110"/>
      <c r="G1391" s="110"/>
      <c r="H1391" s="111"/>
      <c r="I1391" s="110"/>
      <c r="J1391" s="792"/>
      <c r="K1391" s="792"/>
      <c r="L1391" s="110"/>
      <c r="M1391" s="112"/>
      <c r="N1391" s="113"/>
    </row>
    <row r="1392" spans="1:15" ht="16.149999999999999" customHeight="1">
      <c r="A1392" s="115"/>
      <c r="F1392" s="117"/>
      <c r="G1392" s="118"/>
      <c r="H1392" s="119">
        <f>기계경비산출표!$E$364*1000</f>
        <v>29579000</v>
      </c>
      <c r="I1392" s="110" t="s">
        <v>972</v>
      </c>
      <c r="J1392" s="120">
        <v>1663</v>
      </c>
      <c r="K1392" s="118" t="s">
        <v>514</v>
      </c>
      <c r="L1392" s="121" t="s">
        <v>1582</v>
      </c>
      <c r="M1392" s="112">
        <f>TRUNC(H1392*J1392*(10^-7))</f>
        <v>4918</v>
      </c>
      <c r="N1392" s="113" t="s">
        <v>975</v>
      </c>
    </row>
    <row r="1393" spans="1:15" ht="16.149999999999999" customHeight="1">
      <c r="A1393" s="115"/>
      <c r="B1393" s="122"/>
      <c r="C1393" s="118"/>
      <c r="D1393" s="33"/>
      <c r="E1393" s="110"/>
      <c r="F1393" s="118"/>
      <c r="G1393" s="118"/>
      <c r="H1393" s="123"/>
      <c r="I1393" s="118"/>
      <c r="J1393" s="110"/>
      <c r="K1393" s="110"/>
      <c r="L1393" s="110"/>
      <c r="M1393" s="112"/>
      <c r="N1393" s="113"/>
    </row>
    <row r="1394" spans="1:15" ht="16.149999999999999" customHeight="1">
      <c r="A1394" s="124"/>
      <c r="B1394" s="125" t="s">
        <v>1115</v>
      </c>
      <c r="C1394" s="126"/>
      <c r="D1394" s="126"/>
      <c r="E1394" s="126"/>
      <c r="F1394" s="126"/>
      <c r="G1394" s="126"/>
      <c r="H1394" s="127"/>
      <c r="I1394" s="126"/>
      <c r="J1394" s="126"/>
      <c r="K1394" s="126"/>
      <c r="L1394" s="126"/>
      <c r="M1394" s="128"/>
      <c r="N1394" s="129"/>
    </row>
    <row r="1395" spans="1:15" ht="16.149999999999999" customHeight="1">
      <c r="A1395" s="130"/>
      <c r="B1395" s="131" t="s">
        <v>3185</v>
      </c>
      <c r="C1395" s="118"/>
      <c r="D1395" s="33">
        <f>SUMIF('노임(2015)'!$B$4:$B$87,B1395,'노임(2015)'!$C$4:$C$87)+SUMIF('노임(2015)'!$E$4:$E$87,B1395,'노임(2015)'!$F$4:$F$87)</f>
        <v>130411</v>
      </c>
      <c r="E1395" s="110" t="s">
        <v>972</v>
      </c>
      <c r="F1395" s="110" t="s">
        <v>973</v>
      </c>
      <c r="G1395" s="132" t="s">
        <v>974</v>
      </c>
      <c r="H1395" s="111"/>
      <c r="I1395" s="110"/>
      <c r="J1395" s="110"/>
      <c r="K1395" s="133">
        <v>1</v>
      </c>
      <c r="L1395" s="118" t="s">
        <v>1582</v>
      </c>
      <c r="M1395" s="112">
        <f>TRUNC(D1395*(1/8)*(16/12)*(25/20)*K1395)</f>
        <v>27168</v>
      </c>
      <c r="N1395" s="113" t="s">
        <v>975</v>
      </c>
    </row>
    <row r="1396" spans="1:15" ht="16.149999999999999" customHeight="1">
      <c r="A1396" s="130"/>
      <c r="B1396" s="131"/>
      <c r="C1396" s="118"/>
      <c r="D1396" s="33">
        <f>SUMIF('노임(2015)'!$B$4:$B$87,B1396,'노임(2015)'!$C$4:$C$87)+SUMIF('노임(2015)'!$E$4:$E$87,B1396,'노임(2015)'!$F$4:$F$87)</f>
        <v>0</v>
      </c>
      <c r="E1396" s="110"/>
      <c r="F1396" s="110"/>
      <c r="G1396" s="132"/>
      <c r="H1396" s="111"/>
      <c r="I1396" s="110"/>
      <c r="J1396" s="110"/>
      <c r="K1396" s="134"/>
      <c r="L1396" s="118"/>
      <c r="M1396" s="112"/>
      <c r="N1396" s="113"/>
    </row>
    <row r="1397" spans="1:15" ht="18.600000000000001" customHeight="1">
      <c r="A1397" s="130"/>
      <c r="B1397" s="109"/>
      <c r="C1397" s="118"/>
      <c r="D1397" s="33"/>
      <c r="E1397" s="110"/>
      <c r="F1397" s="110"/>
      <c r="G1397" s="132"/>
      <c r="H1397" s="111"/>
      <c r="I1397" s="110"/>
      <c r="J1397" s="110"/>
      <c r="K1397" s="134"/>
      <c r="L1397" s="118"/>
      <c r="M1397" s="112"/>
      <c r="N1397" s="113"/>
      <c r="O1397" s="114" t="s">
        <v>3682</v>
      </c>
    </row>
    <row r="1398" spans="1:15" ht="16.149999999999999" customHeight="1">
      <c r="A1398" s="130"/>
      <c r="B1398" s="109"/>
      <c r="C1398" s="118"/>
      <c r="D1398" s="110"/>
      <c r="E1398" s="110"/>
      <c r="F1398" s="110"/>
      <c r="G1398" s="110"/>
      <c r="H1398" s="111"/>
      <c r="I1398" s="791"/>
      <c r="J1398" s="791"/>
      <c r="K1398" s="118" t="s">
        <v>1164</v>
      </c>
      <c r="L1398" s="118" t="s">
        <v>1582</v>
      </c>
      <c r="M1398" s="112">
        <f>TRUNC(M1395+M1396+M1397)</f>
        <v>27168</v>
      </c>
      <c r="N1398" s="113" t="s">
        <v>975</v>
      </c>
      <c r="O1398" s="114" t="s">
        <v>1115</v>
      </c>
    </row>
    <row r="1399" spans="1:15" ht="18.600000000000001" customHeight="1">
      <c r="A1399" s="130"/>
      <c r="B1399" s="109"/>
      <c r="C1399" s="118"/>
      <c r="D1399" s="110"/>
      <c r="E1399" s="110"/>
      <c r="F1399" s="110"/>
      <c r="G1399" s="110"/>
      <c r="H1399" s="111"/>
      <c r="I1399" s="118"/>
      <c r="J1399" s="118"/>
      <c r="K1399" s="118"/>
      <c r="L1399" s="118"/>
      <c r="M1399" s="112"/>
      <c r="N1399" s="113"/>
      <c r="O1399" s="114" t="s">
        <v>3682</v>
      </c>
    </row>
    <row r="1400" spans="1:15" ht="18.600000000000001" customHeight="1">
      <c r="A1400" s="135"/>
      <c r="B1400" s="136"/>
      <c r="C1400" s="137"/>
      <c r="D1400" s="138"/>
      <c r="E1400" s="138"/>
      <c r="F1400" s="138"/>
      <c r="G1400" s="138"/>
      <c r="H1400" s="139"/>
      <c r="I1400" s="137"/>
      <c r="J1400" s="137"/>
      <c r="K1400" s="137"/>
      <c r="L1400" s="137"/>
      <c r="M1400" s="140"/>
      <c r="N1400" s="141"/>
      <c r="O1400" s="114" t="s">
        <v>3682</v>
      </c>
    </row>
    <row r="1401" spans="1:15" ht="16.149999999999999" customHeight="1">
      <c r="A1401" s="124"/>
      <c r="B1401" s="125" t="s">
        <v>1116</v>
      </c>
      <c r="C1401" s="142"/>
      <c r="D1401" s="126"/>
      <c r="E1401" s="126"/>
      <c r="F1401" s="126"/>
      <c r="G1401" s="126"/>
      <c r="H1401" s="127"/>
      <c r="I1401" s="126"/>
      <c r="J1401" s="126"/>
      <c r="K1401" s="126"/>
      <c r="L1401" s="126"/>
      <c r="M1401" s="128"/>
      <c r="N1401" s="129"/>
    </row>
    <row r="1402" spans="1:15" ht="16.149999999999999" customHeight="1">
      <c r="A1402" s="130"/>
      <c r="B1402" s="131" t="s">
        <v>2461</v>
      </c>
      <c r="C1402" s="118" t="s">
        <v>1526</v>
      </c>
      <c r="D1402" s="118">
        <v>23.5</v>
      </c>
      <c r="E1402" s="110" t="s">
        <v>456</v>
      </c>
      <c r="F1402" s="118" t="s">
        <v>972</v>
      </c>
      <c r="G1402" s="110"/>
      <c r="H1402" s="123">
        <f>중기기준!$G$35</f>
        <v>1114.9000000000001</v>
      </c>
      <c r="I1402" s="110" t="s">
        <v>975</v>
      </c>
      <c r="J1402" s="110"/>
      <c r="K1402" s="110"/>
      <c r="L1402" s="118" t="s">
        <v>1582</v>
      </c>
      <c r="M1402" s="112">
        <f>TRUNC(D1402*H1402*100)/100</f>
        <v>26200.15</v>
      </c>
      <c r="N1402" s="113" t="s">
        <v>975</v>
      </c>
    </row>
    <row r="1403" spans="1:15" ht="16.149999999999999" customHeight="1">
      <c r="A1403" s="130"/>
      <c r="B1403" s="109" t="s">
        <v>1556</v>
      </c>
      <c r="C1403" s="118" t="s">
        <v>1526</v>
      </c>
      <c r="D1403" s="145">
        <v>0.16</v>
      </c>
      <c r="E1403" s="110"/>
      <c r="F1403" s="118" t="s">
        <v>972</v>
      </c>
      <c r="G1403" s="110"/>
      <c r="H1403" s="123">
        <f>M1402</f>
        <v>26200.15</v>
      </c>
      <c r="I1403" s="110" t="s">
        <v>975</v>
      </c>
      <c r="J1403" s="110"/>
      <c r="K1403" s="110"/>
      <c r="L1403" s="118" t="s">
        <v>1582</v>
      </c>
      <c r="M1403" s="112">
        <f>TRUNC(D1403*H1403*100)/100</f>
        <v>4192.0200000000004</v>
      </c>
      <c r="N1403" s="113" t="s">
        <v>975</v>
      </c>
    </row>
    <row r="1404" spans="1:15" ht="16.149999999999999" customHeight="1">
      <c r="A1404" s="130"/>
      <c r="B1404" s="109"/>
      <c r="C1404" s="110"/>
      <c r="D1404" s="110"/>
      <c r="E1404" s="110"/>
      <c r="F1404" s="110"/>
      <c r="G1404" s="110"/>
      <c r="H1404" s="111"/>
      <c r="I1404" s="110"/>
      <c r="J1404" s="110"/>
      <c r="K1404" s="118" t="s">
        <v>1164</v>
      </c>
      <c r="L1404" s="118" t="s">
        <v>1582</v>
      </c>
      <c r="M1404" s="112">
        <f>TRUNC(SUM(M1402:M1403))</f>
        <v>30392</v>
      </c>
      <c r="N1404" s="113" t="s">
        <v>975</v>
      </c>
    </row>
    <row r="1405" spans="1:15" ht="18.600000000000001" customHeight="1">
      <c r="A1405" s="135"/>
      <c r="B1405" s="136"/>
      <c r="C1405" s="138"/>
      <c r="D1405" s="138"/>
      <c r="E1405" s="138"/>
      <c r="F1405" s="138"/>
      <c r="G1405" s="138"/>
      <c r="H1405" s="139"/>
      <c r="I1405" s="138"/>
      <c r="J1405" s="138"/>
      <c r="K1405" s="137"/>
      <c r="L1405" s="137"/>
      <c r="M1405" s="140"/>
      <c r="N1405" s="141"/>
      <c r="O1405" s="114" t="s">
        <v>3682</v>
      </c>
    </row>
    <row r="1406" spans="1:15" s="152" customFormat="1" ht="16.149999999999999" customHeight="1">
      <c r="A1406" s="146"/>
      <c r="B1406" s="147"/>
      <c r="C1406" s="148"/>
      <c r="D1406" s="148"/>
      <c r="E1406" s="148"/>
      <c r="F1406" s="148"/>
      <c r="G1406" s="148"/>
      <c r="H1406" s="149"/>
      <c r="I1406" s="148"/>
      <c r="J1406" s="148"/>
      <c r="K1406" s="148" t="s">
        <v>1118</v>
      </c>
      <c r="L1406" s="148" t="s">
        <v>1582</v>
      </c>
      <c r="M1406" s="150">
        <f>M1392+M1398+M1404</f>
        <v>62478</v>
      </c>
      <c r="N1406" s="151"/>
    </row>
    <row r="1407" spans="1:15" ht="16.149999999999999" customHeight="1">
      <c r="A1407" s="153"/>
      <c r="B1407" s="125"/>
      <c r="C1407" s="153"/>
      <c r="D1407" s="153"/>
      <c r="E1407" s="153"/>
      <c r="F1407" s="153"/>
      <c r="G1407" s="153"/>
      <c r="H1407" s="154"/>
      <c r="I1407" s="153"/>
      <c r="J1407" s="153"/>
      <c r="K1407" s="153"/>
      <c r="L1407" s="153"/>
      <c r="M1407" s="128"/>
      <c r="N1407" s="142"/>
    </row>
    <row r="1408" spans="1:15" s="107" customFormat="1" ht="16.149999999999999" customHeight="1">
      <c r="A1408" s="451">
        <f>A1389+1</f>
        <v>75</v>
      </c>
      <c r="B1408" s="99" t="s">
        <v>1100</v>
      </c>
      <c r="C1408" s="100" t="s">
        <v>1526</v>
      </c>
      <c r="D1408" s="101" t="s">
        <v>1396</v>
      </c>
      <c r="E1408" s="102"/>
      <c r="F1408" s="102"/>
      <c r="G1408" s="102"/>
      <c r="H1408" s="157" t="s">
        <v>1527</v>
      </c>
      <c r="I1408" s="100" t="s">
        <v>1526</v>
      </c>
      <c r="J1408" s="167" t="s">
        <v>2459</v>
      </c>
      <c r="K1408" s="104" t="s">
        <v>847</v>
      </c>
      <c r="L1408" s="100" t="s">
        <v>1526</v>
      </c>
      <c r="M1408" s="105" t="s">
        <v>219</v>
      </c>
      <c r="N1408" s="106"/>
    </row>
    <row r="1409" spans="1:15" ht="16.149999999999999" customHeight="1">
      <c r="A1409" s="108"/>
      <c r="B1409" s="109" t="s">
        <v>588</v>
      </c>
      <c r="C1409" s="110" t="s">
        <v>1582</v>
      </c>
      <c r="D1409" s="110" t="s">
        <v>589</v>
      </c>
      <c r="E1409" s="110" t="s">
        <v>86</v>
      </c>
      <c r="F1409" s="110" t="s">
        <v>590</v>
      </c>
      <c r="G1409" s="110" t="s">
        <v>86</v>
      </c>
      <c r="H1409" s="111" t="s">
        <v>513</v>
      </c>
      <c r="I1409" s="110"/>
      <c r="J1409" s="110"/>
      <c r="K1409" s="110"/>
      <c r="L1409" s="110"/>
      <c r="M1409" s="112"/>
      <c r="N1409" s="113"/>
    </row>
    <row r="1410" spans="1:15" ht="16.149999999999999" customHeight="1">
      <c r="A1410" s="108"/>
      <c r="B1410" s="109"/>
      <c r="C1410" s="110"/>
      <c r="D1410" s="110"/>
      <c r="E1410" s="110"/>
      <c r="F1410" s="110"/>
      <c r="G1410" s="110"/>
      <c r="H1410" s="111"/>
      <c r="I1410" s="110"/>
      <c r="J1410" s="110"/>
      <c r="K1410" s="110"/>
      <c r="L1410" s="110"/>
      <c r="M1410" s="112"/>
      <c r="N1410" s="113"/>
    </row>
    <row r="1411" spans="1:15" ht="16.149999999999999" customHeight="1">
      <c r="A1411" s="115"/>
      <c r="F1411" s="117"/>
      <c r="G1411" s="118"/>
      <c r="H1411" s="119">
        <f>기계경비산출표!$E$368*1000</f>
        <v>1648000</v>
      </c>
      <c r="I1411" s="110" t="s">
        <v>972</v>
      </c>
      <c r="J1411" s="120">
        <v>2500</v>
      </c>
      <c r="K1411" s="118" t="s">
        <v>514</v>
      </c>
      <c r="L1411" s="121" t="s">
        <v>1582</v>
      </c>
      <c r="M1411" s="112">
        <f>TRUNC(H1411*J1411*(10^-7))</f>
        <v>412</v>
      </c>
      <c r="N1411" s="113" t="s">
        <v>975</v>
      </c>
    </row>
    <row r="1412" spans="1:15" ht="16.149999999999999" customHeight="1">
      <c r="A1412" s="115"/>
      <c r="B1412" s="122"/>
      <c r="C1412" s="118"/>
      <c r="D1412" s="33"/>
      <c r="E1412" s="110"/>
      <c r="F1412" s="118"/>
      <c r="G1412" s="118"/>
      <c r="H1412" s="123"/>
      <c r="I1412" s="118"/>
      <c r="J1412" s="110"/>
      <c r="K1412" s="110"/>
      <c r="L1412" s="110"/>
      <c r="M1412" s="112"/>
      <c r="N1412" s="113"/>
    </row>
    <row r="1413" spans="1:15" ht="16.149999999999999" customHeight="1">
      <c r="A1413" s="124"/>
      <c r="B1413" s="125" t="s">
        <v>1115</v>
      </c>
      <c r="C1413" s="126"/>
      <c r="D1413" s="126"/>
      <c r="E1413" s="126"/>
      <c r="F1413" s="126"/>
      <c r="G1413" s="126"/>
      <c r="H1413" s="127"/>
      <c r="I1413" s="126"/>
      <c r="J1413" s="126"/>
      <c r="K1413" s="126"/>
      <c r="L1413" s="126"/>
      <c r="M1413" s="128"/>
      <c r="N1413" s="129"/>
    </row>
    <row r="1414" spans="1:15" ht="16.149999999999999" customHeight="1">
      <c r="A1414" s="130"/>
      <c r="B1414" s="131"/>
      <c r="C1414" s="118"/>
      <c r="D1414" s="33">
        <f>SUMIF('노임(2015)'!$B$4:$B$87,B1414,'노임(2015)'!$C$4:$C$87)+SUMIF('노임(2015)'!$E$4:$E$87,B1414,'노임(2015)'!$F$4:$F$87)</f>
        <v>0</v>
      </c>
      <c r="E1414" s="110"/>
      <c r="F1414" s="110"/>
      <c r="G1414" s="132"/>
      <c r="H1414" s="111"/>
      <c r="I1414" s="110"/>
      <c r="J1414" s="110"/>
      <c r="K1414" s="133"/>
      <c r="L1414" s="118"/>
      <c r="M1414" s="112"/>
      <c r="N1414" s="113"/>
    </row>
    <row r="1415" spans="1:15" ht="16.149999999999999" customHeight="1">
      <c r="A1415" s="130"/>
      <c r="B1415" s="131"/>
      <c r="C1415" s="118"/>
      <c r="D1415" s="33">
        <f>SUMIF('노임(2015)'!$B$4:$B$87,B1415,'노임(2015)'!$C$4:$C$87)+SUMIF('노임(2015)'!$E$4:$E$87,B1415,'노임(2015)'!$F$4:$F$87)</f>
        <v>0</v>
      </c>
      <c r="E1415" s="110"/>
      <c r="F1415" s="110"/>
      <c r="G1415" s="132"/>
      <c r="H1415" s="111"/>
      <c r="I1415" s="110"/>
      <c r="J1415" s="110"/>
      <c r="K1415" s="134"/>
      <c r="L1415" s="118"/>
      <c r="M1415" s="112"/>
      <c r="N1415" s="113"/>
    </row>
    <row r="1416" spans="1:15" ht="18.600000000000001" customHeight="1">
      <c r="A1416" s="130"/>
      <c r="B1416" s="109"/>
      <c r="C1416" s="118"/>
      <c r="D1416" s="33"/>
      <c r="E1416" s="110"/>
      <c r="F1416" s="110"/>
      <c r="G1416" s="132"/>
      <c r="H1416" s="111"/>
      <c r="I1416" s="110"/>
      <c r="J1416" s="110"/>
      <c r="K1416" s="134"/>
      <c r="L1416" s="118"/>
      <c r="M1416" s="112"/>
      <c r="N1416" s="113"/>
      <c r="O1416" s="114" t="s">
        <v>3682</v>
      </c>
    </row>
    <row r="1417" spans="1:15" ht="16.149999999999999" customHeight="1">
      <c r="A1417" s="130"/>
      <c r="B1417" s="109"/>
      <c r="C1417" s="118"/>
      <c r="D1417" s="110"/>
      <c r="E1417" s="110"/>
      <c r="F1417" s="110"/>
      <c r="G1417" s="110"/>
      <c r="H1417" s="111"/>
      <c r="I1417" s="791"/>
      <c r="J1417" s="791"/>
      <c r="K1417" s="118" t="s">
        <v>1164</v>
      </c>
      <c r="L1417" s="118" t="s">
        <v>1582</v>
      </c>
      <c r="M1417" s="112">
        <f>TRUNC(M1414+M1415+M1416)</f>
        <v>0</v>
      </c>
      <c r="N1417" s="113" t="s">
        <v>975</v>
      </c>
      <c r="O1417" s="114" t="s">
        <v>1115</v>
      </c>
    </row>
    <row r="1418" spans="1:15" ht="18.600000000000001" customHeight="1">
      <c r="A1418" s="130"/>
      <c r="B1418" s="109"/>
      <c r="C1418" s="118"/>
      <c r="D1418" s="110"/>
      <c r="E1418" s="110"/>
      <c r="F1418" s="110"/>
      <c r="G1418" s="110"/>
      <c r="H1418" s="111"/>
      <c r="I1418" s="118"/>
      <c r="J1418" s="118"/>
      <c r="K1418" s="118"/>
      <c r="L1418" s="118"/>
      <c r="M1418" s="112"/>
      <c r="N1418" s="113"/>
      <c r="O1418" s="114" t="s">
        <v>3682</v>
      </c>
    </row>
    <row r="1419" spans="1:15" ht="18.600000000000001" customHeight="1">
      <c r="A1419" s="135"/>
      <c r="B1419" s="136"/>
      <c r="C1419" s="137"/>
      <c r="D1419" s="138"/>
      <c r="E1419" s="138"/>
      <c r="F1419" s="138"/>
      <c r="G1419" s="138"/>
      <c r="H1419" s="139"/>
      <c r="I1419" s="137"/>
      <c r="J1419" s="137"/>
      <c r="K1419" s="137"/>
      <c r="L1419" s="137"/>
      <c r="M1419" s="140"/>
      <c r="N1419" s="141"/>
      <c r="O1419" s="114" t="s">
        <v>3682</v>
      </c>
    </row>
    <row r="1420" spans="1:15" ht="16.149999999999999" customHeight="1">
      <c r="A1420" s="124"/>
      <c r="B1420" s="125" t="s">
        <v>1116</v>
      </c>
      <c r="C1420" s="142"/>
      <c r="D1420" s="126"/>
      <c r="E1420" s="126"/>
      <c r="F1420" s="126"/>
      <c r="G1420" s="126"/>
      <c r="H1420" s="127"/>
      <c r="I1420" s="126"/>
      <c r="J1420" s="126"/>
      <c r="K1420" s="126"/>
      <c r="L1420" s="126"/>
      <c r="M1420" s="128"/>
      <c r="N1420" s="129"/>
    </row>
    <row r="1421" spans="1:15" ht="16.149999999999999" customHeight="1">
      <c r="A1421" s="130"/>
      <c r="B1421" s="109"/>
      <c r="C1421" s="118"/>
      <c r="D1421" s="118"/>
      <c r="E1421" s="110"/>
      <c r="F1421" s="118"/>
      <c r="G1421" s="110"/>
      <c r="H1421" s="123"/>
      <c r="I1421" s="110"/>
      <c r="J1421" s="110"/>
      <c r="K1421" s="110"/>
      <c r="L1421" s="118"/>
      <c r="M1421" s="112"/>
      <c r="N1421" s="113"/>
    </row>
    <row r="1422" spans="1:15" ht="16.149999999999999" customHeight="1">
      <c r="A1422" s="130"/>
      <c r="B1422" s="109"/>
      <c r="C1422" s="118"/>
      <c r="D1422" s="145"/>
      <c r="E1422" s="110"/>
      <c r="F1422" s="118"/>
      <c r="G1422" s="110"/>
      <c r="H1422" s="123"/>
      <c r="I1422" s="110"/>
      <c r="J1422" s="110"/>
      <c r="K1422" s="110"/>
      <c r="L1422" s="118"/>
      <c r="M1422" s="112"/>
      <c r="N1422" s="113"/>
    </row>
    <row r="1423" spans="1:15" ht="16.149999999999999" customHeight="1">
      <c r="A1423" s="130"/>
      <c r="B1423" s="109"/>
      <c r="C1423" s="110"/>
      <c r="D1423" s="110"/>
      <c r="E1423" s="110"/>
      <c r="F1423" s="110"/>
      <c r="G1423" s="110"/>
      <c r="H1423" s="111"/>
      <c r="I1423" s="110"/>
      <c r="J1423" s="110"/>
      <c r="K1423" s="118" t="s">
        <v>1164</v>
      </c>
      <c r="L1423" s="118" t="s">
        <v>1582</v>
      </c>
      <c r="M1423" s="112">
        <f>TRUNC(SUM(M1421:M1422))</f>
        <v>0</v>
      </c>
      <c r="N1423" s="113" t="s">
        <v>975</v>
      </c>
    </row>
    <row r="1424" spans="1:15" ht="18.600000000000001" customHeight="1">
      <c r="A1424" s="135"/>
      <c r="B1424" s="136"/>
      <c r="C1424" s="138"/>
      <c r="D1424" s="138"/>
      <c r="E1424" s="138"/>
      <c r="F1424" s="138"/>
      <c r="G1424" s="138"/>
      <c r="H1424" s="139"/>
      <c r="I1424" s="138"/>
      <c r="J1424" s="138"/>
      <c r="K1424" s="137"/>
      <c r="L1424" s="137"/>
      <c r="M1424" s="140"/>
      <c r="N1424" s="141"/>
      <c r="O1424" s="114" t="s">
        <v>3682</v>
      </c>
    </row>
    <row r="1425" spans="1:15" s="152" customFormat="1" ht="16.149999999999999" customHeight="1">
      <c r="A1425" s="146"/>
      <c r="B1425" s="147"/>
      <c r="C1425" s="148"/>
      <c r="D1425" s="148"/>
      <c r="E1425" s="148"/>
      <c r="F1425" s="148"/>
      <c r="G1425" s="148"/>
      <c r="H1425" s="149"/>
      <c r="I1425" s="148"/>
      <c r="J1425" s="148"/>
      <c r="K1425" s="148" t="s">
        <v>1118</v>
      </c>
      <c r="L1425" s="148" t="s">
        <v>1582</v>
      </c>
      <c r="M1425" s="150">
        <f>M1411+M1417+M1423</f>
        <v>412</v>
      </c>
      <c r="N1425" s="151"/>
    </row>
    <row r="1426" spans="1:15" ht="16.149999999999999" customHeight="1">
      <c r="A1426" s="114"/>
    </row>
    <row r="1427" spans="1:15" s="107" customFormat="1" ht="16.149999999999999" customHeight="1">
      <c r="A1427" s="451">
        <f>A1408+1</f>
        <v>76</v>
      </c>
      <c r="B1427" s="99" t="s">
        <v>1100</v>
      </c>
      <c r="C1427" s="100" t="s">
        <v>1526</v>
      </c>
      <c r="D1427" s="101" t="s">
        <v>2449</v>
      </c>
      <c r="E1427" s="102"/>
      <c r="F1427" s="102"/>
      <c r="G1427" s="100"/>
      <c r="H1427" s="171" t="s">
        <v>217</v>
      </c>
      <c r="I1427" s="100"/>
      <c r="J1427" s="101"/>
      <c r="K1427" s="104" t="s">
        <v>847</v>
      </c>
      <c r="L1427" s="100" t="s">
        <v>1526</v>
      </c>
      <c r="M1427" s="105" t="s">
        <v>220</v>
      </c>
      <c r="N1427" s="106"/>
    </row>
    <row r="1428" spans="1:15" ht="16.149999999999999" customHeight="1">
      <c r="A1428" s="108"/>
      <c r="B1428" s="109" t="s">
        <v>588</v>
      </c>
      <c r="C1428" s="110" t="s">
        <v>1582</v>
      </c>
      <c r="D1428" s="110" t="s">
        <v>589</v>
      </c>
      <c r="E1428" s="110" t="s">
        <v>86</v>
      </c>
      <c r="F1428" s="110" t="s">
        <v>590</v>
      </c>
      <c r="G1428" s="110" t="s">
        <v>86</v>
      </c>
      <c r="H1428" s="111" t="s">
        <v>513</v>
      </c>
      <c r="I1428" s="110"/>
      <c r="J1428" s="110"/>
      <c r="K1428" s="110"/>
      <c r="L1428" s="110"/>
      <c r="M1428" s="112"/>
      <c r="N1428" s="113"/>
    </row>
    <row r="1429" spans="1:15" ht="16.149999999999999" customHeight="1">
      <c r="A1429" s="108"/>
      <c r="B1429" s="109"/>
      <c r="C1429" s="110"/>
      <c r="D1429" s="110"/>
      <c r="E1429" s="110"/>
      <c r="F1429" s="110"/>
      <c r="G1429" s="110"/>
      <c r="H1429" s="111"/>
      <c r="I1429" s="110"/>
      <c r="J1429" s="792"/>
      <c r="K1429" s="792"/>
      <c r="L1429" s="110"/>
      <c r="M1429" s="112"/>
      <c r="N1429" s="113"/>
    </row>
    <row r="1430" spans="1:15" ht="16.149999999999999" customHeight="1">
      <c r="A1430" s="115"/>
      <c r="F1430" s="117"/>
      <c r="G1430" s="118"/>
      <c r="H1430" s="119">
        <f>기계경비산출표!$E$372*1000</f>
        <v>41279000</v>
      </c>
      <c r="I1430" s="110" t="s">
        <v>972</v>
      </c>
      <c r="J1430" s="120">
        <v>2450</v>
      </c>
      <c r="K1430" s="118" t="s">
        <v>514</v>
      </c>
      <c r="L1430" s="121" t="s">
        <v>1582</v>
      </c>
      <c r="M1430" s="112">
        <f>TRUNC(H1430*J1430*(10^-7))</f>
        <v>10113</v>
      </c>
      <c r="N1430" s="113" t="s">
        <v>975</v>
      </c>
    </row>
    <row r="1431" spans="1:15" ht="16.149999999999999" customHeight="1">
      <c r="A1431" s="115"/>
      <c r="B1431" s="122"/>
      <c r="C1431" s="118"/>
      <c r="D1431" s="33"/>
      <c r="E1431" s="110"/>
      <c r="F1431" s="118"/>
      <c r="G1431" s="118"/>
      <c r="H1431" s="123"/>
      <c r="I1431" s="118"/>
      <c r="J1431" s="110"/>
      <c r="K1431" s="110"/>
      <c r="L1431" s="110"/>
      <c r="M1431" s="112"/>
      <c r="N1431" s="113"/>
    </row>
    <row r="1432" spans="1:15" ht="16.149999999999999" customHeight="1">
      <c r="A1432" s="124"/>
      <c r="B1432" s="125" t="s">
        <v>1115</v>
      </c>
      <c r="C1432" s="126"/>
      <c r="D1432" s="126"/>
      <c r="E1432" s="126"/>
      <c r="F1432" s="126"/>
      <c r="G1432" s="126"/>
      <c r="H1432" s="127"/>
      <c r="I1432" s="126"/>
      <c r="J1432" s="126"/>
      <c r="K1432" s="126"/>
      <c r="L1432" s="126"/>
      <c r="M1432" s="128"/>
      <c r="N1432" s="129"/>
    </row>
    <row r="1433" spans="1:15" ht="16.149999999999999" customHeight="1">
      <c r="A1433" s="130"/>
      <c r="B1433" s="131" t="s">
        <v>3185</v>
      </c>
      <c r="C1433" s="118"/>
      <c r="D1433" s="33">
        <f>SUMIF('노임(2015)'!$B$4:$B$87,B1433,'노임(2015)'!$C$4:$C$87)+SUMIF('노임(2015)'!$E$4:$E$87,B1433,'노임(2015)'!$F$4:$F$87)</f>
        <v>130411</v>
      </c>
      <c r="E1433" s="110" t="s">
        <v>972</v>
      </c>
      <c r="F1433" s="110" t="s">
        <v>973</v>
      </c>
      <c r="G1433" s="132" t="s">
        <v>974</v>
      </c>
      <c r="H1433" s="111"/>
      <c r="I1433" s="110"/>
      <c r="J1433" s="110"/>
      <c r="K1433" s="133">
        <v>1</v>
      </c>
      <c r="L1433" s="118" t="s">
        <v>1582</v>
      </c>
      <c r="M1433" s="112">
        <f>TRUNC(D1433*(1/8)*(16/12)*(25/20)*K1433)</f>
        <v>27168</v>
      </c>
      <c r="N1433" s="113" t="s">
        <v>975</v>
      </c>
    </row>
    <row r="1434" spans="1:15" ht="16.149999999999999" customHeight="1">
      <c r="A1434" s="130"/>
      <c r="B1434" s="109"/>
      <c r="C1434" s="118"/>
      <c r="D1434" s="33"/>
      <c r="E1434" s="110"/>
      <c r="F1434" s="110"/>
      <c r="G1434" s="132"/>
      <c r="H1434" s="111"/>
      <c r="I1434" s="110"/>
      <c r="J1434" s="110"/>
      <c r="K1434" s="134"/>
      <c r="L1434" s="118"/>
      <c r="M1434" s="112"/>
      <c r="N1434" s="113"/>
    </row>
    <row r="1435" spans="1:15" ht="18.600000000000001" customHeight="1">
      <c r="A1435" s="130"/>
      <c r="B1435" s="109"/>
      <c r="C1435" s="118"/>
      <c r="D1435" s="33"/>
      <c r="E1435" s="110"/>
      <c r="F1435" s="110"/>
      <c r="G1435" s="132"/>
      <c r="H1435" s="111"/>
      <c r="I1435" s="110"/>
      <c r="J1435" s="110"/>
      <c r="K1435" s="134"/>
      <c r="L1435" s="118"/>
      <c r="M1435" s="112"/>
      <c r="N1435" s="113"/>
      <c r="O1435" s="114" t="s">
        <v>3682</v>
      </c>
    </row>
    <row r="1436" spans="1:15" ht="16.149999999999999" customHeight="1">
      <c r="A1436" s="130"/>
      <c r="B1436" s="109"/>
      <c r="C1436" s="118"/>
      <c r="D1436" s="110"/>
      <c r="E1436" s="110"/>
      <c r="F1436" s="110"/>
      <c r="G1436" s="110"/>
      <c r="H1436" s="111"/>
      <c r="I1436" s="791"/>
      <c r="J1436" s="791"/>
      <c r="K1436" s="118" t="s">
        <v>1164</v>
      </c>
      <c r="L1436" s="118" t="s">
        <v>1582</v>
      </c>
      <c r="M1436" s="112">
        <f>TRUNC(M1433+M1434+M1435)</f>
        <v>27168</v>
      </c>
      <c r="N1436" s="113" t="s">
        <v>975</v>
      </c>
      <c r="O1436" s="114" t="s">
        <v>1115</v>
      </c>
    </row>
    <row r="1437" spans="1:15" ht="18.600000000000001" customHeight="1">
      <c r="A1437" s="130"/>
      <c r="B1437" s="109"/>
      <c r="C1437" s="118"/>
      <c r="D1437" s="110"/>
      <c r="E1437" s="110"/>
      <c r="F1437" s="110"/>
      <c r="G1437" s="110"/>
      <c r="H1437" s="111"/>
      <c r="I1437" s="118"/>
      <c r="J1437" s="118"/>
      <c r="K1437" s="118"/>
      <c r="L1437" s="118"/>
      <c r="M1437" s="112"/>
      <c r="N1437" s="113"/>
      <c r="O1437" s="114" t="s">
        <v>3682</v>
      </c>
    </row>
    <row r="1438" spans="1:15" ht="18.600000000000001" customHeight="1">
      <c r="A1438" s="135"/>
      <c r="B1438" s="136"/>
      <c r="C1438" s="137"/>
      <c r="D1438" s="138"/>
      <c r="E1438" s="138"/>
      <c r="F1438" s="138"/>
      <c r="G1438" s="138"/>
      <c r="H1438" s="139"/>
      <c r="I1438" s="137"/>
      <c r="J1438" s="137"/>
      <c r="K1438" s="137"/>
      <c r="L1438" s="137"/>
      <c r="M1438" s="140"/>
      <c r="N1438" s="141"/>
      <c r="O1438" s="114" t="s">
        <v>3682</v>
      </c>
    </row>
    <row r="1439" spans="1:15" ht="16.149999999999999" customHeight="1">
      <c r="A1439" s="124"/>
      <c r="B1439" s="125" t="s">
        <v>1116</v>
      </c>
      <c r="C1439" s="142"/>
      <c r="D1439" s="126"/>
      <c r="E1439" s="126"/>
      <c r="F1439" s="126"/>
      <c r="G1439" s="126"/>
      <c r="H1439" s="127"/>
      <c r="I1439" s="126"/>
      <c r="J1439" s="126"/>
      <c r="K1439" s="126"/>
      <c r="L1439" s="126"/>
      <c r="M1439" s="128"/>
      <c r="N1439" s="129"/>
    </row>
    <row r="1440" spans="1:15" ht="16.149999999999999" customHeight="1">
      <c r="A1440" s="130"/>
      <c r="B1440" s="131"/>
      <c r="C1440" s="118"/>
      <c r="D1440" s="118"/>
      <c r="E1440" s="110"/>
      <c r="F1440" s="118"/>
      <c r="G1440" s="110"/>
      <c r="H1440" s="123"/>
      <c r="I1440" s="110"/>
      <c r="J1440" s="110"/>
      <c r="K1440" s="110"/>
      <c r="L1440" s="118"/>
      <c r="M1440" s="112"/>
      <c r="N1440" s="113"/>
    </row>
    <row r="1441" spans="1:15" ht="16.149999999999999" customHeight="1">
      <c r="A1441" s="130"/>
      <c r="B1441" s="109"/>
      <c r="C1441" s="118"/>
      <c r="D1441" s="145"/>
      <c r="E1441" s="110"/>
      <c r="F1441" s="118"/>
      <c r="G1441" s="110"/>
      <c r="H1441" s="123"/>
      <c r="I1441" s="110"/>
      <c r="J1441" s="110"/>
      <c r="K1441" s="110"/>
      <c r="L1441" s="118"/>
      <c r="M1441" s="112"/>
      <c r="N1441" s="113"/>
    </row>
    <row r="1442" spans="1:15" ht="16.149999999999999" customHeight="1">
      <c r="A1442" s="130"/>
      <c r="B1442" s="109"/>
      <c r="C1442" s="110"/>
      <c r="D1442" s="110"/>
      <c r="E1442" s="110"/>
      <c r="F1442" s="110"/>
      <c r="G1442" s="110"/>
      <c r="H1442" s="111"/>
      <c r="I1442" s="110"/>
      <c r="J1442" s="110"/>
      <c r="K1442" s="118" t="s">
        <v>1164</v>
      </c>
      <c r="L1442" s="118" t="s">
        <v>1582</v>
      </c>
      <c r="M1442" s="112">
        <f>TRUNC(SUM(M1440:M1441))</f>
        <v>0</v>
      </c>
      <c r="N1442" s="113" t="s">
        <v>975</v>
      </c>
    </row>
    <row r="1443" spans="1:15" ht="18.600000000000001" customHeight="1">
      <c r="A1443" s="135"/>
      <c r="B1443" s="136"/>
      <c r="C1443" s="138"/>
      <c r="D1443" s="138"/>
      <c r="E1443" s="138"/>
      <c r="F1443" s="138"/>
      <c r="G1443" s="138"/>
      <c r="H1443" s="139"/>
      <c r="I1443" s="138"/>
      <c r="J1443" s="138"/>
      <c r="K1443" s="137"/>
      <c r="L1443" s="137"/>
      <c r="M1443" s="140"/>
      <c r="N1443" s="141"/>
      <c r="O1443" s="114" t="s">
        <v>3682</v>
      </c>
    </row>
    <row r="1444" spans="1:15" s="152" customFormat="1" ht="16.149999999999999" customHeight="1">
      <c r="A1444" s="146"/>
      <c r="B1444" s="147"/>
      <c r="C1444" s="148"/>
      <c r="D1444" s="148"/>
      <c r="E1444" s="148"/>
      <c r="F1444" s="148"/>
      <c r="G1444" s="148"/>
      <c r="H1444" s="149"/>
      <c r="I1444" s="148"/>
      <c r="J1444" s="148"/>
      <c r="K1444" s="148" t="s">
        <v>1118</v>
      </c>
      <c r="L1444" s="148" t="s">
        <v>1582</v>
      </c>
      <c r="M1444" s="150">
        <f>M1430+M1436+M1442</f>
        <v>37281</v>
      </c>
      <c r="N1444" s="151"/>
    </row>
    <row r="1445" spans="1:15" ht="16.149999999999999" customHeight="1">
      <c r="A1445" s="153"/>
      <c r="B1445" s="125"/>
      <c r="C1445" s="153"/>
      <c r="D1445" s="153"/>
      <c r="E1445" s="153"/>
      <c r="F1445" s="153"/>
      <c r="G1445" s="153"/>
      <c r="H1445" s="154"/>
      <c r="I1445" s="153"/>
      <c r="J1445" s="153"/>
      <c r="K1445" s="153"/>
      <c r="L1445" s="153"/>
      <c r="M1445" s="128"/>
      <c r="N1445" s="142"/>
    </row>
    <row r="1446" spans="1:15" s="107" customFormat="1" ht="16.149999999999999" customHeight="1">
      <c r="A1446" s="451">
        <f>A1427+1</f>
        <v>77</v>
      </c>
      <c r="B1446" s="99" t="s">
        <v>1100</v>
      </c>
      <c r="C1446" s="100" t="s">
        <v>1526</v>
      </c>
      <c r="D1446" s="101" t="s">
        <v>1584</v>
      </c>
      <c r="E1446" s="102"/>
      <c r="F1446" s="102"/>
      <c r="G1446" s="100"/>
      <c r="H1446" s="171" t="s">
        <v>221</v>
      </c>
      <c r="I1446" s="100"/>
      <c r="J1446" s="101"/>
      <c r="K1446" s="104" t="s">
        <v>847</v>
      </c>
      <c r="L1446" s="100" t="s">
        <v>1526</v>
      </c>
      <c r="M1446" s="105" t="s">
        <v>222</v>
      </c>
      <c r="N1446" s="106"/>
    </row>
    <row r="1447" spans="1:15" ht="16.149999999999999" customHeight="1">
      <c r="A1447" s="108"/>
      <c r="B1447" s="109" t="s">
        <v>588</v>
      </c>
      <c r="C1447" s="110" t="s">
        <v>1582</v>
      </c>
      <c r="D1447" s="110" t="s">
        <v>589</v>
      </c>
      <c r="E1447" s="110" t="s">
        <v>86</v>
      </c>
      <c r="F1447" s="110" t="s">
        <v>590</v>
      </c>
      <c r="G1447" s="110" t="s">
        <v>86</v>
      </c>
      <c r="H1447" s="111" t="s">
        <v>513</v>
      </c>
      <c r="I1447" s="110"/>
      <c r="J1447" s="110"/>
      <c r="K1447" s="110"/>
      <c r="L1447" s="110"/>
      <c r="M1447" s="112"/>
      <c r="N1447" s="113"/>
    </row>
    <row r="1448" spans="1:15" ht="16.149999999999999" customHeight="1">
      <c r="A1448" s="108"/>
      <c r="B1448" s="109"/>
      <c r="C1448" s="110"/>
      <c r="D1448" s="110"/>
      <c r="E1448" s="110"/>
      <c r="F1448" s="110"/>
      <c r="G1448" s="110"/>
      <c r="H1448" s="111"/>
      <c r="I1448" s="110"/>
      <c r="J1448" s="792"/>
      <c r="K1448" s="792"/>
      <c r="L1448" s="110"/>
      <c r="M1448" s="112"/>
      <c r="N1448" s="113"/>
    </row>
    <row r="1449" spans="1:15" ht="16.149999999999999" customHeight="1">
      <c r="A1449" s="115"/>
      <c r="F1449" s="117"/>
      <c r="G1449" s="118"/>
      <c r="H1449" s="119">
        <f>기계경비산출표!$E$373*1000</f>
        <v>2814000</v>
      </c>
      <c r="I1449" s="110" t="s">
        <v>972</v>
      </c>
      <c r="J1449" s="120">
        <v>2500</v>
      </c>
      <c r="K1449" s="118" t="s">
        <v>514</v>
      </c>
      <c r="L1449" s="121" t="s">
        <v>1582</v>
      </c>
      <c r="M1449" s="112">
        <f>TRUNC(H1449*J1449*(10^-7))</f>
        <v>703</v>
      </c>
      <c r="N1449" s="113" t="s">
        <v>975</v>
      </c>
    </row>
    <row r="1450" spans="1:15" ht="16.149999999999999" customHeight="1">
      <c r="A1450" s="115"/>
      <c r="B1450" s="122"/>
      <c r="C1450" s="118"/>
      <c r="D1450" s="33"/>
      <c r="E1450" s="110"/>
      <c r="F1450" s="118"/>
      <c r="G1450" s="118"/>
      <c r="H1450" s="123"/>
      <c r="I1450" s="118"/>
      <c r="J1450" s="110"/>
      <c r="K1450" s="110"/>
      <c r="L1450" s="110"/>
      <c r="M1450" s="112"/>
      <c r="N1450" s="113"/>
    </row>
    <row r="1451" spans="1:15" ht="16.149999999999999" customHeight="1">
      <c r="A1451" s="124"/>
      <c r="B1451" s="125" t="s">
        <v>1115</v>
      </c>
      <c r="C1451" s="126"/>
      <c r="D1451" s="126"/>
      <c r="E1451" s="126"/>
      <c r="F1451" s="126"/>
      <c r="G1451" s="126"/>
      <c r="H1451" s="127"/>
      <c r="I1451" s="126"/>
      <c r="J1451" s="126"/>
      <c r="K1451" s="126"/>
      <c r="L1451" s="126"/>
      <c r="M1451" s="128"/>
      <c r="N1451" s="129"/>
    </row>
    <row r="1452" spans="1:15" ht="16.149999999999999" customHeight="1">
      <c r="A1452" s="130"/>
      <c r="B1452" s="131"/>
      <c r="C1452" s="118"/>
      <c r="D1452" s="33">
        <f>SUMIF('노임(2015)'!$B$4:$B$87,B1452,'노임(2015)'!$C$4:$C$87)+SUMIF('노임(2015)'!$E$4:$E$87,B1452,'노임(2015)'!$F$4:$F$87)</f>
        <v>0</v>
      </c>
      <c r="E1452" s="110"/>
      <c r="F1452" s="110"/>
      <c r="G1452" s="132"/>
      <c r="H1452" s="111"/>
      <c r="I1452" s="110"/>
      <c r="J1452" s="110"/>
      <c r="K1452" s="133"/>
      <c r="L1452" s="118"/>
      <c r="M1452" s="112"/>
      <c r="N1452" s="113"/>
    </row>
    <row r="1453" spans="1:15" ht="16.149999999999999" customHeight="1">
      <c r="A1453" s="130"/>
      <c r="B1453" s="109"/>
      <c r="C1453" s="118"/>
      <c r="D1453" s="33">
        <f>SUMIF('노임(2015)'!$B$4:$B$87,B1453,'노임(2015)'!$C$4:$C$87)+SUMIF('노임(2015)'!$E$4:$E$87,B1453,'노임(2015)'!$F$4:$F$87)</f>
        <v>0</v>
      </c>
      <c r="E1453" s="110"/>
      <c r="F1453" s="110"/>
      <c r="G1453" s="132"/>
      <c r="H1453" s="111"/>
      <c r="I1453" s="110"/>
      <c r="J1453" s="110"/>
      <c r="K1453" s="134"/>
      <c r="L1453" s="118"/>
      <c r="M1453" s="112"/>
      <c r="N1453" s="113"/>
    </row>
    <row r="1454" spans="1:15" ht="18.600000000000001" customHeight="1">
      <c r="A1454" s="130"/>
      <c r="B1454" s="109"/>
      <c r="C1454" s="118"/>
      <c r="D1454" s="33"/>
      <c r="E1454" s="110"/>
      <c r="F1454" s="110"/>
      <c r="G1454" s="132"/>
      <c r="H1454" s="111"/>
      <c r="I1454" s="110"/>
      <c r="J1454" s="110"/>
      <c r="K1454" s="134"/>
      <c r="L1454" s="118"/>
      <c r="M1454" s="112"/>
      <c r="N1454" s="113"/>
      <c r="O1454" s="114" t="s">
        <v>3682</v>
      </c>
    </row>
    <row r="1455" spans="1:15" ht="16.149999999999999" customHeight="1">
      <c r="A1455" s="130"/>
      <c r="B1455" s="109"/>
      <c r="C1455" s="118"/>
      <c r="D1455" s="110"/>
      <c r="E1455" s="110"/>
      <c r="F1455" s="110"/>
      <c r="G1455" s="110"/>
      <c r="H1455" s="111"/>
      <c r="I1455" s="791"/>
      <c r="J1455" s="791"/>
      <c r="K1455" s="118" t="s">
        <v>1164</v>
      </c>
      <c r="L1455" s="118" t="s">
        <v>1582</v>
      </c>
      <c r="M1455" s="112">
        <f>TRUNC(M1452+M1453+M1454)</f>
        <v>0</v>
      </c>
      <c r="N1455" s="113" t="s">
        <v>975</v>
      </c>
      <c r="O1455" s="114" t="s">
        <v>1115</v>
      </c>
    </row>
    <row r="1456" spans="1:15" ht="18.600000000000001" customHeight="1">
      <c r="A1456" s="130"/>
      <c r="B1456" s="109"/>
      <c r="C1456" s="118"/>
      <c r="D1456" s="110"/>
      <c r="E1456" s="110"/>
      <c r="F1456" s="110"/>
      <c r="G1456" s="110"/>
      <c r="H1456" s="111"/>
      <c r="I1456" s="118"/>
      <c r="J1456" s="118"/>
      <c r="K1456" s="118"/>
      <c r="L1456" s="118"/>
      <c r="M1456" s="112"/>
      <c r="N1456" s="113"/>
      <c r="O1456" s="114" t="s">
        <v>3682</v>
      </c>
    </row>
    <row r="1457" spans="1:15" ht="18.600000000000001" customHeight="1">
      <c r="A1457" s="135"/>
      <c r="B1457" s="136"/>
      <c r="C1457" s="137"/>
      <c r="D1457" s="138"/>
      <c r="E1457" s="138"/>
      <c r="F1457" s="138"/>
      <c r="G1457" s="138"/>
      <c r="H1457" s="139"/>
      <c r="I1457" s="137"/>
      <c r="J1457" s="137"/>
      <c r="K1457" s="137"/>
      <c r="L1457" s="137"/>
      <c r="M1457" s="140"/>
      <c r="N1457" s="141"/>
      <c r="O1457" s="114" t="s">
        <v>3682</v>
      </c>
    </row>
    <row r="1458" spans="1:15" ht="16.149999999999999" customHeight="1">
      <c r="A1458" s="124"/>
      <c r="B1458" s="125" t="s">
        <v>1116</v>
      </c>
      <c r="C1458" s="142"/>
      <c r="D1458" s="126"/>
      <c r="E1458" s="126"/>
      <c r="F1458" s="126"/>
      <c r="G1458" s="126"/>
      <c r="H1458" s="127"/>
      <c r="I1458" s="126"/>
      <c r="J1458" s="126"/>
      <c r="K1458" s="126"/>
      <c r="L1458" s="126"/>
      <c r="M1458" s="128"/>
      <c r="N1458" s="129"/>
    </row>
    <row r="1459" spans="1:15" ht="16.149999999999999" customHeight="1">
      <c r="A1459" s="130"/>
      <c r="B1459" s="131"/>
      <c r="C1459" s="118"/>
      <c r="D1459" s="118"/>
      <c r="E1459" s="110"/>
      <c r="F1459" s="118"/>
      <c r="G1459" s="110"/>
      <c r="H1459" s="123"/>
      <c r="I1459" s="110"/>
      <c r="J1459" s="110"/>
      <c r="K1459" s="110"/>
      <c r="L1459" s="118"/>
      <c r="M1459" s="112"/>
      <c r="N1459" s="113"/>
    </row>
    <row r="1460" spans="1:15" ht="16.149999999999999" customHeight="1">
      <c r="A1460" s="130"/>
      <c r="B1460" s="109"/>
      <c r="C1460" s="118"/>
      <c r="D1460" s="145"/>
      <c r="E1460" s="110"/>
      <c r="F1460" s="118"/>
      <c r="G1460" s="110"/>
      <c r="H1460" s="123"/>
      <c r="I1460" s="110"/>
      <c r="J1460" s="110"/>
      <c r="K1460" s="110"/>
      <c r="L1460" s="118"/>
      <c r="M1460" s="112"/>
      <c r="N1460" s="113"/>
    </row>
    <row r="1461" spans="1:15" ht="16.149999999999999" customHeight="1">
      <c r="A1461" s="130"/>
      <c r="B1461" s="109"/>
      <c r="C1461" s="110"/>
      <c r="D1461" s="110"/>
      <c r="E1461" s="110"/>
      <c r="F1461" s="110"/>
      <c r="G1461" s="110"/>
      <c r="H1461" s="111"/>
      <c r="I1461" s="110"/>
      <c r="J1461" s="110"/>
      <c r="K1461" s="118" t="s">
        <v>1164</v>
      </c>
      <c r="L1461" s="118" t="s">
        <v>1582</v>
      </c>
      <c r="M1461" s="112">
        <f>TRUNC(SUM(M1459:M1460))</f>
        <v>0</v>
      </c>
      <c r="N1461" s="113" t="s">
        <v>975</v>
      </c>
    </row>
    <row r="1462" spans="1:15" ht="18.600000000000001" customHeight="1">
      <c r="A1462" s="135"/>
      <c r="B1462" s="136"/>
      <c r="C1462" s="138"/>
      <c r="D1462" s="138"/>
      <c r="E1462" s="138"/>
      <c r="F1462" s="138"/>
      <c r="G1462" s="138"/>
      <c r="H1462" s="139"/>
      <c r="I1462" s="138"/>
      <c r="J1462" s="138"/>
      <c r="K1462" s="137"/>
      <c r="L1462" s="137"/>
      <c r="M1462" s="140"/>
      <c r="N1462" s="141"/>
      <c r="O1462" s="114" t="s">
        <v>3682</v>
      </c>
    </row>
    <row r="1463" spans="1:15" s="152" customFormat="1" ht="16.149999999999999" customHeight="1">
      <c r="A1463" s="146"/>
      <c r="B1463" s="147"/>
      <c r="C1463" s="148"/>
      <c r="D1463" s="148"/>
      <c r="E1463" s="148"/>
      <c r="F1463" s="148"/>
      <c r="G1463" s="148"/>
      <c r="H1463" s="149"/>
      <c r="I1463" s="148"/>
      <c r="J1463" s="148"/>
      <c r="K1463" s="148" t="s">
        <v>1118</v>
      </c>
      <c r="L1463" s="148" t="s">
        <v>1582</v>
      </c>
      <c r="M1463" s="150">
        <f>M1449+M1455+M1461</f>
        <v>703</v>
      </c>
      <c r="N1463" s="151"/>
    </row>
    <row r="1464" spans="1:15" ht="16.149999999999999" customHeight="1">
      <c r="A1464" s="114"/>
    </row>
    <row r="1465" spans="1:15" s="107" customFormat="1" ht="16.149999999999999" customHeight="1">
      <c r="A1465" s="451">
        <f>A1446+1</f>
        <v>78</v>
      </c>
      <c r="B1465" s="99" t="s">
        <v>1100</v>
      </c>
      <c r="C1465" s="100" t="s">
        <v>1526</v>
      </c>
      <c r="D1465" s="101" t="s">
        <v>491</v>
      </c>
      <c r="E1465" s="102"/>
      <c r="F1465" s="102"/>
      <c r="G1465" s="100"/>
      <c r="H1465" s="103" t="s">
        <v>1527</v>
      </c>
      <c r="I1465" s="100" t="s">
        <v>1526</v>
      </c>
      <c r="J1465" s="102" t="s">
        <v>87</v>
      </c>
      <c r="K1465" s="104" t="s">
        <v>847</v>
      </c>
      <c r="L1465" s="100" t="s">
        <v>1526</v>
      </c>
      <c r="M1465" s="105" t="s">
        <v>223</v>
      </c>
      <c r="N1465" s="106"/>
    </row>
    <row r="1466" spans="1:15" ht="16.149999999999999" customHeight="1">
      <c r="A1466" s="108"/>
      <c r="B1466" s="109" t="s">
        <v>588</v>
      </c>
      <c r="C1466" s="110" t="s">
        <v>1582</v>
      </c>
      <c r="D1466" s="110" t="s">
        <v>589</v>
      </c>
      <c r="E1466" s="110" t="s">
        <v>86</v>
      </c>
      <c r="F1466" s="110" t="s">
        <v>590</v>
      </c>
      <c r="G1466" s="110" t="s">
        <v>86</v>
      </c>
      <c r="H1466" s="111" t="s">
        <v>513</v>
      </c>
      <c r="I1466" s="110"/>
      <c r="J1466" s="110"/>
      <c r="K1466" s="110"/>
      <c r="L1466" s="110"/>
      <c r="M1466" s="112"/>
      <c r="N1466" s="113"/>
    </row>
    <row r="1467" spans="1:15" ht="16.149999999999999" customHeight="1">
      <c r="A1467" s="108"/>
      <c r="B1467" s="109"/>
      <c r="C1467" s="110"/>
      <c r="D1467" s="110"/>
      <c r="E1467" s="110"/>
      <c r="F1467" s="110"/>
      <c r="G1467" s="110"/>
      <c r="H1467" s="111"/>
      <c r="I1467" s="110"/>
      <c r="J1467" s="792"/>
      <c r="K1467" s="792"/>
      <c r="L1467" s="110"/>
      <c r="M1467" s="112"/>
      <c r="N1467" s="113"/>
    </row>
    <row r="1468" spans="1:15" ht="16.149999999999999" customHeight="1">
      <c r="A1468" s="115"/>
      <c r="F1468" s="117"/>
      <c r="G1468" s="118"/>
      <c r="H1468" s="119">
        <f>기계경비산출표!$E$375*1000</f>
        <v>416772000</v>
      </c>
      <c r="I1468" s="110" t="s">
        <v>972</v>
      </c>
      <c r="J1468" s="120">
        <v>3944</v>
      </c>
      <c r="K1468" s="118" t="s">
        <v>514</v>
      </c>
      <c r="L1468" s="121" t="s">
        <v>1582</v>
      </c>
      <c r="M1468" s="112">
        <f>TRUNC(H1468*J1468*(10^-7))</f>
        <v>164374</v>
      </c>
      <c r="N1468" s="113" t="s">
        <v>975</v>
      </c>
    </row>
    <row r="1469" spans="1:15" ht="16.149999999999999" customHeight="1">
      <c r="A1469" s="115"/>
      <c r="B1469" s="122"/>
      <c r="C1469" s="118"/>
      <c r="D1469" s="33"/>
      <c r="E1469" s="110"/>
      <c r="F1469" s="118"/>
      <c r="G1469" s="118"/>
      <c r="H1469" s="123"/>
      <c r="I1469" s="118"/>
      <c r="J1469" s="110"/>
      <c r="K1469" s="110"/>
      <c r="L1469" s="110"/>
      <c r="M1469" s="112"/>
      <c r="N1469" s="113"/>
    </row>
    <row r="1470" spans="1:15" ht="16.149999999999999" customHeight="1">
      <c r="A1470" s="124"/>
      <c r="B1470" s="125" t="s">
        <v>1115</v>
      </c>
      <c r="C1470" s="126"/>
      <c r="D1470" s="126"/>
      <c r="E1470" s="126"/>
      <c r="F1470" s="126"/>
      <c r="G1470" s="126"/>
      <c r="H1470" s="127"/>
      <c r="I1470" s="126"/>
      <c r="J1470" s="126"/>
      <c r="K1470" s="126"/>
      <c r="L1470" s="126"/>
      <c r="M1470" s="128"/>
      <c r="N1470" s="129"/>
    </row>
    <row r="1471" spans="1:15" ht="16.149999999999999" customHeight="1">
      <c r="A1471" s="130"/>
      <c r="B1471" s="131" t="s">
        <v>3185</v>
      </c>
      <c r="C1471" s="118"/>
      <c r="D1471" s="33">
        <f>SUMIF('노임(2015)'!$B$4:$B$87,B1471,'노임(2015)'!$C$4:$C$87)+SUMIF('노임(2015)'!$E$4:$E$87,B1471,'노임(2015)'!$F$4:$F$87)</f>
        <v>130411</v>
      </c>
      <c r="E1471" s="110" t="s">
        <v>972</v>
      </c>
      <c r="F1471" s="110" t="s">
        <v>973</v>
      </c>
      <c r="G1471" s="132" t="s">
        <v>974</v>
      </c>
      <c r="H1471" s="111"/>
      <c r="I1471" s="110"/>
      <c r="J1471" s="110"/>
      <c r="K1471" s="133">
        <v>1</v>
      </c>
      <c r="L1471" s="118" t="s">
        <v>1582</v>
      </c>
      <c r="M1471" s="112">
        <f>TRUNC(D1471*(1/8)*(16/12)*(25/20)*K1471)</f>
        <v>27168</v>
      </c>
      <c r="N1471" s="113" t="s">
        <v>975</v>
      </c>
    </row>
    <row r="1472" spans="1:15" ht="16.149999999999999" customHeight="1">
      <c r="A1472" s="130"/>
      <c r="B1472" s="131"/>
      <c r="C1472" s="118"/>
      <c r="D1472" s="33">
        <f>SUMIF('노임(2015)'!$B$4:$B$87,B1472,'노임(2015)'!$C$4:$C$87)+SUMIF('노임(2015)'!$E$4:$E$87,B1472,'노임(2015)'!$F$4:$F$87)</f>
        <v>0</v>
      </c>
      <c r="E1472" s="110"/>
      <c r="F1472" s="110"/>
      <c r="G1472" s="132"/>
      <c r="H1472" s="111"/>
      <c r="I1472" s="110"/>
      <c r="J1472" s="110"/>
      <c r="K1472" s="134"/>
      <c r="L1472" s="118"/>
      <c r="M1472" s="112"/>
      <c r="N1472" s="113"/>
    </row>
    <row r="1473" spans="1:15" ht="18.600000000000001" customHeight="1">
      <c r="A1473" s="130"/>
      <c r="B1473" s="109"/>
      <c r="C1473" s="118"/>
      <c r="D1473" s="33"/>
      <c r="E1473" s="110"/>
      <c r="F1473" s="110"/>
      <c r="G1473" s="132"/>
      <c r="H1473" s="111"/>
      <c r="I1473" s="110"/>
      <c r="J1473" s="110"/>
      <c r="K1473" s="134"/>
      <c r="L1473" s="118"/>
      <c r="M1473" s="112"/>
      <c r="N1473" s="113"/>
      <c r="O1473" s="114" t="s">
        <v>3682</v>
      </c>
    </row>
    <row r="1474" spans="1:15" ht="16.149999999999999" customHeight="1">
      <c r="A1474" s="130"/>
      <c r="B1474" s="109"/>
      <c r="C1474" s="118"/>
      <c r="D1474" s="110"/>
      <c r="E1474" s="110"/>
      <c r="F1474" s="110"/>
      <c r="G1474" s="110"/>
      <c r="H1474" s="111"/>
      <c r="I1474" s="791"/>
      <c r="J1474" s="791"/>
      <c r="K1474" s="118" t="s">
        <v>1164</v>
      </c>
      <c r="L1474" s="118" t="s">
        <v>1582</v>
      </c>
      <c r="M1474" s="112">
        <f>TRUNC(M1471+M1472+M1473)</f>
        <v>27168</v>
      </c>
      <c r="N1474" s="113" t="s">
        <v>975</v>
      </c>
      <c r="O1474" s="114" t="s">
        <v>1115</v>
      </c>
    </row>
    <row r="1475" spans="1:15" ht="18.600000000000001" customHeight="1">
      <c r="A1475" s="130"/>
      <c r="B1475" s="109"/>
      <c r="C1475" s="118"/>
      <c r="D1475" s="110"/>
      <c r="E1475" s="110"/>
      <c r="F1475" s="110"/>
      <c r="G1475" s="110"/>
      <c r="H1475" s="111"/>
      <c r="I1475" s="118"/>
      <c r="J1475" s="118"/>
      <c r="K1475" s="118"/>
      <c r="L1475" s="118"/>
      <c r="M1475" s="112"/>
      <c r="N1475" s="113"/>
      <c r="O1475" s="114" t="s">
        <v>3682</v>
      </c>
    </row>
    <row r="1476" spans="1:15" ht="18.600000000000001" customHeight="1">
      <c r="A1476" s="135"/>
      <c r="B1476" s="136"/>
      <c r="C1476" s="137"/>
      <c r="D1476" s="138"/>
      <c r="E1476" s="138"/>
      <c r="F1476" s="138"/>
      <c r="G1476" s="138"/>
      <c r="H1476" s="139"/>
      <c r="I1476" s="137"/>
      <c r="J1476" s="137"/>
      <c r="K1476" s="137"/>
      <c r="L1476" s="137"/>
      <c r="M1476" s="140"/>
      <c r="N1476" s="141"/>
      <c r="O1476" s="114" t="s">
        <v>3682</v>
      </c>
    </row>
    <row r="1477" spans="1:15" ht="16.149999999999999" customHeight="1">
      <c r="A1477" s="124"/>
      <c r="B1477" s="125" t="s">
        <v>1116</v>
      </c>
      <c r="C1477" s="142"/>
      <c r="D1477" s="126"/>
      <c r="E1477" s="126"/>
      <c r="F1477" s="126"/>
      <c r="G1477" s="126"/>
      <c r="H1477" s="127"/>
      <c r="I1477" s="126"/>
      <c r="J1477" s="126"/>
      <c r="K1477" s="126"/>
      <c r="L1477" s="126"/>
      <c r="M1477" s="128"/>
      <c r="N1477" s="129"/>
    </row>
    <row r="1478" spans="1:15" ht="16.149999999999999" customHeight="1">
      <c r="A1478" s="130"/>
      <c r="B1478" s="131" t="s">
        <v>1145</v>
      </c>
      <c r="C1478" s="118" t="s">
        <v>1526</v>
      </c>
      <c r="D1478" s="118">
        <v>52.7</v>
      </c>
      <c r="E1478" s="110" t="s">
        <v>456</v>
      </c>
      <c r="F1478" s="118" t="s">
        <v>972</v>
      </c>
      <c r="G1478" s="110"/>
      <c r="H1478" s="123">
        <f>중기기준!G35</f>
        <v>1114.9000000000001</v>
      </c>
      <c r="I1478" s="110" t="s">
        <v>975</v>
      </c>
      <c r="J1478" s="110"/>
      <c r="K1478" s="110"/>
      <c r="L1478" s="118" t="s">
        <v>1582</v>
      </c>
      <c r="M1478" s="112">
        <f>TRUNC(D1478*H1478,2)</f>
        <v>58755.23</v>
      </c>
      <c r="N1478" s="113" t="s">
        <v>975</v>
      </c>
    </row>
    <row r="1479" spans="1:15" ht="16.149999999999999" customHeight="1">
      <c r="A1479" s="130"/>
      <c r="B1479" s="109" t="s">
        <v>1556</v>
      </c>
      <c r="C1479" s="118" t="s">
        <v>1526</v>
      </c>
      <c r="D1479" s="145">
        <v>0.16</v>
      </c>
      <c r="E1479" s="110"/>
      <c r="F1479" s="118" t="s">
        <v>972</v>
      </c>
      <c r="G1479" s="110"/>
      <c r="H1479" s="123">
        <f>M1478</f>
        <v>58755.23</v>
      </c>
      <c r="I1479" s="110" t="s">
        <v>975</v>
      </c>
      <c r="J1479" s="110"/>
      <c r="K1479" s="110"/>
      <c r="L1479" s="118" t="s">
        <v>1582</v>
      </c>
      <c r="M1479" s="112">
        <f>TRUNC(D1479*H1479,2)</f>
        <v>9400.83</v>
      </c>
      <c r="N1479" s="113" t="s">
        <v>975</v>
      </c>
    </row>
    <row r="1480" spans="1:15" ht="16.149999999999999" customHeight="1">
      <c r="A1480" s="130"/>
      <c r="B1480" s="109"/>
      <c r="C1480" s="110"/>
      <c r="D1480" s="110"/>
      <c r="E1480" s="110"/>
      <c r="F1480" s="110"/>
      <c r="G1480" s="110"/>
      <c r="H1480" s="111"/>
      <c r="I1480" s="110"/>
      <c r="J1480" s="110"/>
      <c r="K1480" s="118" t="s">
        <v>1164</v>
      </c>
      <c r="L1480" s="118" t="s">
        <v>1582</v>
      </c>
      <c r="M1480" s="112">
        <f>TRUNC(SUM(M1478:M1479))</f>
        <v>68156</v>
      </c>
      <c r="N1480" s="113" t="s">
        <v>975</v>
      </c>
    </row>
    <row r="1481" spans="1:15" ht="18.600000000000001" customHeight="1">
      <c r="A1481" s="135"/>
      <c r="B1481" s="136"/>
      <c r="C1481" s="138"/>
      <c r="D1481" s="138"/>
      <c r="E1481" s="138"/>
      <c r="F1481" s="138"/>
      <c r="G1481" s="138"/>
      <c r="H1481" s="139"/>
      <c r="I1481" s="138"/>
      <c r="J1481" s="138"/>
      <c r="K1481" s="137"/>
      <c r="L1481" s="137"/>
      <c r="M1481" s="140"/>
      <c r="N1481" s="141"/>
      <c r="O1481" s="114" t="s">
        <v>3682</v>
      </c>
    </row>
    <row r="1482" spans="1:15" s="152" customFormat="1" ht="16.149999999999999" customHeight="1">
      <c r="A1482" s="146"/>
      <c r="B1482" s="147"/>
      <c r="C1482" s="148"/>
      <c r="D1482" s="148"/>
      <c r="E1482" s="148"/>
      <c r="F1482" s="148"/>
      <c r="G1482" s="148"/>
      <c r="H1482" s="149"/>
      <c r="I1482" s="148"/>
      <c r="J1482" s="148"/>
      <c r="K1482" s="148" t="s">
        <v>1118</v>
      </c>
      <c r="L1482" s="148" t="s">
        <v>1582</v>
      </c>
      <c r="M1482" s="150">
        <f>M1468+M1474+M1480</f>
        <v>259698</v>
      </c>
      <c r="N1482" s="151"/>
    </row>
    <row r="1483" spans="1:15" ht="16.149999999999999" customHeight="1">
      <c r="A1483" s="153"/>
      <c r="B1483" s="125"/>
      <c r="C1483" s="153"/>
      <c r="D1483" s="153"/>
      <c r="E1483" s="153"/>
      <c r="F1483" s="153"/>
      <c r="G1483" s="153"/>
      <c r="H1483" s="154"/>
      <c r="I1483" s="153"/>
      <c r="J1483" s="153"/>
      <c r="K1483" s="153"/>
      <c r="L1483" s="153"/>
      <c r="M1483" s="128"/>
      <c r="N1483" s="142"/>
    </row>
    <row r="1484" spans="1:15" s="107" customFormat="1" ht="16.149999999999999" customHeight="1">
      <c r="A1484" s="451">
        <f>A1465+1</f>
        <v>79</v>
      </c>
      <c r="B1484" s="99" t="s">
        <v>1100</v>
      </c>
      <c r="C1484" s="100" t="s">
        <v>1526</v>
      </c>
      <c r="D1484" s="101" t="s">
        <v>1585</v>
      </c>
      <c r="E1484" s="102"/>
      <c r="F1484" s="102"/>
      <c r="G1484" s="100"/>
      <c r="H1484" s="171" t="s">
        <v>224</v>
      </c>
      <c r="I1484" s="100"/>
      <c r="J1484" s="101"/>
      <c r="K1484" s="104" t="s">
        <v>847</v>
      </c>
      <c r="L1484" s="100" t="s">
        <v>1526</v>
      </c>
      <c r="M1484" s="105" t="str">
        <f>기계경비산출표!$B$393</f>
        <v>6330-0015</v>
      </c>
      <c r="N1484" s="106"/>
    </row>
    <row r="1485" spans="1:15" ht="16.149999999999999" customHeight="1">
      <c r="A1485" s="108"/>
      <c r="B1485" s="109" t="s">
        <v>588</v>
      </c>
      <c r="C1485" s="110" t="s">
        <v>1582</v>
      </c>
      <c r="D1485" s="110" t="s">
        <v>589</v>
      </c>
      <c r="E1485" s="110" t="s">
        <v>86</v>
      </c>
      <c r="F1485" s="110" t="s">
        <v>590</v>
      </c>
      <c r="G1485" s="110" t="s">
        <v>86</v>
      </c>
      <c r="H1485" s="111" t="s">
        <v>513</v>
      </c>
      <c r="I1485" s="110"/>
      <c r="J1485" s="110"/>
      <c r="K1485" s="110"/>
      <c r="L1485" s="110"/>
      <c r="M1485" s="112"/>
      <c r="N1485" s="113"/>
    </row>
    <row r="1486" spans="1:15" ht="16.149999999999999" customHeight="1">
      <c r="A1486" s="108"/>
      <c r="B1486" s="109"/>
      <c r="C1486" s="110"/>
      <c r="D1486" s="110"/>
      <c r="E1486" s="110"/>
      <c r="F1486" s="110"/>
      <c r="G1486" s="110"/>
      <c r="H1486" s="111"/>
      <c r="I1486" s="110"/>
      <c r="J1486" s="792"/>
      <c r="K1486" s="792"/>
      <c r="L1486" s="110"/>
      <c r="M1486" s="112"/>
      <c r="N1486" s="113"/>
    </row>
    <row r="1487" spans="1:15" ht="16.149999999999999" customHeight="1">
      <c r="A1487" s="115"/>
      <c r="F1487" s="117"/>
      <c r="G1487" s="118"/>
      <c r="H1487" s="119">
        <f>기계경비산출표!$E$393*1000</f>
        <v>26681000</v>
      </c>
      <c r="I1487" s="110" t="s">
        <v>972</v>
      </c>
      <c r="J1487" s="120">
        <v>2614</v>
      </c>
      <c r="K1487" s="118" t="s">
        <v>514</v>
      </c>
      <c r="L1487" s="121" t="s">
        <v>1582</v>
      </c>
      <c r="M1487" s="112">
        <f>TRUNC(H1487*J1487*(10^-7))</f>
        <v>6974</v>
      </c>
      <c r="N1487" s="113" t="s">
        <v>975</v>
      </c>
    </row>
    <row r="1488" spans="1:15" ht="16.149999999999999" customHeight="1">
      <c r="A1488" s="115"/>
      <c r="B1488" s="122"/>
      <c r="C1488" s="118"/>
      <c r="D1488" s="33"/>
      <c r="E1488" s="110"/>
      <c r="F1488" s="118"/>
      <c r="G1488" s="118"/>
      <c r="H1488" s="123"/>
      <c r="I1488" s="118"/>
      <c r="J1488" s="110"/>
      <c r="K1488" s="110"/>
      <c r="L1488" s="110"/>
      <c r="M1488" s="112"/>
      <c r="N1488" s="113"/>
    </row>
    <row r="1489" spans="1:15" ht="16.149999999999999" customHeight="1">
      <c r="A1489" s="124"/>
      <c r="B1489" s="125" t="s">
        <v>1115</v>
      </c>
      <c r="C1489" s="126"/>
      <c r="D1489" s="126"/>
      <c r="E1489" s="126"/>
      <c r="F1489" s="126"/>
      <c r="G1489" s="126"/>
      <c r="H1489" s="127"/>
      <c r="I1489" s="126"/>
      <c r="J1489" s="126"/>
      <c r="K1489" s="126"/>
      <c r="L1489" s="126"/>
      <c r="M1489" s="128"/>
      <c r="N1489" s="129"/>
    </row>
    <row r="1490" spans="1:15" ht="16.149999999999999" customHeight="1">
      <c r="A1490" s="130"/>
      <c r="B1490" s="131" t="s">
        <v>3185</v>
      </c>
      <c r="C1490" s="118"/>
      <c r="D1490" s="33">
        <f>SUMIF('노임(2015)'!$B$4:$B$87,B1490,'노임(2015)'!$C$4:$C$87)+SUMIF('노임(2015)'!$E$4:$E$87,B1490,'노임(2015)'!$F$4:$F$87)</f>
        <v>130411</v>
      </c>
      <c r="E1490" s="110" t="s">
        <v>972</v>
      </c>
      <c r="F1490" s="110" t="s">
        <v>973</v>
      </c>
      <c r="G1490" s="132" t="s">
        <v>974</v>
      </c>
      <c r="H1490" s="111"/>
      <c r="I1490" s="110"/>
      <c r="J1490" s="110"/>
      <c r="K1490" s="133">
        <v>1</v>
      </c>
      <c r="L1490" s="118" t="s">
        <v>1582</v>
      </c>
      <c r="M1490" s="112">
        <f>TRUNC(D1490*(1/8)*(16/12)*(25/20)*K1490)</f>
        <v>27168</v>
      </c>
      <c r="N1490" s="113" t="s">
        <v>975</v>
      </c>
    </row>
    <row r="1491" spans="1:15" ht="16.149999999999999" customHeight="1">
      <c r="A1491" s="130"/>
      <c r="B1491" s="131"/>
      <c r="C1491" s="118"/>
      <c r="D1491" s="33">
        <f>SUMIF('노임(2015)'!$B$4:$B$87,B1491,'노임(2015)'!$C$4:$C$87)+SUMIF('노임(2015)'!$E$4:$E$87,B1491,'노임(2015)'!$F$4:$F$87)</f>
        <v>0</v>
      </c>
      <c r="E1491" s="110"/>
      <c r="F1491" s="110"/>
      <c r="G1491" s="132"/>
      <c r="H1491" s="111"/>
      <c r="I1491" s="110"/>
      <c r="J1491" s="110"/>
      <c r="K1491" s="134"/>
      <c r="L1491" s="118"/>
      <c r="M1491" s="112"/>
      <c r="N1491" s="113"/>
    </row>
    <row r="1492" spans="1:15" ht="18.600000000000001" customHeight="1">
      <c r="A1492" s="130"/>
      <c r="B1492" s="109"/>
      <c r="C1492" s="118"/>
      <c r="D1492" s="33"/>
      <c r="E1492" s="110"/>
      <c r="F1492" s="110"/>
      <c r="G1492" s="132"/>
      <c r="H1492" s="111"/>
      <c r="I1492" s="110"/>
      <c r="J1492" s="110"/>
      <c r="K1492" s="134"/>
      <c r="L1492" s="118"/>
      <c r="M1492" s="112"/>
      <c r="N1492" s="113"/>
      <c r="O1492" s="114" t="s">
        <v>3682</v>
      </c>
    </row>
    <row r="1493" spans="1:15" ht="16.149999999999999" customHeight="1">
      <c r="A1493" s="130"/>
      <c r="B1493" s="109"/>
      <c r="C1493" s="118"/>
      <c r="D1493" s="110"/>
      <c r="E1493" s="110"/>
      <c r="F1493" s="110"/>
      <c r="G1493" s="110"/>
      <c r="H1493" s="111"/>
      <c r="I1493" s="791"/>
      <c r="J1493" s="791"/>
      <c r="K1493" s="118" t="s">
        <v>1164</v>
      </c>
      <c r="L1493" s="118" t="s">
        <v>1582</v>
      </c>
      <c r="M1493" s="112">
        <f>TRUNC(M1490+M1491+M1492)</f>
        <v>27168</v>
      </c>
      <c r="N1493" s="113" t="s">
        <v>975</v>
      </c>
      <c r="O1493" s="114" t="s">
        <v>1115</v>
      </c>
    </row>
    <row r="1494" spans="1:15" ht="18.600000000000001" customHeight="1">
      <c r="A1494" s="130"/>
      <c r="B1494" s="109"/>
      <c r="C1494" s="118"/>
      <c r="D1494" s="110"/>
      <c r="E1494" s="110"/>
      <c r="F1494" s="110"/>
      <c r="G1494" s="110"/>
      <c r="H1494" s="111"/>
      <c r="I1494" s="118"/>
      <c r="J1494" s="118"/>
      <c r="K1494" s="118"/>
      <c r="L1494" s="118"/>
      <c r="M1494" s="112"/>
      <c r="N1494" s="113"/>
      <c r="O1494" s="114" t="s">
        <v>3682</v>
      </c>
    </row>
    <row r="1495" spans="1:15" ht="18.600000000000001" customHeight="1">
      <c r="A1495" s="135"/>
      <c r="B1495" s="136"/>
      <c r="C1495" s="137"/>
      <c r="D1495" s="138"/>
      <c r="E1495" s="138"/>
      <c r="F1495" s="138"/>
      <c r="G1495" s="138"/>
      <c r="H1495" s="139"/>
      <c r="I1495" s="137"/>
      <c r="J1495" s="137"/>
      <c r="K1495" s="137"/>
      <c r="L1495" s="137"/>
      <c r="M1495" s="140"/>
      <c r="N1495" s="141"/>
      <c r="O1495" s="114" t="s">
        <v>3682</v>
      </c>
    </row>
    <row r="1496" spans="1:15" ht="16.149999999999999" customHeight="1">
      <c r="A1496" s="124"/>
      <c r="B1496" s="125" t="s">
        <v>1116</v>
      </c>
      <c r="C1496" s="142"/>
      <c r="D1496" s="126"/>
      <c r="E1496" s="126"/>
      <c r="F1496" s="126"/>
      <c r="G1496" s="126"/>
      <c r="H1496" s="127"/>
      <c r="I1496" s="126"/>
      <c r="J1496" s="126"/>
      <c r="K1496" s="126"/>
      <c r="L1496" s="126"/>
      <c r="M1496" s="128"/>
      <c r="N1496" s="129"/>
    </row>
    <row r="1497" spans="1:15" ht="16.149999999999999" customHeight="1">
      <c r="A1497" s="130"/>
      <c r="B1497" s="131" t="s">
        <v>2461</v>
      </c>
      <c r="C1497" s="118" t="s">
        <v>1526</v>
      </c>
      <c r="D1497" s="118">
        <v>7.3</v>
      </c>
      <c r="E1497" s="110" t="s">
        <v>456</v>
      </c>
      <c r="F1497" s="118" t="s">
        <v>972</v>
      </c>
      <c r="G1497" s="110"/>
      <c r="H1497" s="123">
        <f>중기기준!$G$35</f>
        <v>1114.9000000000001</v>
      </c>
      <c r="I1497" s="110" t="s">
        <v>975</v>
      </c>
      <c r="J1497" s="110"/>
      <c r="K1497" s="110"/>
      <c r="L1497" s="118" t="s">
        <v>1582</v>
      </c>
      <c r="M1497" s="112">
        <f>TRUNC(D1497*H1497,2)</f>
        <v>8138.77</v>
      </c>
      <c r="N1497" s="113" t="s">
        <v>975</v>
      </c>
    </row>
    <row r="1498" spans="1:15" ht="16.149999999999999" customHeight="1">
      <c r="A1498" s="130"/>
      <c r="B1498" s="109" t="s">
        <v>1556</v>
      </c>
      <c r="C1498" s="118" t="s">
        <v>1526</v>
      </c>
      <c r="D1498" s="145">
        <v>0.36</v>
      </c>
      <c r="E1498" s="110"/>
      <c r="F1498" s="118" t="s">
        <v>972</v>
      </c>
      <c r="G1498" s="110"/>
      <c r="H1498" s="123">
        <f>M1497</f>
        <v>8138.77</v>
      </c>
      <c r="I1498" s="110" t="s">
        <v>975</v>
      </c>
      <c r="J1498" s="110"/>
      <c r="K1498" s="110"/>
      <c r="L1498" s="118" t="s">
        <v>1582</v>
      </c>
      <c r="M1498" s="112">
        <f>TRUNC(D1498*H1498,2)</f>
        <v>2929.95</v>
      </c>
      <c r="N1498" s="113" t="s">
        <v>975</v>
      </c>
    </row>
    <row r="1499" spans="1:15" ht="16.149999999999999" customHeight="1">
      <c r="A1499" s="130"/>
      <c r="B1499" s="109"/>
      <c r="C1499" s="110"/>
      <c r="D1499" s="110"/>
      <c r="E1499" s="110"/>
      <c r="F1499" s="110"/>
      <c r="G1499" s="110"/>
      <c r="H1499" s="111"/>
      <c r="I1499" s="110"/>
      <c r="J1499" s="110"/>
      <c r="K1499" s="118" t="s">
        <v>1164</v>
      </c>
      <c r="L1499" s="118" t="s">
        <v>1582</v>
      </c>
      <c r="M1499" s="112">
        <f>TRUNC(SUM(M1497:M1498))</f>
        <v>11068</v>
      </c>
      <c r="N1499" s="113" t="s">
        <v>975</v>
      </c>
    </row>
    <row r="1500" spans="1:15" ht="18.600000000000001" customHeight="1">
      <c r="A1500" s="135"/>
      <c r="B1500" s="136"/>
      <c r="C1500" s="138"/>
      <c r="D1500" s="138"/>
      <c r="E1500" s="138"/>
      <c r="F1500" s="138"/>
      <c r="G1500" s="138"/>
      <c r="H1500" s="139"/>
      <c r="I1500" s="138"/>
      <c r="J1500" s="138"/>
      <c r="K1500" s="137"/>
      <c r="L1500" s="137"/>
      <c r="M1500" s="140"/>
      <c r="N1500" s="141"/>
      <c r="O1500" s="114" t="s">
        <v>3682</v>
      </c>
    </row>
    <row r="1501" spans="1:15" s="152" customFormat="1" ht="16.149999999999999" customHeight="1">
      <c r="A1501" s="146"/>
      <c r="B1501" s="147"/>
      <c r="C1501" s="148"/>
      <c r="D1501" s="148"/>
      <c r="E1501" s="148"/>
      <c r="F1501" s="148"/>
      <c r="G1501" s="148"/>
      <c r="H1501" s="149"/>
      <c r="I1501" s="148"/>
      <c r="J1501" s="148"/>
      <c r="K1501" s="148" t="s">
        <v>1118</v>
      </c>
      <c r="L1501" s="148" t="s">
        <v>1582</v>
      </c>
      <c r="M1501" s="150">
        <f>M1487+M1493+M1499</f>
        <v>45210</v>
      </c>
      <c r="N1501" s="151"/>
    </row>
    <row r="1502" spans="1:15" ht="16.149999999999999" customHeight="1">
      <c r="A1502" s="114"/>
    </row>
    <row r="1503" spans="1:15" s="107" customFormat="1" ht="16.149999999999999" customHeight="1">
      <c r="A1503" s="451">
        <f>A1484+1</f>
        <v>80</v>
      </c>
      <c r="B1503" s="99" t="s">
        <v>1100</v>
      </c>
      <c r="C1503" s="100" t="s">
        <v>1526</v>
      </c>
      <c r="D1503" s="101" t="s">
        <v>1585</v>
      </c>
      <c r="E1503" s="102"/>
      <c r="F1503" s="102"/>
      <c r="G1503" s="100"/>
      <c r="H1503" s="171" t="s">
        <v>225</v>
      </c>
      <c r="I1503" s="100"/>
      <c r="J1503" s="101"/>
      <c r="K1503" s="104" t="s">
        <v>847</v>
      </c>
      <c r="L1503" s="100" t="s">
        <v>1526</v>
      </c>
      <c r="M1503" s="105" t="str">
        <f>기계경비산출표!$B$394</f>
        <v>6330-0022</v>
      </c>
      <c r="N1503" s="106"/>
    </row>
    <row r="1504" spans="1:15" ht="16.149999999999999" customHeight="1">
      <c r="A1504" s="108"/>
      <c r="B1504" s="109" t="s">
        <v>588</v>
      </c>
      <c r="C1504" s="110" t="s">
        <v>1582</v>
      </c>
      <c r="D1504" s="110" t="s">
        <v>589</v>
      </c>
      <c r="E1504" s="110" t="s">
        <v>86</v>
      </c>
      <c r="F1504" s="110" t="s">
        <v>590</v>
      </c>
      <c r="G1504" s="110" t="s">
        <v>86</v>
      </c>
      <c r="H1504" s="111" t="s">
        <v>513</v>
      </c>
      <c r="I1504" s="110"/>
      <c r="J1504" s="110"/>
      <c r="K1504" s="110"/>
      <c r="L1504" s="110"/>
      <c r="M1504" s="112"/>
      <c r="N1504" s="113"/>
    </row>
    <row r="1505" spans="1:15" ht="16.149999999999999" customHeight="1">
      <c r="A1505" s="108"/>
      <c r="B1505" s="109"/>
      <c r="C1505" s="110"/>
      <c r="D1505" s="110"/>
      <c r="E1505" s="110"/>
      <c r="F1505" s="110"/>
      <c r="G1505" s="110"/>
      <c r="H1505" s="111"/>
      <c r="I1505" s="110"/>
      <c r="J1505" s="792"/>
      <c r="K1505" s="792"/>
      <c r="L1505" s="110"/>
      <c r="M1505" s="112"/>
      <c r="N1505" s="113"/>
    </row>
    <row r="1506" spans="1:15" ht="16.149999999999999" customHeight="1">
      <c r="A1506" s="115"/>
      <c r="F1506" s="117"/>
      <c r="G1506" s="118"/>
      <c r="H1506" s="119">
        <f>기계경비산출표!$E$394*1000</f>
        <v>40276000</v>
      </c>
      <c r="I1506" s="110" t="s">
        <v>972</v>
      </c>
      <c r="J1506" s="120">
        <v>2614</v>
      </c>
      <c r="K1506" s="118" t="s">
        <v>514</v>
      </c>
      <c r="L1506" s="121" t="s">
        <v>1582</v>
      </c>
      <c r="M1506" s="112">
        <f>TRUNC(H1506*J1506*(10^-7))</f>
        <v>10528</v>
      </c>
      <c r="N1506" s="113" t="s">
        <v>975</v>
      </c>
    </row>
    <row r="1507" spans="1:15" ht="16.149999999999999" customHeight="1">
      <c r="A1507" s="115"/>
      <c r="B1507" s="122"/>
      <c r="C1507" s="118"/>
      <c r="D1507" s="33"/>
      <c r="E1507" s="110"/>
      <c r="F1507" s="118"/>
      <c r="G1507" s="118"/>
      <c r="H1507" s="123"/>
      <c r="I1507" s="118"/>
      <c r="J1507" s="110"/>
      <c r="K1507" s="110"/>
      <c r="L1507" s="110"/>
      <c r="M1507" s="112"/>
      <c r="N1507" s="113"/>
    </row>
    <row r="1508" spans="1:15" ht="16.149999999999999" customHeight="1">
      <c r="A1508" s="124"/>
      <c r="B1508" s="125" t="s">
        <v>1115</v>
      </c>
      <c r="C1508" s="126"/>
      <c r="D1508" s="126"/>
      <c r="E1508" s="126"/>
      <c r="F1508" s="126"/>
      <c r="G1508" s="126"/>
      <c r="H1508" s="127"/>
      <c r="I1508" s="126"/>
      <c r="J1508" s="126"/>
      <c r="K1508" s="126"/>
      <c r="L1508" s="126"/>
      <c r="M1508" s="128"/>
      <c r="N1508" s="129"/>
    </row>
    <row r="1509" spans="1:15" ht="16.149999999999999" customHeight="1">
      <c r="A1509" s="130"/>
      <c r="B1509" s="131" t="s">
        <v>3185</v>
      </c>
      <c r="C1509" s="118"/>
      <c r="D1509" s="33">
        <f>SUMIF('노임(2015)'!$B$4:$B$87,B1509,'노임(2015)'!$C$4:$C$87)+SUMIF('노임(2015)'!$E$4:$E$87,B1509,'노임(2015)'!$F$4:$F$87)</f>
        <v>130411</v>
      </c>
      <c r="E1509" s="110" t="s">
        <v>972</v>
      </c>
      <c r="F1509" s="110" t="s">
        <v>973</v>
      </c>
      <c r="G1509" s="132" t="s">
        <v>974</v>
      </c>
      <c r="H1509" s="111"/>
      <c r="I1509" s="110"/>
      <c r="J1509" s="110"/>
      <c r="K1509" s="133">
        <v>1</v>
      </c>
      <c r="L1509" s="118" t="s">
        <v>1582</v>
      </c>
      <c r="M1509" s="112">
        <f>TRUNC(D1509*(1/8)*(16/12)*(25/20)*K1509)</f>
        <v>27168</v>
      </c>
      <c r="N1509" s="113" t="s">
        <v>975</v>
      </c>
    </row>
    <row r="1510" spans="1:15" ht="16.149999999999999" customHeight="1">
      <c r="A1510" s="130"/>
      <c r="B1510" s="131"/>
      <c r="C1510" s="118"/>
      <c r="D1510" s="33">
        <f>SUMIF('노임(2015)'!$B$4:$B$87,B1510,'노임(2015)'!$C$4:$C$87)+SUMIF('노임(2015)'!$E$4:$E$87,B1510,'노임(2015)'!$F$4:$F$87)</f>
        <v>0</v>
      </c>
      <c r="E1510" s="110"/>
      <c r="F1510" s="110"/>
      <c r="G1510" s="132"/>
      <c r="H1510" s="111"/>
      <c r="I1510" s="110"/>
      <c r="J1510" s="110"/>
      <c r="K1510" s="134"/>
      <c r="L1510" s="118"/>
      <c r="M1510" s="112"/>
      <c r="N1510" s="113"/>
    </row>
    <row r="1511" spans="1:15" ht="18.600000000000001" customHeight="1">
      <c r="A1511" s="130"/>
      <c r="B1511" s="109"/>
      <c r="C1511" s="118"/>
      <c r="D1511" s="33"/>
      <c r="E1511" s="110"/>
      <c r="F1511" s="110"/>
      <c r="G1511" s="132"/>
      <c r="H1511" s="111"/>
      <c r="I1511" s="110"/>
      <c r="J1511" s="110"/>
      <c r="K1511" s="134"/>
      <c r="L1511" s="118"/>
      <c r="M1511" s="112"/>
      <c r="N1511" s="113"/>
      <c r="O1511" s="114" t="s">
        <v>3682</v>
      </c>
    </row>
    <row r="1512" spans="1:15" ht="16.149999999999999" customHeight="1">
      <c r="A1512" s="130"/>
      <c r="B1512" s="109"/>
      <c r="C1512" s="118"/>
      <c r="D1512" s="110"/>
      <c r="E1512" s="110"/>
      <c r="F1512" s="110"/>
      <c r="G1512" s="110"/>
      <c r="H1512" s="111"/>
      <c r="I1512" s="791"/>
      <c r="J1512" s="791"/>
      <c r="K1512" s="118" t="s">
        <v>1164</v>
      </c>
      <c r="L1512" s="118" t="s">
        <v>1582</v>
      </c>
      <c r="M1512" s="112">
        <f>TRUNC(M1509+M1510+M1511)</f>
        <v>27168</v>
      </c>
      <c r="N1512" s="113" t="s">
        <v>975</v>
      </c>
      <c r="O1512" s="114" t="s">
        <v>1115</v>
      </c>
    </row>
    <row r="1513" spans="1:15" ht="18.600000000000001" customHeight="1">
      <c r="A1513" s="130"/>
      <c r="B1513" s="109"/>
      <c r="C1513" s="118"/>
      <c r="D1513" s="110"/>
      <c r="E1513" s="110"/>
      <c r="F1513" s="110"/>
      <c r="G1513" s="110"/>
      <c r="H1513" s="111"/>
      <c r="I1513" s="118"/>
      <c r="J1513" s="118"/>
      <c r="K1513" s="118"/>
      <c r="L1513" s="118"/>
      <c r="M1513" s="112"/>
      <c r="N1513" s="113"/>
      <c r="O1513" s="114" t="s">
        <v>3682</v>
      </c>
    </row>
    <row r="1514" spans="1:15" ht="18.600000000000001" customHeight="1">
      <c r="A1514" s="135"/>
      <c r="B1514" s="136"/>
      <c r="C1514" s="137"/>
      <c r="D1514" s="138"/>
      <c r="E1514" s="138"/>
      <c r="F1514" s="138"/>
      <c r="G1514" s="138"/>
      <c r="H1514" s="139"/>
      <c r="I1514" s="137"/>
      <c r="J1514" s="137"/>
      <c r="K1514" s="137"/>
      <c r="L1514" s="137"/>
      <c r="M1514" s="140"/>
      <c r="N1514" s="141"/>
      <c r="O1514" s="114" t="s">
        <v>3682</v>
      </c>
    </row>
    <row r="1515" spans="1:15" ht="16.149999999999999" customHeight="1">
      <c r="A1515" s="124"/>
      <c r="B1515" s="125" t="s">
        <v>1116</v>
      </c>
      <c r="C1515" s="142"/>
      <c r="D1515" s="126"/>
      <c r="E1515" s="126"/>
      <c r="F1515" s="126"/>
      <c r="G1515" s="126"/>
      <c r="H1515" s="127"/>
      <c r="I1515" s="126"/>
      <c r="J1515" s="126"/>
      <c r="K1515" s="126"/>
      <c r="L1515" s="126"/>
      <c r="M1515" s="128"/>
      <c r="N1515" s="129"/>
    </row>
    <row r="1516" spans="1:15" ht="16.149999999999999" customHeight="1">
      <c r="A1516" s="130"/>
      <c r="B1516" s="131" t="s">
        <v>2461</v>
      </c>
      <c r="C1516" s="118" t="s">
        <v>1526</v>
      </c>
      <c r="D1516" s="118">
        <v>11.8</v>
      </c>
      <c r="E1516" s="110" t="s">
        <v>456</v>
      </c>
      <c r="F1516" s="118" t="s">
        <v>972</v>
      </c>
      <c r="G1516" s="110"/>
      <c r="H1516" s="123">
        <f>중기기준!$G$35</f>
        <v>1114.9000000000001</v>
      </c>
      <c r="I1516" s="110" t="s">
        <v>975</v>
      </c>
      <c r="J1516" s="110"/>
      <c r="K1516" s="110"/>
      <c r="L1516" s="118" t="s">
        <v>1582</v>
      </c>
      <c r="M1516" s="112">
        <f>TRUNC(D1516*H1516,2)</f>
        <v>13155.82</v>
      </c>
      <c r="N1516" s="113" t="s">
        <v>975</v>
      </c>
    </row>
    <row r="1517" spans="1:15" ht="16.149999999999999" customHeight="1">
      <c r="A1517" s="130"/>
      <c r="B1517" s="109" t="s">
        <v>1556</v>
      </c>
      <c r="C1517" s="118" t="s">
        <v>1526</v>
      </c>
      <c r="D1517" s="145">
        <v>0.36</v>
      </c>
      <c r="E1517" s="110"/>
      <c r="F1517" s="118" t="s">
        <v>972</v>
      </c>
      <c r="G1517" s="110"/>
      <c r="H1517" s="123">
        <f>M1516</f>
        <v>13155.82</v>
      </c>
      <c r="I1517" s="110" t="s">
        <v>975</v>
      </c>
      <c r="J1517" s="110"/>
      <c r="K1517" s="110"/>
      <c r="L1517" s="118" t="s">
        <v>1582</v>
      </c>
      <c r="M1517" s="112">
        <f>TRUNC(D1517*H1517,2)</f>
        <v>4736.09</v>
      </c>
      <c r="N1517" s="113" t="s">
        <v>975</v>
      </c>
    </row>
    <row r="1518" spans="1:15" ht="16.149999999999999" customHeight="1">
      <c r="A1518" s="130"/>
      <c r="B1518" s="109"/>
      <c r="C1518" s="110"/>
      <c r="D1518" s="110"/>
      <c r="E1518" s="110"/>
      <c r="F1518" s="110"/>
      <c r="G1518" s="110"/>
      <c r="H1518" s="111"/>
      <c r="I1518" s="110"/>
      <c r="J1518" s="110"/>
      <c r="K1518" s="118" t="s">
        <v>1164</v>
      </c>
      <c r="L1518" s="118" t="s">
        <v>1582</v>
      </c>
      <c r="M1518" s="112">
        <f>TRUNC(SUM(M1516:M1517))</f>
        <v>17891</v>
      </c>
      <c r="N1518" s="113" t="s">
        <v>975</v>
      </c>
    </row>
    <row r="1519" spans="1:15" ht="18.600000000000001" customHeight="1">
      <c r="A1519" s="135"/>
      <c r="B1519" s="136"/>
      <c r="C1519" s="138"/>
      <c r="D1519" s="138"/>
      <c r="E1519" s="138"/>
      <c r="F1519" s="138"/>
      <c r="G1519" s="138"/>
      <c r="H1519" s="139"/>
      <c r="I1519" s="138"/>
      <c r="J1519" s="138"/>
      <c r="K1519" s="137"/>
      <c r="L1519" s="137"/>
      <c r="M1519" s="140"/>
      <c r="N1519" s="141"/>
      <c r="O1519" s="114" t="s">
        <v>3682</v>
      </c>
    </row>
    <row r="1520" spans="1:15" s="152" customFormat="1" ht="16.149999999999999" customHeight="1">
      <c r="A1520" s="146"/>
      <c r="B1520" s="147"/>
      <c r="C1520" s="148"/>
      <c r="D1520" s="148"/>
      <c r="E1520" s="148"/>
      <c r="F1520" s="148"/>
      <c r="G1520" s="148"/>
      <c r="H1520" s="149"/>
      <c r="I1520" s="148"/>
      <c r="J1520" s="148"/>
      <c r="K1520" s="148" t="s">
        <v>1118</v>
      </c>
      <c r="L1520" s="148" t="s">
        <v>1582</v>
      </c>
      <c r="M1520" s="150">
        <f>M1506+M1512+M1518</f>
        <v>55587</v>
      </c>
      <c r="N1520" s="151"/>
    </row>
    <row r="1521" spans="1:15" ht="16.149999999999999" customHeight="1">
      <c r="A1521" s="153"/>
      <c r="B1521" s="125"/>
      <c r="C1521" s="153"/>
      <c r="D1521" s="153"/>
      <c r="E1521" s="153"/>
      <c r="F1521" s="153"/>
      <c r="G1521" s="153"/>
      <c r="H1521" s="154"/>
      <c r="I1521" s="153"/>
      <c r="J1521" s="153"/>
      <c r="K1521" s="153"/>
      <c r="L1521" s="153"/>
      <c r="M1521" s="128"/>
      <c r="N1521" s="142"/>
    </row>
    <row r="1522" spans="1:15" s="107" customFormat="1" ht="16.149999999999999" customHeight="1">
      <c r="A1522" s="451">
        <f>A1503+1</f>
        <v>81</v>
      </c>
      <c r="B1522" s="99" t="s">
        <v>1100</v>
      </c>
      <c r="C1522" s="100" t="s">
        <v>1526</v>
      </c>
      <c r="D1522" s="101" t="s">
        <v>2218</v>
      </c>
      <c r="E1522" s="102"/>
      <c r="F1522" s="102"/>
      <c r="G1522" s="100"/>
      <c r="H1522" s="171" t="s">
        <v>226</v>
      </c>
      <c r="I1522" s="100"/>
      <c r="J1522" s="101"/>
      <c r="K1522" s="104" t="s">
        <v>847</v>
      </c>
      <c r="L1522" s="100" t="s">
        <v>1526</v>
      </c>
      <c r="M1522" s="105" t="str">
        <f>기계경비산출표!$B$417</f>
        <v>6530-0030</v>
      </c>
      <c r="N1522" s="106"/>
    </row>
    <row r="1523" spans="1:15" ht="16.149999999999999" customHeight="1">
      <c r="A1523" s="108"/>
      <c r="B1523" s="109" t="s">
        <v>588</v>
      </c>
      <c r="C1523" s="110" t="s">
        <v>1582</v>
      </c>
      <c r="D1523" s="110" t="s">
        <v>589</v>
      </c>
      <c r="E1523" s="110" t="s">
        <v>86</v>
      </c>
      <c r="F1523" s="110" t="s">
        <v>590</v>
      </c>
      <c r="G1523" s="110" t="s">
        <v>86</v>
      </c>
      <c r="H1523" s="111" t="s">
        <v>513</v>
      </c>
      <c r="I1523" s="110"/>
      <c r="J1523" s="110"/>
      <c r="K1523" s="110"/>
      <c r="L1523" s="110"/>
      <c r="M1523" s="112"/>
      <c r="N1523" s="113"/>
    </row>
    <row r="1524" spans="1:15" ht="16.149999999999999" customHeight="1">
      <c r="A1524" s="108"/>
      <c r="B1524" s="109"/>
      <c r="C1524" s="110"/>
      <c r="D1524" s="110"/>
      <c r="E1524" s="110"/>
      <c r="F1524" s="110"/>
      <c r="G1524" s="110"/>
      <c r="H1524" s="111"/>
      <c r="I1524" s="110"/>
      <c r="J1524" s="792"/>
      <c r="K1524" s="792"/>
      <c r="L1524" s="110"/>
      <c r="M1524" s="112"/>
      <c r="N1524" s="113"/>
    </row>
    <row r="1525" spans="1:15" ht="16.149999999999999" customHeight="1">
      <c r="A1525" s="115"/>
      <c r="F1525" s="117"/>
      <c r="G1525" s="118"/>
      <c r="H1525" s="119">
        <f>기계경비산출표!$E$417*1000</f>
        <v>67100000</v>
      </c>
      <c r="I1525" s="110" t="s">
        <v>972</v>
      </c>
      <c r="J1525" s="120">
        <v>2614</v>
      </c>
      <c r="K1525" s="118" t="s">
        <v>514</v>
      </c>
      <c r="L1525" s="121" t="s">
        <v>1582</v>
      </c>
      <c r="M1525" s="112">
        <f>TRUNC(H1525*J1525*(10^-7))</f>
        <v>17539</v>
      </c>
      <c r="N1525" s="113" t="s">
        <v>975</v>
      </c>
    </row>
    <row r="1526" spans="1:15" ht="16.149999999999999" customHeight="1">
      <c r="A1526" s="115"/>
      <c r="B1526" s="122"/>
      <c r="C1526" s="118"/>
      <c r="D1526" s="33"/>
      <c r="E1526" s="110"/>
      <c r="F1526" s="118"/>
      <c r="G1526" s="118"/>
      <c r="H1526" s="123"/>
      <c r="I1526" s="118"/>
      <c r="J1526" s="110"/>
      <c r="K1526" s="110"/>
      <c r="L1526" s="110"/>
      <c r="M1526" s="112"/>
      <c r="N1526" s="113"/>
    </row>
    <row r="1527" spans="1:15" ht="16.149999999999999" customHeight="1">
      <c r="A1527" s="124"/>
      <c r="B1527" s="125" t="s">
        <v>1115</v>
      </c>
      <c r="C1527" s="126"/>
      <c r="D1527" s="126"/>
      <c r="E1527" s="126"/>
      <c r="F1527" s="126"/>
      <c r="G1527" s="126"/>
      <c r="H1527" s="127"/>
      <c r="I1527" s="126"/>
      <c r="J1527" s="126"/>
      <c r="K1527" s="126"/>
      <c r="L1527" s="126"/>
      <c r="M1527" s="128"/>
      <c r="N1527" s="129"/>
    </row>
    <row r="1528" spans="1:15" ht="16.149999999999999" customHeight="1">
      <c r="A1528" s="130"/>
      <c r="B1528" s="131"/>
      <c r="C1528" s="118"/>
      <c r="D1528" s="33">
        <f>SUMIF('노임(2015)'!$B$4:$B$87,B1528,'노임(2015)'!$C$4:$C$87)+SUMIF('노임(2015)'!$E$4:$E$87,B1528,'노임(2015)'!$F$4:$F$87)</f>
        <v>0</v>
      </c>
      <c r="E1528" s="110"/>
      <c r="F1528" s="110"/>
      <c r="G1528" s="132"/>
      <c r="H1528" s="111"/>
      <c r="I1528" s="110"/>
      <c r="J1528" s="110"/>
      <c r="K1528" s="133"/>
      <c r="L1528" s="118"/>
      <c r="M1528" s="112"/>
      <c r="N1528" s="113"/>
    </row>
    <row r="1529" spans="1:15" ht="16.149999999999999" customHeight="1">
      <c r="A1529" s="130"/>
      <c r="B1529" s="131"/>
      <c r="C1529" s="118"/>
      <c r="D1529" s="33">
        <f>SUMIF('노임(2015)'!$B$4:$B$87,B1529,'노임(2015)'!$C$4:$C$87)+SUMIF('노임(2015)'!$E$4:$E$87,B1529,'노임(2015)'!$F$4:$F$87)</f>
        <v>0</v>
      </c>
      <c r="E1529" s="110"/>
      <c r="F1529" s="110"/>
      <c r="G1529" s="132"/>
      <c r="H1529" s="111"/>
      <c r="I1529" s="110"/>
      <c r="J1529" s="110"/>
      <c r="K1529" s="134"/>
      <c r="L1529" s="118"/>
      <c r="M1529" s="112"/>
      <c r="N1529" s="113"/>
    </row>
    <row r="1530" spans="1:15" ht="18.600000000000001" customHeight="1">
      <c r="A1530" s="130"/>
      <c r="B1530" s="109"/>
      <c r="C1530" s="118"/>
      <c r="D1530" s="33"/>
      <c r="E1530" s="110"/>
      <c r="F1530" s="110"/>
      <c r="G1530" s="132"/>
      <c r="H1530" s="111"/>
      <c r="I1530" s="110"/>
      <c r="J1530" s="110"/>
      <c r="K1530" s="134"/>
      <c r="L1530" s="118"/>
      <c r="M1530" s="112"/>
      <c r="N1530" s="113"/>
      <c r="O1530" s="114" t="s">
        <v>3682</v>
      </c>
    </row>
    <row r="1531" spans="1:15" ht="16.149999999999999" customHeight="1">
      <c r="A1531" s="130"/>
      <c r="B1531" s="109"/>
      <c r="C1531" s="118"/>
      <c r="D1531" s="110"/>
      <c r="E1531" s="110"/>
      <c r="F1531" s="110"/>
      <c r="G1531" s="110"/>
      <c r="H1531" s="111"/>
      <c r="I1531" s="791"/>
      <c r="J1531" s="791"/>
      <c r="K1531" s="118" t="s">
        <v>1164</v>
      </c>
      <c r="L1531" s="118" t="s">
        <v>1582</v>
      </c>
      <c r="M1531" s="112">
        <f>TRUNC(M1528+M1529+M1530)</f>
        <v>0</v>
      </c>
      <c r="N1531" s="113" t="s">
        <v>975</v>
      </c>
      <c r="O1531" s="114" t="s">
        <v>1115</v>
      </c>
    </row>
    <row r="1532" spans="1:15" ht="18.600000000000001" customHeight="1">
      <c r="A1532" s="130"/>
      <c r="B1532" s="109"/>
      <c r="C1532" s="118"/>
      <c r="D1532" s="110"/>
      <c r="E1532" s="110"/>
      <c r="F1532" s="110"/>
      <c r="G1532" s="110"/>
      <c r="H1532" s="111"/>
      <c r="I1532" s="118"/>
      <c r="J1532" s="118"/>
      <c r="K1532" s="118"/>
      <c r="L1532" s="118"/>
      <c r="M1532" s="112"/>
      <c r="N1532" s="113"/>
      <c r="O1532" s="114" t="s">
        <v>3682</v>
      </c>
    </row>
    <row r="1533" spans="1:15" ht="18.600000000000001" customHeight="1">
      <c r="A1533" s="135"/>
      <c r="B1533" s="136"/>
      <c r="C1533" s="137"/>
      <c r="D1533" s="138"/>
      <c r="E1533" s="138"/>
      <c r="F1533" s="138"/>
      <c r="G1533" s="138"/>
      <c r="H1533" s="139"/>
      <c r="I1533" s="137"/>
      <c r="J1533" s="137"/>
      <c r="K1533" s="137"/>
      <c r="L1533" s="137"/>
      <c r="M1533" s="140"/>
      <c r="N1533" s="141"/>
      <c r="O1533" s="114" t="s">
        <v>3682</v>
      </c>
    </row>
    <row r="1534" spans="1:15" ht="16.149999999999999" customHeight="1">
      <c r="A1534" s="124"/>
      <c r="B1534" s="125" t="s">
        <v>1116</v>
      </c>
      <c r="C1534" s="142"/>
      <c r="D1534" s="126"/>
      <c r="E1534" s="126"/>
      <c r="F1534" s="126"/>
      <c r="G1534" s="126"/>
      <c r="H1534" s="127"/>
      <c r="I1534" s="126"/>
      <c r="J1534" s="126"/>
      <c r="K1534" s="126"/>
      <c r="L1534" s="126"/>
      <c r="M1534" s="128"/>
      <c r="N1534" s="129"/>
    </row>
    <row r="1535" spans="1:15" ht="16.149999999999999" customHeight="1">
      <c r="A1535" s="130"/>
      <c r="B1535" s="131"/>
      <c r="C1535" s="118"/>
      <c r="D1535" s="118"/>
      <c r="E1535" s="110"/>
      <c r="F1535" s="118"/>
      <c r="G1535" s="110"/>
      <c r="H1535" s="123"/>
      <c r="I1535" s="110"/>
      <c r="J1535" s="110"/>
      <c r="K1535" s="110"/>
      <c r="L1535" s="118"/>
      <c r="M1535" s="112"/>
      <c r="N1535" s="113"/>
    </row>
    <row r="1536" spans="1:15" ht="16.149999999999999" customHeight="1">
      <c r="A1536" s="130"/>
      <c r="B1536" s="109"/>
      <c r="C1536" s="118"/>
      <c r="D1536" s="145"/>
      <c r="E1536" s="110"/>
      <c r="F1536" s="118"/>
      <c r="G1536" s="110"/>
      <c r="H1536" s="123"/>
      <c r="I1536" s="110"/>
      <c r="J1536" s="110"/>
      <c r="K1536" s="110"/>
      <c r="L1536" s="118"/>
      <c r="M1536" s="112"/>
      <c r="N1536" s="113"/>
    </row>
    <row r="1537" spans="1:15" ht="16.149999999999999" customHeight="1">
      <c r="A1537" s="130"/>
      <c r="B1537" s="109"/>
      <c r="C1537" s="110"/>
      <c r="D1537" s="110"/>
      <c r="E1537" s="110"/>
      <c r="F1537" s="110"/>
      <c r="G1537" s="110"/>
      <c r="H1537" s="111"/>
      <c r="I1537" s="110"/>
      <c r="J1537" s="110"/>
      <c r="K1537" s="118" t="s">
        <v>1164</v>
      </c>
      <c r="L1537" s="118" t="s">
        <v>1582</v>
      </c>
      <c r="M1537" s="112">
        <f>TRUNC(SUM(M1535:M1536))</f>
        <v>0</v>
      </c>
      <c r="N1537" s="113" t="s">
        <v>975</v>
      </c>
    </row>
    <row r="1538" spans="1:15" ht="18.600000000000001" customHeight="1">
      <c r="A1538" s="135"/>
      <c r="B1538" s="136"/>
      <c r="C1538" s="138"/>
      <c r="D1538" s="138"/>
      <c r="E1538" s="138"/>
      <c r="F1538" s="138"/>
      <c r="G1538" s="138"/>
      <c r="H1538" s="139"/>
      <c r="I1538" s="138"/>
      <c r="J1538" s="138"/>
      <c r="K1538" s="137"/>
      <c r="L1538" s="137"/>
      <c r="M1538" s="140"/>
      <c r="N1538" s="141"/>
      <c r="O1538" s="114" t="s">
        <v>3682</v>
      </c>
    </row>
    <row r="1539" spans="1:15" s="152" customFormat="1" ht="16.149999999999999" customHeight="1">
      <c r="A1539" s="146"/>
      <c r="B1539" s="147"/>
      <c r="C1539" s="148"/>
      <c r="D1539" s="148"/>
      <c r="E1539" s="148"/>
      <c r="F1539" s="148"/>
      <c r="G1539" s="148"/>
      <c r="H1539" s="149"/>
      <c r="I1539" s="148"/>
      <c r="J1539" s="148"/>
      <c r="K1539" s="148" t="s">
        <v>1118</v>
      </c>
      <c r="L1539" s="148" t="s">
        <v>1582</v>
      </c>
      <c r="M1539" s="150">
        <f>M1525+M1531+M1537</f>
        <v>17539</v>
      </c>
      <c r="N1539" s="151"/>
    </row>
    <row r="1540" spans="1:15" ht="16.149999999999999" customHeight="1">
      <c r="A1540" s="114"/>
    </row>
    <row r="1541" spans="1:15" s="107" customFormat="1" ht="16.149999999999999" customHeight="1">
      <c r="A1541" s="451">
        <f>A1522+1</f>
        <v>82</v>
      </c>
      <c r="B1541" s="99" t="s">
        <v>1100</v>
      </c>
      <c r="C1541" s="100" t="s">
        <v>1526</v>
      </c>
      <c r="D1541" s="101" t="s">
        <v>2218</v>
      </c>
      <c r="E1541" s="102"/>
      <c r="F1541" s="102"/>
      <c r="G1541" s="100"/>
      <c r="H1541" s="171" t="s">
        <v>227</v>
      </c>
      <c r="I1541" s="100"/>
      <c r="J1541" s="101"/>
      <c r="K1541" s="104" t="s">
        <v>847</v>
      </c>
      <c r="L1541" s="100" t="s">
        <v>1526</v>
      </c>
      <c r="M1541" s="105" t="str">
        <f>기계경비산출표!$B$420</f>
        <v>6530-0060</v>
      </c>
      <c r="N1541" s="106"/>
    </row>
    <row r="1542" spans="1:15" ht="16.149999999999999" customHeight="1">
      <c r="A1542" s="108"/>
      <c r="B1542" s="109" t="s">
        <v>588</v>
      </c>
      <c r="C1542" s="110" t="s">
        <v>1582</v>
      </c>
      <c r="D1542" s="110" t="s">
        <v>589</v>
      </c>
      <c r="E1542" s="110" t="s">
        <v>86</v>
      </c>
      <c r="F1542" s="110" t="s">
        <v>590</v>
      </c>
      <c r="G1542" s="110" t="s">
        <v>86</v>
      </c>
      <c r="H1542" s="111" t="s">
        <v>513</v>
      </c>
      <c r="I1542" s="110"/>
      <c r="J1542" s="110"/>
      <c r="K1542" s="110"/>
      <c r="L1542" s="110"/>
      <c r="M1542" s="112"/>
      <c r="N1542" s="113"/>
    </row>
    <row r="1543" spans="1:15" ht="16.149999999999999" customHeight="1">
      <c r="A1543" s="108"/>
      <c r="B1543" s="109"/>
      <c r="C1543" s="110"/>
      <c r="D1543" s="110"/>
      <c r="E1543" s="110"/>
      <c r="F1543" s="110"/>
      <c r="G1543" s="110"/>
      <c r="H1543" s="111"/>
      <c r="I1543" s="110"/>
      <c r="J1543" s="792"/>
      <c r="K1543" s="792"/>
      <c r="L1543" s="110"/>
      <c r="M1543" s="112"/>
      <c r="N1543" s="113"/>
    </row>
    <row r="1544" spans="1:15" ht="16.149999999999999" customHeight="1">
      <c r="A1544" s="115"/>
      <c r="F1544" s="117"/>
      <c r="G1544" s="118"/>
      <c r="H1544" s="119">
        <f>기계경비산출표!$E$420*1000</f>
        <v>119832000</v>
      </c>
      <c r="I1544" s="110" t="s">
        <v>972</v>
      </c>
      <c r="J1544" s="120">
        <v>2614</v>
      </c>
      <c r="K1544" s="118" t="s">
        <v>514</v>
      </c>
      <c r="L1544" s="121" t="s">
        <v>1582</v>
      </c>
      <c r="M1544" s="112">
        <f>TRUNC(H1544*J1544*(10^-7))</f>
        <v>31324</v>
      </c>
      <c r="N1544" s="113" t="s">
        <v>975</v>
      </c>
    </row>
    <row r="1545" spans="1:15" ht="16.149999999999999" customHeight="1">
      <c r="A1545" s="115"/>
      <c r="B1545" s="122"/>
      <c r="C1545" s="118"/>
      <c r="D1545" s="33"/>
      <c r="E1545" s="110"/>
      <c r="F1545" s="118"/>
      <c r="G1545" s="118"/>
      <c r="H1545" s="123"/>
      <c r="I1545" s="118"/>
      <c r="J1545" s="110"/>
      <c r="K1545" s="110"/>
      <c r="L1545" s="110"/>
      <c r="M1545" s="112"/>
      <c r="N1545" s="113"/>
    </row>
    <row r="1546" spans="1:15" ht="16.149999999999999" customHeight="1">
      <c r="A1546" s="124"/>
      <c r="B1546" s="125" t="s">
        <v>1115</v>
      </c>
      <c r="C1546" s="126"/>
      <c r="D1546" s="126"/>
      <c r="E1546" s="126"/>
      <c r="F1546" s="126"/>
      <c r="G1546" s="126"/>
      <c r="H1546" s="127"/>
      <c r="I1546" s="126"/>
      <c r="J1546" s="126"/>
      <c r="K1546" s="126"/>
      <c r="L1546" s="126"/>
      <c r="M1546" s="128"/>
      <c r="N1546" s="129"/>
    </row>
    <row r="1547" spans="1:15" ht="16.149999999999999" customHeight="1">
      <c r="A1547" s="130"/>
      <c r="B1547" s="131"/>
      <c r="C1547" s="118"/>
      <c r="D1547" s="33">
        <f>SUMIF('노임(2015)'!$B$4:$B$87,B1547,'노임(2015)'!$C$4:$C$87)+SUMIF('노임(2015)'!$E$4:$E$87,B1547,'노임(2015)'!$F$4:$F$87)</f>
        <v>0</v>
      </c>
      <c r="E1547" s="110"/>
      <c r="F1547" s="110"/>
      <c r="G1547" s="132"/>
      <c r="H1547" s="111"/>
      <c r="I1547" s="110"/>
      <c r="J1547" s="110"/>
      <c r="K1547" s="133"/>
      <c r="L1547" s="118"/>
      <c r="M1547" s="112"/>
      <c r="N1547" s="113"/>
    </row>
    <row r="1548" spans="1:15" ht="16.149999999999999" customHeight="1">
      <c r="A1548" s="130"/>
      <c r="B1548" s="131"/>
      <c r="C1548" s="118"/>
      <c r="D1548" s="33">
        <f>SUMIF('노임(2015)'!$B$4:$B$87,B1548,'노임(2015)'!$C$4:$C$87)+SUMIF('노임(2015)'!$E$4:$E$87,B1548,'노임(2015)'!$F$4:$F$87)</f>
        <v>0</v>
      </c>
      <c r="E1548" s="110"/>
      <c r="F1548" s="110"/>
      <c r="G1548" s="132"/>
      <c r="H1548" s="111"/>
      <c r="I1548" s="110"/>
      <c r="J1548" s="110"/>
      <c r="K1548" s="134"/>
      <c r="L1548" s="118"/>
      <c r="M1548" s="112"/>
      <c r="N1548" s="113"/>
    </row>
    <row r="1549" spans="1:15" ht="18.600000000000001" customHeight="1">
      <c r="A1549" s="130"/>
      <c r="B1549" s="109"/>
      <c r="C1549" s="118"/>
      <c r="D1549" s="33"/>
      <c r="E1549" s="110"/>
      <c r="F1549" s="110"/>
      <c r="G1549" s="132"/>
      <c r="H1549" s="111"/>
      <c r="I1549" s="110"/>
      <c r="J1549" s="110"/>
      <c r="K1549" s="134"/>
      <c r="L1549" s="118"/>
      <c r="M1549" s="112"/>
      <c r="N1549" s="113"/>
      <c r="O1549" s="114" t="s">
        <v>3682</v>
      </c>
    </row>
    <row r="1550" spans="1:15" ht="16.149999999999999" customHeight="1">
      <c r="A1550" s="130"/>
      <c r="B1550" s="109"/>
      <c r="C1550" s="118"/>
      <c r="D1550" s="110"/>
      <c r="E1550" s="110"/>
      <c r="F1550" s="110"/>
      <c r="G1550" s="110"/>
      <c r="H1550" s="111"/>
      <c r="I1550" s="791"/>
      <c r="J1550" s="791"/>
      <c r="K1550" s="118" t="s">
        <v>1164</v>
      </c>
      <c r="L1550" s="118" t="s">
        <v>1582</v>
      </c>
      <c r="M1550" s="112">
        <f>TRUNC(M1547+M1548+M1549)</f>
        <v>0</v>
      </c>
      <c r="N1550" s="113" t="s">
        <v>975</v>
      </c>
      <c r="O1550" s="114" t="s">
        <v>1115</v>
      </c>
    </row>
    <row r="1551" spans="1:15" ht="18.600000000000001" customHeight="1">
      <c r="A1551" s="130"/>
      <c r="B1551" s="109"/>
      <c r="C1551" s="118"/>
      <c r="D1551" s="110"/>
      <c r="E1551" s="110"/>
      <c r="F1551" s="110"/>
      <c r="G1551" s="110"/>
      <c r="H1551" s="111"/>
      <c r="I1551" s="118"/>
      <c r="J1551" s="118"/>
      <c r="K1551" s="118"/>
      <c r="L1551" s="118"/>
      <c r="M1551" s="112"/>
      <c r="N1551" s="113"/>
      <c r="O1551" s="114" t="s">
        <v>3682</v>
      </c>
    </row>
    <row r="1552" spans="1:15" ht="18.600000000000001" customHeight="1">
      <c r="A1552" s="135"/>
      <c r="B1552" s="136"/>
      <c r="C1552" s="137"/>
      <c r="D1552" s="138"/>
      <c r="E1552" s="138"/>
      <c r="F1552" s="138"/>
      <c r="G1552" s="138"/>
      <c r="H1552" s="139"/>
      <c r="I1552" s="137"/>
      <c r="J1552" s="137"/>
      <c r="K1552" s="137"/>
      <c r="L1552" s="137"/>
      <c r="M1552" s="140"/>
      <c r="N1552" s="141"/>
      <c r="O1552" s="114" t="s">
        <v>3682</v>
      </c>
    </row>
    <row r="1553" spans="1:15" ht="16.149999999999999" customHeight="1">
      <c r="A1553" s="124"/>
      <c r="B1553" s="125" t="s">
        <v>1116</v>
      </c>
      <c r="C1553" s="142"/>
      <c r="D1553" s="126"/>
      <c r="E1553" s="126"/>
      <c r="F1553" s="126"/>
      <c r="G1553" s="126"/>
      <c r="H1553" s="127"/>
      <c r="I1553" s="126"/>
      <c r="J1553" s="126"/>
      <c r="K1553" s="126"/>
      <c r="L1553" s="126"/>
      <c r="M1553" s="128"/>
      <c r="N1553" s="129"/>
    </row>
    <row r="1554" spans="1:15" ht="16.149999999999999" customHeight="1">
      <c r="A1554" s="130"/>
      <c r="B1554" s="131"/>
      <c r="C1554" s="118"/>
      <c r="D1554" s="118"/>
      <c r="E1554" s="110"/>
      <c r="F1554" s="118"/>
      <c r="G1554" s="110"/>
      <c r="H1554" s="123"/>
      <c r="I1554" s="110"/>
      <c r="J1554" s="110"/>
      <c r="K1554" s="110"/>
      <c r="L1554" s="118"/>
      <c r="M1554" s="112"/>
      <c r="N1554" s="113"/>
    </row>
    <row r="1555" spans="1:15" ht="16.149999999999999" customHeight="1">
      <c r="A1555" s="130"/>
      <c r="B1555" s="109"/>
      <c r="C1555" s="118"/>
      <c r="D1555" s="145"/>
      <c r="E1555" s="110"/>
      <c r="F1555" s="118"/>
      <c r="G1555" s="110"/>
      <c r="H1555" s="123"/>
      <c r="I1555" s="110"/>
      <c r="J1555" s="110"/>
      <c r="K1555" s="110"/>
      <c r="L1555" s="118"/>
      <c r="M1555" s="112"/>
      <c r="N1555" s="113"/>
    </row>
    <row r="1556" spans="1:15" ht="16.149999999999999" customHeight="1">
      <c r="A1556" s="130"/>
      <c r="B1556" s="109"/>
      <c r="C1556" s="110"/>
      <c r="D1556" s="110"/>
      <c r="E1556" s="110"/>
      <c r="F1556" s="110"/>
      <c r="G1556" s="110"/>
      <c r="H1556" s="111"/>
      <c r="I1556" s="110"/>
      <c r="J1556" s="110"/>
      <c r="K1556" s="118" t="s">
        <v>1164</v>
      </c>
      <c r="L1556" s="118" t="s">
        <v>1582</v>
      </c>
      <c r="M1556" s="112">
        <f>TRUNC(SUM(M1554:M1555))</f>
        <v>0</v>
      </c>
      <c r="N1556" s="113" t="s">
        <v>975</v>
      </c>
    </row>
    <row r="1557" spans="1:15" ht="18.600000000000001" customHeight="1">
      <c r="A1557" s="135"/>
      <c r="B1557" s="136"/>
      <c r="C1557" s="138"/>
      <c r="D1557" s="138"/>
      <c r="E1557" s="138"/>
      <c r="F1557" s="138"/>
      <c r="G1557" s="138"/>
      <c r="H1557" s="139"/>
      <c r="I1557" s="138"/>
      <c r="J1557" s="138"/>
      <c r="K1557" s="137"/>
      <c r="L1557" s="137"/>
      <c r="M1557" s="140"/>
      <c r="N1557" s="141"/>
      <c r="O1557" s="114" t="s">
        <v>3682</v>
      </c>
    </row>
    <row r="1558" spans="1:15" s="152" customFormat="1" ht="16.149999999999999" customHeight="1">
      <c r="A1558" s="146"/>
      <c r="B1558" s="147"/>
      <c r="C1558" s="148"/>
      <c r="D1558" s="148"/>
      <c r="E1558" s="148"/>
      <c r="F1558" s="148"/>
      <c r="G1558" s="148"/>
      <c r="H1558" s="149"/>
      <c r="I1558" s="148"/>
      <c r="J1558" s="148"/>
      <c r="K1558" s="148" t="s">
        <v>1118</v>
      </c>
      <c r="L1558" s="148" t="s">
        <v>1582</v>
      </c>
      <c r="M1558" s="150">
        <f>M1544+M1550+M1556</f>
        <v>31324</v>
      </c>
      <c r="N1558" s="151"/>
    </row>
    <row r="1559" spans="1:15" ht="16.149999999999999" customHeight="1">
      <c r="A1559" s="153"/>
      <c r="B1559" s="125"/>
      <c r="C1559" s="153"/>
      <c r="D1559" s="153"/>
      <c r="E1559" s="153"/>
      <c r="F1559" s="153"/>
      <c r="G1559" s="153"/>
      <c r="H1559" s="154"/>
      <c r="I1559" s="153"/>
      <c r="J1559" s="153"/>
      <c r="K1559" s="153"/>
      <c r="L1559" s="153"/>
      <c r="M1559" s="128"/>
      <c r="N1559" s="142"/>
    </row>
    <row r="1560" spans="1:15" s="107" customFormat="1" ht="16.149999999999999" customHeight="1">
      <c r="A1560" s="451">
        <f>A1541+1</f>
        <v>83</v>
      </c>
      <c r="B1560" s="99" t="s">
        <v>1100</v>
      </c>
      <c r="C1560" s="100" t="s">
        <v>1526</v>
      </c>
      <c r="D1560" s="101" t="s">
        <v>88</v>
      </c>
      <c r="E1560" s="102"/>
      <c r="F1560" s="102"/>
      <c r="G1560" s="100"/>
      <c r="H1560" s="103" t="s">
        <v>1527</v>
      </c>
      <c r="I1560" s="100" t="s">
        <v>1526</v>
      </c>
      <c r="J1560" s="167" t="s">
        <v>1301</v>
      </c>
      <c r="K1560" s="104" t="s">
        <v>847</v>
      </c>
      <c r="L1560" s="100" t="s">
        <v>1526</v>
      </c>
      <c r="M1560" s="105" t="str">
        <f>기계경비산출표!$B$435</f>
        <v>7103-0010</v>
      </c>
      <c r="N1560" s="106"/>
    </row>
    <row r="1561" spans="1:15" ht="16.149999999999999" customHeight="1">
      <c r="A1561" s="108"/>
      <c r="B1561" s="109" t="s">
        <v>588</v>
      </c>
      <c r="C1561" s="110" t="s">
        <v>1582</v>
      </c>
      <c r="D1561" s="110" t="s">
        <v>589</v>
      </c>
      <c r="E1561" s="110" t="s">
        <v>86</v>
      </c>
      <c r="F1561" s="110" t="s">
        <v>590</v>
      </c>
      <c r="G1561" s="110" t="s">
        <v>86</v>
      </c>
      <c r="H1561" s="111" t="s">
        <v>2973</v>
      </c>
      <c r="I1561" s="110"/>
      <c r="J1561" s="110"/>
      <c r="K1561" s="110"/>
      <c r="L1561" s="110"/>
      <c r="M1561" s="112"/>
      <c r="N1561" s="113"/>
    </row>
    <row r="1562" spans="1:15" ht="16.149999999999999" customHeight="1">
      <c r="A1562" s="108"/>
      <c r="B1562" s="109"/>
      <c r="C1562" s="110"/>
      <c r="D1562" s="110"/>
      <c r="E1562" s="110"/>
      <c r="F1562" s="110"/>
      <c r="G1562" s="110"/>
      <c r="H1562" s="111"/>
      <c r="I1562" s="110"/>
      <c r="J1562" s="792"/>
      <c r="K1562" s="792"/>
      <c r="L1562" s="110"/>
      <c r="M1562" s="112"/>
      <c r="N1562" s="113"/>
    </row>
    <row r="1563" spans="1:15" ht="16.149999999999999" customHeight="1">
      <c r="A1563" s="115"/>
      <c r="F1563" s="117"/>
      <c r="G1563" s="118"/>
      <c r="H1563" s="119">
        <f>기계경비산출표!$E$435*1000</f>
        <v>775000</v>
      </c>
      <c r="I1563" s="110" t="s">
        <v>972</v>
      </c>
      <c r="J1563" s="120">
        <v>3144</v>
      </c>
      <c r="K1563" s="118" t="s">
        <v>2974</v>
      </c>
      <c r="L1563" s="121" t="s">
        <v>1582</v>
      </c>
      <c r="M1563" s="112">
        <f>TRUNC(H1563*J1563*(10^-7))</f>
        <v>243</v>
      </c>
      <c r="N1563" s="113" t="s">
        <v>975</v>
      </c>
    </row>
    <row r="1564" spans="1:15" ht="16.149999999999999" customHeight="1">
      <c r="A1564" s="115"/>
      <c r="B1564" s="122"/>
      <c r="C1564" s="118"/>
      <c r="D1564" s="33"/>
      <c r="E1564" s="110"/>
      <c r="F1564" s="118"/>
      <c r="G1564" s="118"/>
      <c r="H1564" s="123"/>
      <c r="I1564" s="118"/>
      <c r="J1564" s="110"/>
      <c r="K1564" s="110"/>
      <c r="L1564" s="110"/>
      <c r="M1564" s="112"/>
      <c r="N1564" s="113"/>
    </row>
    <row r="1565" spans="1:15" ht="16.149999999999999" customHeight="1">
      <c r="A1565" s="124"/>
      <c r="B1565" s="125" t="s">
        <v>1115</v>
      </c>
      <c r="C1565" s="126"/>
      <c r="D1565" s="126"/>
      <c r="E1565" s="126"/>
      <c r="F1565" s="126"/>
      <c r="G1565" s="126"/>
      <c r="H1565" s="127"/>
      <c r="I1565" s="126"/>
      <c r="J1565" s="126"/>
      <c r="K1565" s="126"/>
      <c r="L1565" s="126"/>
      <c r="M1565" s="128"/>
      <c r="N1565" s="129"/>
    </row>
    <row r="1566" spans="1:15" ht="16.149999999999999" customHeight="1">
      <c r="A1566" s="130"/>
      <c r="B1566" s="131"/>
      <c r="C1566" s="118"/>
      <c r="D1566" s="33">
        <f>SUMIF('노임(2015)'!$B$4:$B$87,B1566,'노임(2015)'!$C$4:$C$87)+SUMIF('노임(2015)'!$E$4:$E$87,B1566,'노임(2015)'!$F$4:$F$87)</f>
        <v>0</v>
      </c>
      <c r="E1566" s="110"/>
      <c r="F1566" s="110"/>
      <c r="G1566" s="132"/>
      <c r="H1566" s="111"/>
      <c r="I1566" s="110"/>
      <c r="J1566" s="110"/>
      <c r="K1566" s="133"/>
      <c r="L1566" s="118"/>
      <c r="M1566" s="112"/>
      <c r="N1566" s="113"/>
    </row>
    <row r="1567" spans="1:15" ht="16.149999999999999" customHeight="1">
      <c r="A1567" s="130"/>
      <c r="B1567" s="109"/>
      <c r="C1567" s="118"/>
      <c r="D1567" s="33">
        <f>SUMIF('노임(2015)'!$B$4:$B$87,B1567,'노임(2015)'!$C$4:$C$87)+SUMIF('노임(2015)'!$E$4:$E$87,B1567,'노임(2015)'!$F$4:$F$87)</f>
        <v>0</v>
      </c>
      <c r="E1567" s="110"/>
      <c r="F1567" s="110"/>
      <c r="G1567" s="132"/>
      <c r="H1567" s="111"/>
      <c r="I1567" s="110"/>
      <c r="J1567" s="110"/>
      <c r="K1567" s="133"/>
      <c r="L1567" s="118"/>
      <c r="M1567" s="112"/>
      <c r="N1567" s="113"/>
    </row>
    <row r="1568" spans="1:15" ht="18.600000000000001" customHeight="1">
      <c r="A1568" s="130"/>
      <c r="B1568" s="109"/>
      <c r="C1568" s="118"/>
      <c r="D1568" s="33"/>
      <c r="E1568" s="110"/>
      <c r="F1568" s="110"/>
      <c r="G1568" s="132"/>
      <c r="H1568" s="111"/>
      <c r="I1568" s="110"/>
      <c r="J1568" s="110"/>
      <c r="K1568" s="134"/>
      <c r="L1568" s="118"/>
      <c r="M1568" s="112"/>
      <c r="N1568" s="113"/>
      <c r="O1568" s="114" t="s">
        <v>3682</v>
      </c>
    </row>
    <row r="1569" spans="1:15" ht="16.149999999999999" customHeight="1">
      <c r="A1569" s="130"/>
      <c r="B1569" s="109"/>
      <c r="C1569" s="118"/>
      <c r="D1569" s="110"/>
      <c r="E1569" s="110"/>
      <c r="F1569" s="110"/>
      <c r="G1569" s="110"/>
      <c r="H1569" s="111"/>
      <c r="I1569" s="791"/>
      <c r="J1569" s="791"/>
      <c r="K1569" s="118" t="s">
        <v>1164</v>
      </c>
      <c r="L1569" s="118" t="s">
        <v>1582</v>
      </c>
      <c r="M1569" s="112">
        <f>(M1566+M1567+M1568)</f>
        <v>0</v>
      </c>
      <c r="N1569" s="113" t="s">
        <v>975</v>
      </c>
      <c r="O1569" s="114" t="s">
        <v>1115</v>
      </c>
    </row>
    <row r="1570" spans="1:15" ht="18.600000000000001" customHeight="1">
      <c r="A1570" s="130"/>
      <c r="B1570" s="109"/>
      <c r="C1570" s="118"/>
      <c r="D1570" s="110"/>
      <c r="E1570" s="110"/>
      <c r="F1570" s="110"/>
      <c r="G1570" s="110"/>
      <c r="H1570" s="111"/>
      <c r="I1570" s="118"/>
      <c r="J1570" s="118"/>
      <c r="K1570" s="118"/>
      <c r="L1570" s="118"/>
      <c r="M1570" s="112"/>
      <c r="N1570" s="113"/>
      <c r="O1570" s="114" t="s">
        <v>3682</v>
      </c>
    </row>
    <row r="1571" spans="1:15" ht="18.600000000000001" customHeight="1">
      <c r="A1571" s="135"/>
      <c r="B1571" s="136"/>
      <c r="C1571" s="137"/>
      <c r="D1571" s="138"/>
      <c r="E1571" s="138"/>
      <c r="F1571" s="138"/>
      <c r="G1571" s="138"/>
      <c r="H1571" s="139"/>
      <c r="I1571" s="137"/>
      <c r="J1571" s="137"/>
      <c r="K1571" s="137"/>
      <c r="L1571" s="137"/>
      <c r="M1571" s="140"/>
      <c r="N1571" s="141"/>
      <c r="O1571" s="114" t="s">
        <v>3682</v>
      </c>
    </row>
    <row r="1572" spans="1:15" ht="16.149999999999999" customHeight="1">
      <c r="A1572" s="124"/>
      <c r="B1572" s="125" t="s">
        <v>1116</v>
      </c>
      <c r="C1572" s="142"/>
      <c r="D1572" s="126"/>
      <c r="E1572" s="126"/>
      <c r="F1572" s="126"/>
      <c r="G1572" s="126"/>
      <c r="H1572" s="127"/>
      <c r="I1572" s="126"/>
      <c r="J1572" s="126"/>
      <c r="K1572" s="126"/>
      <c r="L1572" s="126"/>
      <c r="M1572" s="128"/>
      <c r="N1572" s="129"/>
    </row>
    <row r="1573" spans="1:15" ht="16.149999999999999" customHeight="1">
      <c r="A1573" s="130"/>
      <c r="B1573" s="131"/>
      <c r="C1573" s="118"/>
      <c r="D1573" s="118"/>
      <c r="E1573" s="110"/>
      <c r="F1573" s="118"/>
      <c r="G1573" s="110"/>
      <c r="H1573" s="123"/>
      <c r="I1573" s="110"/>
      <c r="J1573" s="110"/>
      <c r="K1573" s="110"/>
      <c r="L1573" s="118"/>
      <c r="M1573" s="112"/>
      <c r="N1573" s="113"/>
    </row>
    <row r="1574" spans="1:15" ht="16.149999999999999" customHeight="1">
      <c r="A1574" s="130"/>
      <c r="B1574" s="109"/>
      <c r="C1574" s="118"/>
      <c r="D1574" s="145"/>
      <c r="E1574" s="110"/>
      <c r="F1574" s="118"/>
      <c r="G1574" s="110"/>
      <c r="H1574" s="123"/>
      <c r="I1574" s="110"/>
      <c r="J1574" s="110"/>
      <c r="K1574" s="110"/>
      <c r="L1574" s="118"/>
      <c r="M1574" s="112"/>
      <c r="N1574" s="113"/>
    </row>
    <row r="1575" spans="1:15" ht="16.149999999999999" customHeight="1">
      <c r="A1575" s="130"/>
      <c r="B1575" s="109"/>
      <c r="C1575" s="110"/>
      <c r="D1575" s="110"/>
      <c r="E1575" s="110"/>
      <c r="F1575" s="110"/>
      <c r="G1575" s="110"/>
      <c r="H1575" s="111"/>
      <c r="I1575" s="110"/>
      <c r="J1575" s="110"/>
      <c r="K1575" s="118" t="s">
        <v>1164</v>
      </c>
      <c r="L1575" s="118" t="s">
        <v>1582</v>
      </c>
      <c r="M1575" s="112">
        <f>TRUNC(SUM(M1573:M1574))</f>
        <v>0</v>
      </c>
      <c r="N1575" s="113" t="s">
        <v>975</v>
      </c>
    </row>
    <row r="1576" spans="1:15" ht="18.600000000000001" customHeight="1">
      <c r="A1576" s="135"/>
      <c r="B1576" s="136"/>
      <c r="C1576" s="138"/>
      <c r="D1576" s="138"/>
      <c r="E1576" s="138"/>
      <c r="F1576" s="138"/>
      <c r="G1576" s="138"/>
      <c r="H1576" s="139"/>
      <c r="I1576" s="138"/>
      <c r="J1576" s="138"/>
      <c r="K1576" s="137"/>
      <c r="L1576" s="137"/>
      <c r="M1576" s="140"/>
      <c r="N1576" s="141"/>
      <c r="O1576" s="114" t="s">
        <v>3682</v>
      </c>
    </row>
    <row r="1577" spans="1:15" s="152" customFormat="1" ht="16.149999999999999" customHeight="1">
      <c r="A1577" s="146"/>
      <c r="B1577" s="147"/>
      <c r="C1577" s="148"/>
      <c r="D1577" s="148"/>
      <c r="E1577" s="148"/>
      <c r="F1577" s="148"/>
      <c r="G1577" s="148"/>
      <c r="H1577" s="149"/>
      <c r="I1577" s="148"/>
      <c r="J1577" s="148"/>
      <c r="K1577" s="148" t="s">
        <v>1118</v>
      </c>
      <c r="L1577" s="148" t="s">
        <v>1582</v>
      </c>
      <c r="M1577" s="150">
        <f>M1563+M1569+M1575</f>
        <v>243</v>
      </c>
      <c r="N1577" s="151"/>
    </row>
    <row r="1578" spans="1:15" ht="16.149999999999999" customHeight="1">
      <c r="A1578" s="114"/>
    </row>
    <row r="1579" spans="1:15" s="107" customFormat="1" ht="16.149999999999999" customHeight="1">
      <c r="A1579" s="451">
        <f>A1560+1</f>
        <v>84</v>
      </c>
      <c r="B1579" s="99" t="s">
        <v>1100</v>
      </c>
      <c r="C1579" s="100" t="s">
        <v>1526</v>
      </c>
      <c r="D1579" s="101" t="s">
        <v>228</v>
      </c>
      <c r="E1579" s="102"/>
      <c r="F1579" s="102"/>
      <c r="G1579" s="100"/>
      <c r="H1579" s="103" t="s">
        <v>1527</v>
      </c>
      <c r="I1579" s="100" t="s">
        <v>1526</v>
      </c>
      <c r="J1579" s="167" t="s">
        <v>91</v>
      </c>
      <c r="K1579" s="104" t="s">
        <v>847</v>
      </c>
      <c r="L1579" s="100" t="s">
        <v>1526</v>
      </c>
      <c r="M1579" s="105" t="s">
        <v>229</v>
      </c>
      <c r="N1579" s="106"/>
    </row>
    <row r="1580" spans="1:15" ht="16.149999999999999" customHeight="1">
      <c r="A1580" s="108"/>
      <c r="B1580" s="109" t="s">
        <v>588</v>
      </c>
      <c r="C1580" s="110" t="s">
        <v>1582</v>
      </c>
      <c r="D1580" s="110" t="s">
        <v>589</v>
      </c>
      <c r="E1580" s="110" t="s">
        <v>86</v>
      </c>
      <c r="F1580" s="110" t="s">
        <v>590</v>
      </c>
      <c r="G1580" s="110" t="s">
        <v>86</v>
      </c>
      <c r="H1580" s="111" t="s">
        <v>2973</v>
      </c>
      <c r="I1580" s="110"/>
      <c r="J1580" s="110"/>
      <c r="K1580" s="110"/>
      <c r="L1580" s="110"/>
      <c r="M1580" s="112"/>
      <c r="N1580" s="113"/>
    </row>
    <row r="1581" spans="1:15" ht="16.149999999999999" customHeight="1">
      <c r="A1581" s="108"/>
      <c r="B1581" s="109"/>
      <c r="C1581" s="110"/>
      <c r="D1581" s="110"/>
      <c r="E1581" s="110"/>
      <c r="F1581" s="110"/>
      <c r="G1581" s="110"/>
      <c r="H1581" s="111"/>
      <c r="I1581" s="110"/>
      <c r="J1581" s="792"/>
      <c r="K1581" s="792"/>
      <c r="L1581" s="110"/>
      <c r="M1581" s="112"/>
      <c r="N1581" s="113"/>
    </row>
    <row r="1582" spans="1:15" ht="16.149999999999999" customHeight="1">
      <c r="A1582" s="115"/>
      <c r="F1582" s="117"/>
      <c r="G1582" s="118"/>
      <c r="H1582" s="119">
        <f>기계경비산출표!$E$440*1000</f>
        <v>38257000</v>
      </c>
      <c r="I1582" s="110" t="s">
        <v>972</v>
      </c>
      <c r="J1582" s="120">
        <v>2045</v>
      </c>
      <c r="K1582" s="118" t="s">
        <v>2974</v>
      </c>
      <c r="L1582" s="121" t="s">
        <v>1582</v>
      </c>
      <c r="M1582" s="112">
        <f>TRUNC(H1582*J1582*(10^-7))</f>
        <v>7823</v>
      </c>
      <c r="N1582" s="113" t="s">
        <v>975</v>
      </c>
    </row>
    <row r="1583" spans="1:15" ht="16.149999999999999" customHeight="1">
      <c r="A1583" s="115"/>
      <c r="B1583" s="122"/>
      <c r="C1583" s="118"/>
      <c r="D1583" s="33"/>
      <c r="E1583" s="110"/>
      <c r="F1583" s="118"/>
      <c r="G1583" s="118"/>
      <c r="H1583" s="123"/>
      <c r="I1583" s="118"/>
      <c r="J1583" s="110"/>
      <c r="K1583" s="110"/>
      <c r="L1583" s="110"/>
      <c r="M1583" s="112"/>
      <c r="N1583" s="113"/>
    </row>
    <row r="1584" spans="1:15" ht="16.149999999999999" customHeight="1">
      <c r="A1584" s="124"/>
      <c r="B1584" s="125" t="s">
        <v>1115</v>
      </c>
      <c r="C1584" s="126"/>
      <c r="D1584" s="126"/>
      <c r="E1584" s="126"/>
      <c r="F1584" s="126"/>
      <c r="G1584" s="126"/>
      <c r="H1584" s="127"/>
      <c r="I1584" s="126"/>
      <c r="J1584" s="126"/>
      <c r="K1584" s="126"/>
      <c r="L1584" s="126"/>
      <c r="M1584" s="128"/>
      <c r="N1584" s="129"/>
    </row>
    <row r="1585" spans="1:15" ht="16.149999999999999" customHeight="1">
      <c r="A1585" s="130"/>
      <c r="B1585" s="131" t="s">
        <v>3186</v>
      </c>
      <c r="C1585" s="118"/>
      <c r="D1585" s="33">
        <f>SUMIF('노임(2015)'!$B$4:$B$87,B1585,'노임(2015)'!$C$4:$C$87)+SUMIF('노임(2015)'!$E$4:$E$87,B1585,'노임(2015)'!$F$4:$F$87)</f>
        <v>117523</v>
      </c>
      <c r="E1585" s="110" t="s">
        <v>972</v>
      </c>
      <c r="F1585" s="110" t="s">
        <v>973</v>
      </c>
      <c r="G1585" s="132" t="s">
        <v>974</v>
      </c>
      <c r="H1585" s="111"/>
      <c r="I1585" s="110"/>
      <c r="J1585" s="110"/>
      <c r="K1585" s="133">
        <v>1</v>
      </c>
      <c r="L1585" s="118" t="s">
        <v>1582</v>
      </c>
      <c r="M1585" s="112">
        <f>TRUNC(D1585*(1/8)*(16/12)*(25/20)*K1585)</f>
        <v>24483</v>
      </c>
      <c r="N1585" s="113" t="s">
        <v>975</v>
      </c>
    </row>
    <row r="1586" spans="1:15" ht="16.149999999999999" customHeight="1">
      <c r="A1586" s="130"/>
      <c r="B1586" s="109"/>
      <c r="C1586" s="118"/>
      <c r="D1586" s="33">
        <f>SUMIF('노임(2015)'!$B$4:$B$87,B1586,'노임(2015)'!$C$4:$C$87)+SUMIF('노임(2015)'!$E$4:$E$87,B1586,'노임(2015)'!$F$4:$F$87)</f>
        <v>0</v>
      </c>
      <c r="E1586" s="110"/>
      <c r="F1586" s="110"/>
      <c r="G1586" s="132"/>
      <c r="H1586" s="111"/>
      <c r="I1586" s="110"/>
      <c r="J1586" s="110"/>
      <c r="K1586" s="134"/>
      <c r="L1586" s="118"/>
      <c r="M1586" s="112"/>
      <c r="N1586" s="113"/>
    </row>
    <row r="1587" spans="1:15" ht="18.600000000000001" customHeight="1">
      <c r="A1587" s="130"/>
      <c r="B1587" s="109"/>
      <c r="C1587" s="118"/>
      <c r="D1587" s="33"/>
      <c r="E1587" s="110"/>
      <c r="F1587" s="110"/>
      <c r="G1587" s="132"/>
      <c r="H1587" s="111"/>
      <c r="I1587" s="110"/>
      <c r="J1587" s="110"/>
      <c r="K1587" s="134"/>
      <c r="L1587" s="118"/>
      <c r="M1587" s="112"/>
      <c r="N1587" s="113"/>
      <c r="O1587" s="114" t="s">
        <v>3682</v>
      </c>
    </row>
    <row r="1588" spans="1:15" ht="16.149999999999999" customHeight="1">
      <c r="A1588" s="130"/>
      <c r="B1588" s="109"/>
      <c r="C1588" s="118"/>
      <c r="D1588" s="110"/>
      <c r="E1588" s="110"/>
      <c r="F1588" s="110"/>
      <c r="G1588" s="110"/>
      <c r="H1588" s="111"/>
      <c r="I1588" s="791"/>
      <c r="J1588" s="791"/>
      <c r="K1588" s="118" t="s">
        <v>1164</v>
      </c>
      <c r="L1588" s="118" t="s">
        <v>1582</v>
      </c>
      <c r="M1588" s="112">
        <f>(M1585+M1586+M1587)</f>
        <v>24483</v>
      </c>
      <c r="N1588" s="113" t="s">
        <v>975</v>
      </c>
      <c r="O1588" s="114" t="s">
        <v>1115</v>
      </c>
    </row>
    <row r="1589" spans="1:15" ht="18.600000000000001" customHeight="1">
      <c r="A1589" s="130"/>
      <c r="B1589" s="109"/>
      <c r="C1589" s="118"/>
      <c r="D1589" s="110"/>
      <c r="E1589" s="110"/>
      <c r="F1589" s="110"/>
      <c r="G1589" s="110"/>
      <c r="H1589" s="111"/>
      <c r="I1589" s="118"/>
      <c r="J1589" s="118"/>
      <c r="K1589" s="118"/>
      <c r="L1589" s="118"/>
      <c r="M1589" s="112"/>
      <c r="N1589" s="113"/>
      <c r="O1589" s="114" t="s">
        <v>3682</v>
      </c>
    </row>
    <row r="1590" spans="1:15" ht="18.600000000000001" customHeight="1">
      <c r="A1590" s="135"/>
      <c r="B1590" s="136"/>
      <c r="C1590" s="137"/>
      <c r="D1590" s="138"/>
      <c r="E1590" s="138"/>
      <c r="F1590" s="138"/>
      <c r="G1590" s="138"/>
      <c r="H1590" s="139"/>
      <c r="I1590" s="137"/>
      <c r="J1590" s="137"/>
      <c r="K1590" s="137"/>
      <c r="L1590" s="137"/>
      <c r="M1590" s="140"/>
      <c r="N1590" s="141"/>
      <c r="O1590" s="114" t="s">
        <v>3682</v>
      </c>
    </row>
    <row r="1591" spans="1:15" ht="16.149999999999999" customHeight="1">
      <c r="A1591" s="124"/>
      <c r="B1591" s="125" t="s">
        <v>1116</v>
      </c>
      <c r="C1591" s="142"/>
      <c r="D1591" s="126"/>
      <c r="E1591" s="126"/>
      <c r="F1591" s="126"/>
      <c r="G1591" s="126"/>
      <c r="H1591" s="127"/>
      <c r="I1591" s="126"/>
      <c r="J1591" s="126"/>
      <c r="K1591" s="126"/>
      <c r="L1591" s="126"/>
      <c r="M1591" s="128"/>
      <c r="N1591" s="129"/>
    </row>
    <row r="1592" spans="1:15" ht="16.149999999999999" customHeight="1">
      <c r="A1592" s="130"/>
      <c r="B1592" s="131" t="s">
        <v>2461</v>
      </c>
      <c r="C1592" s="118" t="s">
        <v>1526</v>
      </c>
      <c r="D1592" s="118">
        <v>9.3000000000000007</v>
      </c>
      <c r="E1592" s="110" t="s">
        <v>456</v>
      </c>
      <c r="F1592" s="118" t="s">
        <v>972</v>
      </c>
      <c r="G1592" s="110"/>
      <c r="H1592" s="123">
        <f>중기기준!$G$35</f>
        <v>1114.9000000000001</v>
      </c>
      <c r="I1592" s="110" t="s">
        <v>975</v>
      </c>
      <c r="J1592" s="110"/>
      <c r="K1592" s="110"/>
      <c r="L1592" s="118" t="s">
        <v>1582</v>
      </c>
      <c r="M1592" s="112">
        <f>TRUNC(D1592*H1592,2)</f>
        <v>10368.57</v>
      </c>
      <c r="N1592" s="113" t="s">
        <v>975</v>
      </c>
    </row>
    <row r="1593" spans="1:15" ht="16.149999999999999" customHeight="1">
      <c r="A1593" s="130"/>
      <c r="B1593" s="109" t="s">
        <v>1556</v>
      </c>
      <c r="C1593" s="118" t="s">
        <v>1526</v>
      </c>
      <c r="D1593" s="145">
        <v>0.3</v>
      </c>
      <c r="E1593" s="110"/>
      <c r="F1593" s="118" t="s">
        <v>972</v>
      </c>
      <c r="G1593" s="110"/>
      <c r="H1593" s="123">
        <f>M1592</f>
        <v>10368.57</v>
      </c>
      <c r="I1593" s="110" t="s">
        <v>975</v>
      </c>
      <c r="J1593" s="110"/>
      <c r="K1593" s="110"/>
      <c r="L1593" s="118" t="s">
        <v>1582</v>
      </c>
      <c r="M1593" s="112">
        <f>TRUNC((D1593*H1593),2)</f>
        <v>3110.57</v>
      </c>
      <c r="N1593" s="113" t="s">
        <v>975</v>
      </c>
    </row>
    <row r="1594" spans="1:15" ht="16.149999999999999" customHeight="1">
      <c r="A1594" s="130"/>
      <c r="B1594" s="109"/>
      <c r="C1594" s="110"/>
      <c r="D1594" s="110"/>
      <c r="E1594" s="110"/>
      <c r="F1594" s="110"/>
      <c r="G1594" s="110"/>
      <c r="H1594" s="111"/>
      <c r="I1594" s="110"/>
      <c r="J1594" s="110"/>
      <c r="K1594" s="118" t="s">
        <v>1164</v>
      </c>
      <c r="L1594" s="118" t="s">
        <v>1582</v>
      </c>
      <c r="M1594" s="112">
        <f>TRUNC(SUM(M1592:M1593))</f>
        <v>13479</v>
      </c>
      <c r="N1594" s="113" t="s">
        <v>975</v>
      </c>
    </row>
    <row r="1595" spans="1:15" ht="18.600000000000001" customHeight="1">
      <c r="A1595" s="135"/>
      <c r="B1595" s="136"/>
      <c r="C1595" s="138"/>
      <c r="D1595" s="138"/>
      <c r="E1595" s="138"/>
      <c r="F1595" s="138"/>
      <c r="G1595" s="138"/>
      <c r="H1595" s="139"/>
      <c r="I1595" s="138"/>
      <c r="J1595" s="138"/>
      <c r="K1595" s="137"/>
      <c r="L1595" s="137"/>
      <c r="M1595" s="140"/>
      <c r="N1595" s="141"/>
      <c r="O1595" s="114" t="s">
        <v>3682</v>
      </c>
    </row>
    <row r="1596" spans="1:15" s="152" customFormat="1" ht="16.149999999999999" customHeight="1">
      <c r="A1596" s="146"/>
      <c r="B1596" s="147"/>
      <c r="C1596" s="148"/>
      <c r="D1596" s="148"/>
      <c r="E1596" s="148"/>
      <c r="F1596" s="148"/>
      <c r="G1596" s="148"/>
      <c r="H1596" s="149"/>
      <c r="I1596" s="148"/>
      <c r="J1596" s="148"/>
      <c r="K1596" s="148" t="s">
        <v>1118</v>
      </c>
      <c r="L1596" s="148" t="s">
        <v>1582</v>
      </c>
      <c r="M1596" s="150">
        <f>M1582+M1588+M1594</f>
        <v>45785</v>
      </c>
      <c r="N1596" s="151"/>
    </row>
    <row r="1597" spans="1:15" ht="16.149999999999999" customHeight="1">
      <c r="A1597" s="153"/>
      <c r="B1597" s="125"/>
      <c r="C1597" s="153"/>
      <c r="D1597" s="153"/>
      <c r="E1597" s="153"/>
      <c r="F1597" s="153"/>
      <c r="G1597" s="153"/>
      <c r="H1597" s="154"/>
      <c r="I1597" s="153"/>
      <c r="J1597" s="153"/>
      <c r="K1597" s="153"/>
      <c r="L1597" s="153"/>
      <c r="M1597" s="128"/>
      <c r="N1597" s="142"/>
    </row>
    <row r="1598" spans="1:15" s="107" customFormat="1" ht="16.149999999999999" customHeight="1">
      <c r="A1598" s="451">
        <f>A1579+1</f>
        <v>85</v>
      </c>
      <c r="B1598" s="99" t="s">
        <v>1100</v>
      </c>
      <c r="C1598" s="100" t="s">
        <v>1526</v>
      </c>
      <c r="D1598" s="101" t="s">
        <v>228</v>
      </c>
      <c r="E1598" s="102"/>
      <c r="F1598" s="102"/>
      <c r="G1598" s="100"/>
      <c r="H1598" s="103" t="s">
        <v>1527</v>
      </c>
      <c r="I1598" s="100" t="s">
        <v>1526</v>
      </c>
      <c r="J1598" s="167" t="s">
        <v>2226</v>
      </c>
      <c r="K1598" s="104" t="s">
        <v>847</v>
      </c>
      <c r="L1598" s="100" t="s">
        <v>1526</v>
      </c>
      <c r="M1598" s="105" t="s">
        <v>230</v>
      </c>
      <c r="N1598" s="106"/>
    </row>
    <row r="1599" spans="1:15" ht="16.149999999999999" customHeight="1">
      <c r="A1599" s="108"/>
      <c r="B1599" s="109" t="s">
        <v>588</v>
      </c>
      <c r="C1599" s="110" t="s">
        <v>1582</v>
      </c>
      <c r="D1599" s="110" t="s">
        <v>589</v>
      </c>
      <c r="E1599" s="110" t="s">
        <v>86</v>
      </c>
      <c r="F1599" s="110" t="s">
        <v>590</v>
      </c>
      <c r="G1599" s="110" t="s">
        <v>86</v>
      </c>
      <c r="H1599" s="111" t="s">
        <v>2973</v>
      </c>
      <c r="I1599" s="110"/>
      <c r="J1599" s="110"/>
      <c r="K1599" s="110"/>
      <c r="L1599" s="110"/>
      <c r="M1599" s="112"/>
      <c r="N1599" s="113"/>
    </row>
    <row r="1600" spans="1:15" ht="16.149999999999999" customHeight="1">
      <c r="A1600" s="108"/>
      <c r="B1600" s="109"/>
      <c r="C1600" s="110"/>
      <c r="D1600" s="110"/>
      <c r="E1600" s="110"/>
      <c r="F1600" s="110"/>
      <c r="G1600" s="110"/>
      <c r="H1600" s="111"/>
      <c r="I1600" s="110"/>
      <c r="J1600" s="792"/>
      <c r="K1600" s="792"/>
      <c r="L1600" s="110"/>
      <c r="M1600" s="112"/>
      <c r="N1600" s="113"/>
    </row>
    <row r="1601" spans="1:15" ht="16.149999999999999" customHeight="1">
      <c r="A1601" s="115"/>
      <c r="F1601" s="117"/>
      <c r="G1601" s="118"/>
      <c r="H1601" s="119">
        <f>기계경비산출표!$E$441*1000</f>
        <v>73375000</v>
      </c>
      <c r="I1601" s="110" t="s">
        <v>972</v>
      </c>
      <c r="J1601" s="120">
        <v>2045</v>
      </c>
      <c r="K1601" s="118" t="s">
        <v>2974</v>
      </c>
      <c r="L1601" s="121" t="s">
        <v>1582</v>
      </c>
      <c r="M1601" s="112">
        <f>TRUNC(H1601*J1601*(10^-7))</f>
        <v>15005</v>
      </c>
      <c r="N1601" s="113" t="s">
        <v>975</v>
      </c>
    </row>
    <row r="1602" spans="1:15" ht="16.149999999999999" customHeight="1">
      <c r="A1602" s="115"/>
      <c r="B1602" s="122"/>
      <c r="C1602" s="118"/>
      <c r="D1602" s="33"/>
      <c r="E1602" s="110"/>
      <c r="F1602" s="118"/>
      <c r="G1602" s="118"/>
      <c r="H1602" s="123"/>
      <c r="I1602" s="118"/>
      <c r="J1602" s="110"/>
      <c r="K1602" s="110"/>
      <c r="L1602" s="110"/>
      <c r="M1602" s="112"/>
      <c r="N1602" s="113"/>
    </row>
    <row r="1603" spans="1:15" ht="16.149999999999999" customHeight="1">
      <c r="A1603" s="124"/>
      <c r="B1603" s="125" t="s">
        <v>1115</v>
      </c>
      <c r="C1603" s="126"/>
      <c r="D1603" s="126"/>
      <c r="E1603" s="126"/>
      <c r="F1603" s="126"/>
      <c r="G1603" s="126"/>
      <c r="H1603" s="127"/>
      <c r="I1603" s="126"/>
      <c r="J1603" s="126"/>
      <c r="K1603" s="126"/>
      <c r="L1603" s="126"/>
      <c r="M1603" s="128"/>
      <c r="N1603" s="129"/>
    </row>
    <row r="1604" spans="1:15" ht="16.149999999999999" customHeight="1">
      <c r="A1604" s="130"/>
      <c r="B1604" s="131" t="s">
        <v>3186</v>
      </c>
      <c r="C1604" s="118"/>
      <c r="D1604" s="33">
        <f>SUMIF('노임(2015)'!$B$4:$B$87,B1604,'노임(2015)'!$C$4:$C$87)+SUMIF('노임(2015)'!$E$4:$E$87,B1604,'노임(2015)'!$F$4:$F$87)</f>
        <v>117523</v>
      </c>
      <c r="E1604" s="110" t="s">
        <v>972</v>
      </c>
      <c r="F1604" s="110" t="s">
        <v>973</v>
      </c>
      <c r="G1604" s="132" t="s">
        <v>974</v>
      </c>
      <c r="H1604" s="111"/>
      <c r="I1604" s="110"/>
      <c r="J1604" s="110"/>
      <c r="K1604" s="133">
        <v>1</v>
      </c>
      <c r="L1604" s="118" t="s">
        <v>1582</v>
      </c>
      <c r="M1604" s="112">
        <f>TRUNC(D1604*(1/8)*(16/12)*(25/20)*K1604)</f>
        <v>24483</v>
      </c>
      <c r="N1604" s="113" t="s">
        <v>975</v>
      </c>
    </row>
    <row r="1605" spans="1:15" ht="16.149999999999999" customHeight="1">
      <c r="A1605" s="130"/>
      <c r="B1605" s="109"/>
      <c r="C1605" s="118"/>
      <c r="D1605" s="33">
        <f>SUMIF('노임(2015)'!$B$4:$B$87,B1605,'노임(2015)'!$C$4:$C$87)+SUMIF('노임(2015)'!$E$4:$E$87,B1605,'노임(2015)'!$F$4:$F$87)</f>
        <v>0</v>
      </c>
      <c r="E1605" s="110"/>
      <c r="F1605" s="110"/>
      <c r="G1605" s="132"/>
      <c r="H1605" s="111"/>
      <c r="I1605" s="110"/>
      <c r="J1605" s="110"/>
      <c r="K1605" s="134"/>
      <c r="L1605" s="118"/>
      <c r="M1605" s="112"/>
      <c r="N1605" s="113"/>
    </row>
    <row r="1606" spans="1:15" ht="18.600000000000001" customHeight="1">
      <c r="A1606" s="130"/>
      <c r="B1606" s="109"/>
      <c r="C1606" s="118"/>
      <c r="D1606" s="33"/>
      <c r="E1606" s="110"/>
      <c r="F1606" s="110"/>
      <c r="G1606" s="132"/>
      <c r="H1606" s="111"/>
      <c r="I1606" s="110"/>
      <c r="J1606" s="110"/>
      <c r="K1606" s="134"/>
      <c r="L1606" s="118"/>
      <c r="M1606" s="112"/>
      <c r="N1606" s="113"/>
      <c r="O1606" s="114" t="s">
        <v>3682</v>
      </c>
    </row>
    <row r="1607" spans="1:15" ht="16.149999999999999" customHeight="1">
      <c r="A1607" s="130"/>
      <c r="B1607" s="109"/>
      <c r="C1607" s="118"/>
      <c r="D1607" s="110"/>
      <c r="E1607" s="110"/>
      <c r="F1607" s="110"/>
      <c r="G1607" s="110"/>
      <c r="H1607" s="111"/>
      <c r="I1607" s="791"/>
      <c r="J1607" s="791"/>
      <c r="K1607" s="118" t="s">
        <v>1164</v>
      </c>
      <c r="L1607" s="118" t="s">
        <v>1582</v>
      </c>
      <c r="M1607" s="112">
        <f>(M1604+M1605+M1606)</f>
        <v>24483</v>
      </c>
      <c r="N1607" s="113" t="s">
        <v>975</v>
      </c>
      <c r="O1607" s="114" t="s">
        <v>1115</v>
      </c>
    </row>
    <row r="1608" spans="1:15" ht="18.600000000000001" customHeight="1">
      <c r="A1608" s="130"/>
      <c r="B1608" s="109"/>
      <c r="C1608" s="118"/>
      <c r="D1608" s="110"/>
      <c r="E1608" s="110"/>
      <c r="F1608" s="110"/>
      <c r="G1608" s="110"/>
      <c r="H1608" s="111"/>
      <c r="I1608" s="118"/>
      <c r="J1608" s="118"/>
      <c r="K1608" s="118"/>
      <c r="L1608" s="118"/>
      <c r="M1608" s="112"/>
      <c r="N1608" s="113"/>
      <c r="O1608" s="114" t="s">
        <v>3682</v>
      </c>
    </row>
    <row r="1609" spans="1:15" ht="18.600000000000001" customHeight="1">
      <c r="A1609" s="135"/>
      <c r="B1609" s="136"/>
      <c r="C1609" s="137"/>
      <c r="D1609" s="138"/>
      <c r="E1609" s="138"/>
      <c r="F1609" s="138"/>
      <c r="G1609" s="138"/>
      <c r="H1609" s="139"/>
      <c r="I1609" s="137"/>
      <c r="J1609" s="137"/>
      <c r="K1609" s="137"/>
      <c r="L1609" s="137"/>
      <c r="M1609" s="140"/>
      <c r="N1609" s="141"/>
      <c r="O1609" s="114" t="s">
        <v>3682</v>
      </c>
    </row>
    <row r="1610" spans="1:15" ht="16.149999999999999" customHeight="1">
      <c r="A1610" s="124"/>
      <c r="B1610" s="125" t="s">
        <v>1116</v>
      </c>
      <c r="C1610" s="142"/>
      <c r="D1610" s="126"/>
      <c r="E1610" s="126"/>
      <c r="F1610" s="126"/>
      <c r="G1610" s="126"/>
      <c r="H1610" s="127"/>
      <c r="I1610" s="126"/>
      <c r="J1610" s="126"/>
      <c r="K1610" s="126"/>
      <c r="L1610" s="126"/>
      <c r="M1610" s="128"/>
      <c r="N1610" s="129"/>
    </row>
    <row r="1611" spans="1:15" ht="16.149999999999999" customHeight="1">
      <c r="A1611" s="130"/>
      <c r="B1611" s="131" t="s">
        <v>2461</v>
      </c>
      <c r="C1611" s="118" t="s">
        <v>1526</v>
      </c>
      <c r="D1611" s="118">
        <v>12.9</v>
      </c>
      <c r="E1611" s="110" t="s">
        <v>456</v>
      </c>
      <c r="F1611" s="118" t="s">
        <v>972</v>
      </c>
      <c r="G1611" s="110"/>
      <c r="H1611" s="123">
        <f>중기기준!$G$35</f>
        <v>1114.9000000000001</v>
      </c>
      <c r="I1611" s="110" t="s">
        <v>975</v>
      </c>
      <c r="J1611" s="110"/>
      <c r="K1611" s="110"/>
      <c r="L1611" s="118" t="s">
        <v>1582</v>
      </c>
      <c r="M1611" s="112">
        <f>TRUNC(D1611*H1611,2)</f>
        <v>14382.21</v>
      </c>
      <c r="N1611" s="113" t="s">
        <v>975</v>
      </c>
    </row>
    <row r="1612" spans="1:15" ht="16.149999999999999" customHeight="1">
      <c r="A1612" s="130"/>
      <c r="B1612" s="109" t="s">
        <v>1556</v>
      </c>
      <c r="C1612" s="118" t="s">
        <v>1526</v>
      </c>
      <c r="D1612" s="145">
        <v>0.3</v>
      </c>
      <c r="E1612" s="110"/>
      <c r="F1612" s="118" t="s">
        <v>972</v>
      </c>
      <c r="G1612" s="110"/>
      <c r="H1612" s="123">
        <f>M1611</f>
        <v>14382.21</v>
      </c>
      <c r="I1612" s="110" t="s">
        <v>975</v>
      </c>
      <c r="J1612" s="110"/>
      <c r="K1612" s="110"/>
      <c r="L1612" s="118" t="s">
        <v>1582</v>
      </c>
      <c r="M1612" s="112">
        <f>TRUNC((D1612*H1612),2)</f>
        <v>4314.66</v>
      </c>
      <c r="N1612" s="113" t="s">
        <v>975</v>
      </c>
    </row>
    <row r="1613" spans="1:15" ht="16.149999999999999" customHeight="1">
      <c r="A1613" s="130"/>
      <c r="B1613" s="109"/>
      <c r="C1613" s="110"/>
      <c r="D1613" s="110"/>
      <c r="E1613" s="110"/>
      <c r="F1613" s="110"/>
      <c r="G1613" s="110"/>
      <c r="H1613" s="111"/>
      <c r="I1613" s="110"/>
      <c r="J1613" s="110"/>
      <c r="K1613" s="118" t="s">
        <v>1164</v>
      </c>
      <c r="L1613" s="118" t="s">
        <v>1582</v>
      </c>
      <c r="M1613" s="112">
        <f>TRUNC(SUM(M1611:M1612))</f>
        <v>18696</v>
      </c>
      <c r="N1613" s="113" t="s">
        <v>975</v>
      </c>
    </row>
    <row r="1614" spans="1:15" ht="18.600000000000001" customHeight="1">
      <c r="A1614" s="135"/>
      <c r="B1614" s="136"/>
      <c r="C1614" s="138"/>
      <c r="D1614" s="138"/>
      <c r="E1614" s="138"/>
      <c r="F1614" s="138"/>
      <c r="G1614" s="138"/>
      <c r="H1614" s="139"/>
      <c r="I1614" s="138"/>
      <c r="J1614" s="138"/>
      <c r="K1614" s="137"/>
      <c r="L1614" s="137"/>
      <c r="M1614" s="140"/>
      <c r="N1614" s="141"/>
      <c r="O1614" s="114" t="s">
        <v>3682</v>
      </c>
    </row>
    <row r="1615" spans="1:15" s="152" customFormat="1" ht="16.149999999999999" customHeight="1">
      <c r="A1615" s="146"/>
      <c r="B1615" s="147"/>
      <c r="C1615" s="148"/>
      <c r="D1615" s="148"/>
      <c r="E1615" s="148"/>
      <c r="F1615" s="148"/>
      <c r="G1615" s="148"/>
      <c r="H1615" s="149"/>
      <c r="I1615" s="148"/>
      <c r="J1615" s="148"/>
      <c r="K1615" s="148" t="s">
        <v>1118</v>
      </c>
      <c r="L1615" s="148" t="s">
        <v>1582</v>
      </c>
      <c r="M1615" s="150">
        <f>M1601+M1607+M1613</f>
        <v>58184</v>
      </c>
      <c r="N1615" s="151"/>
    </row>
    <row r="1616" spans="1:15" ht="16.149999999999999" customHeight="1">
      <c r="A1616" s="114"/>
    </row>
    <row r="1617" spans="1:15" s="107" customFormat="1" ht="16.149999999999999" customHeight="1">
      <c r="A1617" s="451">
        <f>A1598+1</f>
        <v>86</v>
      </c>
      <c r="B1617" s="99" t="s">
        <v>1100</v>
      </c>
      <c r="C1617" s="100" t="s">
        <v>1526</v>
      </c>
      <c r="D1617" s="101" t="s">
        <v>1398</v>
      </c>
      <c r="E1617" s="102"/>
      <c r="F1617" s="102"/>
      <c r="G1617" s="100"/>
      <c r="H1617" s="103" t="s">
        <v>1527</v>
      </c>
      <c r="I1617" s="100" t="s">
        <v>1526</v>
      </c>
      <c r="J1617" s="167" t="s">
        <v>1399</v>
      </c>
      <c r="K1617" s="104" t="s">
        <v>847</v>
      </c>
      <c r="L1617" s="100" t="s">
        <v>1526</v>
      </c>
      <c r="M1617" s="105" t="str">
        <f>기계경비산출표!$B$445</f>
        <v>7330-0010</v>
      </c>
      <c r="N1617" s="106"/>
    </row>
    <row r="1618" spans="1:15" ht="16.149999999999999" customHeight="1">
      <c r="A1618" s="108"/>
      <c r="B1618" s="109" t="s">
        <v>588</v>
      </c>
      <c r="C1618" s="110" t="s">
        <v>1582</v>
      </c>
      <c r="D1618" s="110" t="s">
        <v>589</v>
      </c>
      <c r="E1618" s="110" t="s">
        <v>86</v>
      </c>
      <c r="F1618" s="110" t="s">
        <v>590</v>
      </c>
      <c r="G1618" s="110" t="s">
        <v>86</v>
      </c>
      <c r="H1618" s="111" t="s">
        <v>2973</v>
      </c>
      <c r="I1618" s="110"/>
      <c r="J1618" s="110"/>
      <c r="K1618" s="110"/>
      <c r="L1618" s="110"/>
      <c r="M1618" s="112"/>
      <c r="N1618" s="113"/>
    </row>
    <row r="1619" spans="1:15" ht="16.149999999999999" customHeight="1">
      <c r="A1619" s="108"/>
      <c r="B1619" s="109"/>
      <c r="C1619" s="110"/>
      <c r="D1619" s="110"/>
      <c r="E1619" s="110"/>
      <c r="F1619" s="110"/>
      <c r="G1619" s="110"/>
      <c r="H1619" s="111"/>
      <c r="I1619" s="110"/>
      <c r="J1619" s="792"/>
      <c r="K1619" s="792"/>
      <c r="L1619" s="110"/>
      <c r="M1619" s="112"/>
      <c r="N1619" s="113"/>
    </row>
    <row r="1620" spans="1:15" ht="16.149999999999999" customHeight="1">
      <c r="A1620" s="115"/>
      <c r="F1620" s="117"/>
      <c r="G1620" s="118"/>
      <c r="H1620" s="119">
        <f>기계경비산출표!$E$445*1000</f>
        <v>54585000</v>
      </c>
      <c r="I1620" s="110" t="s">
        <v>972</v>
      </c>
      <c r="J1620" s="120">
        <v>2294</v>
      </c>
      <c r="K1620" s="118" t="s">
        <v>2974</v>
      </c>
      <c r="L1620" s="121" t="s">
        <v>1582</v>
      </c>
      <c r="M1620" s="112">
        <f>TRUNC(H1620*J1620*(10^-7))</f>
        <v>12521</v>
      </c>
      <c r="N1620" s="113" t="s">
        <v>975</v>
      </c>
    </row>
    <row r="1621" spans="1:15" ht="16.149999999999999" customHeight="1">
      <c r="A1621" s="115"/>
      <c r="B1621" s="122"/>
      <c r="C1621" s="118"/>
      <c r="D1621" s="33"/>
      <c r="E1621" s="110"/>
      <c r="F1621" s="118"/>
      <c r="G1621" s="118"/>
      <c r="H1621" s="123"/>
      <c r="I1621" s="118"/>
      <c r="J1621" s="110"/>
      <c r="K1621" s="110"/>
      <c r="L1621" s="110"/>
      <c r="M1621" s="112"/>
      <c r="N1621" s="113"/>
    </row>
    <row r="1622" spans="1:15" ht="16.149999999999999" customHeight="1">
      <c r="A1622" s="124"/>
      <c r="B1622" s="125" t="s">
        <v>1115</v>
      </c>
      <c r="C1622" s="126"/>
      <c r="D1622" s="126"/>
      <c r="E1622" s="126"/>
      <c r="F1622" s="126"/>
      <c r="G1622" s="126"/>
      <c r="H1622" s="127"/>
      <c r="I1622" s="126"/>
      <c r="J1622" s="126"/>
      <c r="K1622" s="126"/>
      <c r="L1622" s="126"/>
      <c r="M1622" s="128"/>
      <c r="N1622" s="129"/>
    </row>
    <row r="1623" spans="1:15" ht="16.149999999999999" customHeight="1">
      <c r="A1623" s="130"/>
      <c r="B1623" s="753" t="s">
        <v>3187</v>
      </c>
      <c r="C1623" s="118"/>
      <c r="D1623" s="33">
        <f>SUMIF('노임(2015)'!$B$4:$B$87,B1623,'노임(2015)'!$C$4:$C$87)+SUMIF('노임(2015)'!$E$4:$E$87,B1623,'노임(2015)'!$F$4:$F$87)</f>
        <v>90909</v>
      </c>
      <c r="E1623" s="110" t="s">
        <v>972</v>
      </c>
      <c r="F1623" s="110" t="s">
        <v>973</v>
      </c>
      <c r="G1623" s="132" t="s">
        <v>974</v>
      </c>
      <c r="H1623" s="111"/>
      <c r="I1623" s="110"/>
      <c r="J1623" s="110"/>
      <c r="K1623" s="133">
        <v>1</v>
      </c>
      <c r="L1623" s="118" t="s">
        <v>1582</v>
      </c>
      <c r="M1623" s="112">
        <f>TRUNC(D1623*(1/8)*(16/12)*(25/20)*K1623)</f>
        <v>18939</v>
      </c>
      <c r="N1623" s="113" t="s">
        <v>975</v>
      </c>
    </row>
    <row r="1624" spans="1:15" ht="16.149999999999999" customHeight="1">
      <c r="A1624" s="130"/>
      <c r="B1624" s="109"/>
      <c r="C1624" s="118"/>
      <c r="D1624" s="33">
        <f>SUMIF('노임(2015)'!$B$4:$B$87,B1624,'노임(2015)'!$C$4:$C$87)+SUMIF('노임(2015)'!$E$4:$E$87,B1624,'노임(2015)'!$F$4:$F$87)</f>
        <v>0</v>
      </c>
      <c r="E1624" s="110"/>
      <c r="F1624" s="110"/>
      <c r="G1624" s="132"/>
      <c r="H1624" s="111"/>
      <c r="I1624" s="110"/>
      <c r="J1624" s="110"/>
      <c r="K1624" s="134"/>
      <c r="L1624" s="118"/>
      <c r="M1624" s="112"/>
      <c r="N1624" s="113"/>
    </row>
    <row r="1625" spans="1:15" ht="18.600000000000001" customHeight="1">
      <c r="A1625" s="130"/>
      <c r="B1625" s="109"/>
      <c r="C1625" s="118"/>
      <c r="D1625" s="33"/>
      <c r="E1625" s="110"/>
      <c r="F1625" s="110"/>
      <c r="G1625" s="132"/>
      <c r="H1625" s="111"/>
      <c r="I1625" s="110"/>
      <c r="J1625" s="110"/>
      <c r="K1625" s="134"/>
      <c r="L1625" s="118"/>
      <c r="M1625" s="112"/>
      <c r="N1625" s="113"/>
      <c r="O1625" s="114" t="s">
        <v>3682</v>
      </c>
    </row>
    <row r="1626" spans="1:15" ht="16.149999999999999" customHeight="1">
      <c r="A1626" s="130"/>
      <c r="B1626" s="109"/>
      <c r="C1626" s="118"/>
      <c r="D1626" s="110"/>
      <c r="E1626" s="110"/>
      <c r="F1626" s="110"/>
      <c r="G1626" s="110"/>
      <c r="H1626" s="111"/>
      <c r="I1626" s="791"/>
      <c r="J1626" s="791"/>
      <c r="K1626" s="118" t="s">
        <v>1164</v>
      </c>
      <c r="L1626" s="118" t="s">
        <v>1582</v>
      </c>
      <c r="M1626" s="112">
        <f>(M1623+M1624+M1625)</f>
        <v>18939</v>
      </c>
      <c r="N1626" s="113" t="s">
        <v>975</v>
      </c>
      <c r="O1626" s="114" t="s">
        <v>1115</v>
      </c>
    </row>
    <row r="1627" spans="1:15" ht="18.600000000000001" customHeight="1">
      <c r="A1627" s="130"/>
      <c r="B1627" s="109"/>
      <c r="C1627" s="118"/>
      <c r="D1627" s="110"/>
      <c r="E1627" s="110"/>
      <c r="F1627" s="110"/>
      <c r="G1627" s="110"/>
      <c r="H1627" s="111"/>
      <c r="I1627" s="118"/>
      <c r="J1627" s="118"/>
      <c r="K1627" s="118"/>
      <c r="L1627" s="118"/>
      <c r="M1627" s="112"/>
      <c r="N1627" s="113"/>
      <c r="O1627" s="114" t="s">
        <v>3682</v>
      </c>
    </row>
    <row r="1628" spans="1:15" ht="18.600000000000001" customHeight="1">
      <c r="A1628" s="135"/>
      <c r="B1628" s="136"/>
      <c r="C1628" s="137"/>
      <c r="D1628" s="138"/>
      <c r="E1628" s="138"/>
      <c r="F1628" s="138"/>
      <c r="G1628" s="138"/>
      <c r="H1628" s="139"/>
      <c r="I1628" s="137"/>
      <c r="J1628" s="137"/>
      <c r="K1628" s="137"/>
      <c r="L1628" s="137"/>
      <c r="M1628" s="140"/>
      <c r="N1628" s="141"/>
      <c r="O1628" s="114" t="s">
        <v>3682</v>
      </c>
    </row>
    <row r="1629" spans="1:15" ht="16.149999999999999" customHeight="1">
      <c r="A1629" s="124"/>
      <c r="B1629" s="125" t="s">
        <v>1116</v>
      </c>
      <c r="C1629" s="142"/>
      <c r="D1629" s="126"/>
      <c r="E1629" s="126"/>
      <c r="F1629" s="126"/>
      <c r="G1629" s="126"/>
      <c r="H1629" s="127"/>
      <c r="I1629" s="126"/>
      <c r="J1629" s="126"/>
      <c r="K1629" s="126"/>
      <c r="L1629" s="126"/>
      <c r="M1629" s="128"/>
      <c r="N1629" s="129"/>
    </row>
    <row r="1630" spans="1:15" ht="16.149999999999999" customHeight="1">
      <c r="A1630" s="130"/>
      <c r="B1630" s="131" t="s">
        <v>2461</v>
      </c>
      <c r="C1630" s="118" t="s">
        <v>1526</v>
      </c>
      <c r="D1630" s="118">
        <v>20.7</v>
      </c>
      <c r="E1630" s="110" t="s">
        <v>456</v>
      </c>
      <c r="F1630" s="118" t="s">
        <v>972</v>
      </c>
      <c r="G1630" s="110"/>
      <c r="H1630" s="123">
        <f>중기기준!$G$35</f>
        <v>1114.9000000000001</v>
      </c>
      <c r="I1630" s="110" t="s">
        <v>975</v>
      </c>
      <c r="J1630" s="110"/>
      <c r="K1630" s="110"/>
      <c r="L1630" s="118" t="s">
        <v>1582</v>
      </c>
      <c r="M1630" s="112">
        <f>TRUNC(D1630*H1630,2)</f>
        <v>23078.43</v>
      </c>
      <c r="N1630" s="113" t="s">
        <v>975</v>
      </c>
    </row>
    <row r="1631" spans="1:15" ht="16.149999999999999" customHeight="1">
      <c r="A1631" s="130"/>
      <c r="B1631" s="109" t="s">
        <v>1556</v>
      </c>
      <c r="C1631" s="118" t="s">
        <v>1526</v>
      </c>
      <c r="D1631" s="145">
        <v>0.04</v>
      </c>
      <c r="E1631" s="110"/>
      <c r="F1631" s="118" t="s">
        <v>972</v>
      </c>
      <c r="G1631" s="110"/>
      <c r="H1631" s="123">
        <f>M1630</f>
        <v>23078.43</v>
      </c>
      <c r="I1631" s="110" t="s">
        <v>975</v>
      </c>
      <c r="J1631" s="110"/>
      <c r="K1631" s="110"/>
      <c r="L1631" s="118" t="s">
        <v>1582</v>
      </c>
      <c r="M1631" s="112">
        <f>TRUNC((D1631*H1631),2)</f>
        <v>923.13</v>
      </c>
      <c r="N1631" s="113" t="s">
        <v>975</v>
      </c>
    </row>
    <row r="1632" spans="1:15" ht="16.149999999999999" customHeight="1">
      <c r="A1632" s="130"/>
      <c r="B1632" s="109"/>
      <c r="C1632" s="110"/>
      <c r="D1632" s="110"/>
      <c r="E1632" s="110"/>
      <c r="F1632" s="110"/>
      <c r="G1632" s="110"/>
      <c r="H1632" s="111"/>
      <c r="I1632" s="110"/>
      <c r="J1632" s="110"/>
      <c r="K1632" s="118" t="s">
        <v>1164</v>
      </c>
      <c r="L1632" s="118" t="s">
        <v>1582</v>
      </c>
      <c r="M1632" s="112">
        <f>TRUNC(SUM(M1630:M1631))</f>
        <v>24001</v>
      </c>
      <c r="N1632" s="113" t="s">
        <v>975</v>
      </c>
    </row>
    <row r="1633" spans="1:15" ht="18.600000000000001" customHeight="1">
      <c r="A1633" s="135"/>
      <c r="B1633" s="136"/>
      <c r="C1633" s="138"/>
      <c r="D1633" s="138"/>
      <c r="E1633" s="138"/>
      <c r="F1633" s="138"/>
      <c r="G1633" s="138"/>
      <c r="H1633" s="139"/>
      <c r="I1633" s="138"/>
      <c r="J1633" s="138"/>
      <c r="K1633" s="137"/>
      <c r="L1633" s="137"/>
      <c r="M1633" s="140"/>
      <c r="N1633" s="141"/>
      <c r="O1633" s="114" t="s">
        <v>3682</v>
      </c>
    </row>
    <row r="1634" spans="1:15" s="152" customFormat="1" ht="16.149999999999999" customHeight="1">
      <c r="A1634" s="146"/>
      <c r="B1634" s="147"/>
      <c r="C1634" s="148"/>
      <c r="D1634" s="148"/>
      <c r="E1634" s="148"/>
      <c r="F1634" s="148"/>
      <c r="G1634" s="148"/>
      <c r="H1634" s="149"/>
      <c r="I1634" s="148"/>
      <c r="J1634" s="148"/>
      <c r="K1634" s="148" t="s">
        <v>1118</v>
      </c>
      <c r="L1634" s="148" t="s">
        <v>1582</v>
      </c>
      <c r="M1634" s="150">
        <f>M1620+M1626+M1632</f>
        <v>55461</v>
      </c>
      <c r="N1634" s="151"/>
    </row>
    <row r="1635" spans="1:15" ht="16.149999999999999" customHeight="1">
      <c r="A1635" s="155"/>
      <c r="B1635" s="136"/>
      <c r="C1635" s="155"/>
      <c r="D1635" s="155"/>
      <c r="E1635" s="155"/>
      <c r="F1635" s="155"/>
      <c r="G1635" s="155"/>
      <c r="H1635" s="156"/>
      <c r="I1635" s="155"/>
      <c r="J1635" s="155"/>
      <c r="K1635" s="155"/>
      <c r="L1635" s="155"/>
      <c r="M1635" s="140"/>
      <c r="N1635" s="137"/>
    </row>
    <row r="1636" spans="1:15" s="107" customFormat="1" ht="16.149999999999999" customHeight="1">
      <c r="A1636" s="451">
        <f>A1617+1</f>
        <v>87</v>
      </c>
      <c r="B1636" s="99" t="s">
        <v>1100</v>
      </c>
      <c r="C1636" s="100" t="s">
        <v>1526</v>
      </c>
      <c r="D1636" s="101" t="s">
        <v>2217</v>
      </c>
      <c r="E1636" s="102"/>
      <c r="F1636" s="102"/>
      <c r="G1636" s="100"/>
      <c r="H1636" s="171" t="s">
        <v>231</v>
      </c>
      <c r="I1636" s="100"/>
      <c r="J1636" s="167"/>
      <c r="K1636" s="104" t="s">
        <v>847</v>
      </c>
      <c r="L1636" s="100" t="s">
        <v>1526</v>
      </c>
      <c r="M1636" s="105" t="str">
        <f>기계경비산출표!$B$486</f>
        <v>7730-0100</v>
      </c>
      <c r="N1636" s="106"/>
    </row>
    <row r="1637" spans="1:15" ht="16.149999999999999" customHeight="1">
      <c r="A1637" s="108"/>
      <c r="B1637" s="109" t="s">
        <v>588</v>
      </c>
      <c r="C1637" s="110" t="s">
        <v>1582</v>
      </c>
      <c r="D1637" s="110" t="s">
        <v>589</v>
      </c>
      <c r="E1637" s="110" t="s">
        <v>86</v>
      </c>
      <c r="F1637" s="110" t="s">
        <v>590</v>
      </c>
      <c r="G1637" s="110" t="s">
        <v>86</v>
      </c>
      <c r="H1637" s="111" t="s">
        <v>2973</v>
      </c>
      <c r="I1637" s="110"/>
      <c r="J1637" s="110"/>
      <c r="K1637" s="110"/>
      <c r="L1637" s="110"/>
      <c r="M1637" s="112"/>
      <c r="N1637" s="113"/>
    </row>
    <row r="1638" spans="1:15" ht="16.149999999999999" customHeight="1">
      <c r="A1638" s="108"/>
      <c r="B1638" s="109"/>
      <c r="C1638" s="110"/>
      <c r="D1638" s="110"/>
      <c r="E1638" s="110"/>
      <c r="F1638" s="110"/>
      <c r="G1638" s="110"/>
      <c r="H1638" s="111"/>
      <c r="I1638" s="110"/>
      <c r="J1638" s="792"/>
      <c r="K1638" s="792"/>
      <c r="L1638" s="110"/>
      <c r="M1638" s="112"/>
      <c r="N1638" s="113"/>
    </row>
    <row r="1639" spans="1:15" ht="16.149999999999999" customHeight="1">
      <c r="A1639" s="115"/>
      <c r="F1639" s="117"/>
      <c r="G1639" s="118"/>
      <c r="H1639" s="119">
        <f>기계경비산출표!$E$486*1000</f>
        <v>290000</v>
      </c>
      <c r="I1639" s="110" t="s">
        <v>972</v>
      </c>
      <c r="J1639" s="120">
        <v>2686</v>
      </c>
      <c r="K1639" s="118" t="s">
        <v>2974</v>
      </c>
      <c r="L1639" s="121" t="s">
        <v>1582</v>
      </c>
      <c r="M1639" s="112">
        <f>TRUNC(H1639*J1639*(10^-7))</f>
        <v>77</v>
      </c>
      <c r="N1639" s="113" t="s">
        <v>975</v>
      </c>
    </row>
    <row r="1640" spans="1:15" ht="16.149999999999999" customHeight="1">
      <c r="A1640" s="115"/>
      <c r="B1640" s="122"/>
      <c r="C1640" s="118"/>
      <c r="D1640" s="33"/>
      <c r="E1640" s="110"/>
      <c r="F1640" s="118"/>
      <c r="G1640" s="118"/>
      <c r="H1640" s="123"/>
      <c r="I1640" s="118"/>
      <c r="J1640" s="110"/>
      <c r="K1640" s="110"/>
      <c r="L1640" s="110"/>
      <c r="M1640" s="112"/>
      <c r="N1640" s="113"/>
    </row>
    <row r="1641" spans="1:15" ht="16.149999999999999" customHeight="1">
      <c r="A1641" s="124"/>
      <c r="B1641" s="125" t="s">
        <v>1115</v>
      </c>
      <c r="C1641" s="126"/>
      <c r="D1641" s="126"/>
      <c r="E1641" s="126"/>
      <c r="F1641" s="126"/>
      <c r="G1641" s="126"/>
      <c r="H1641" s="127"/>
      <c r="I1641" s="126"/>
      <c r="J1641" s="126"/>
      <c r="K1641" s="126"/>
      <c r="L1641" s="126"/>
      <c r="M1641" s="128"/>
      <c r="N1641" s="129"/>
    </row>
    <row r="1642" spans="1:15" ht="16.149999999999999" customHeight="1">
      <c r="A1642" s="130"/>
      <c r="B1642" s="131"/>
      <c r="C1642" s="118"/>
      <c r="D1642" s="33">
        <f>SUMIF('노임(2015)'!$B$4:$B$87,B1642,'노임(2015)'!$C$4:$C$87)+SUMIF('노임(2015)'!$E$4:$E$87,B1642,'노임(2015)'!$F$4:$F$87)</f>
        <v>0</v>
      </c>
      <c r="E1642" s="110"/>
      <c r="F1642" s="110"/>
      <c r="G1642" s="132"/>
      <c r="H1642" s="111"/>
      <c r="I1642" s="110"/>
      <c r="J1642" s="110"/>
      <c r="K1642" s="133"/>
      <c r="L1642" s="118"/>
      <c r="M1642" s="112"/>
      <c r="N1642" s="113"/>
    </row>
    <row r="1643" spans="1:15" ht="16.149999999999999" customHeight="1">
      <c r="A1643" s="130"/>
      <c r="B1643" s="109"/>
      <c r="C1643" s="118"/>
      <c r="D1643" s="33">
        <f>SUMIF('노임(2015)'!$B$4:$B$87,B1643,'노임(2015)'!$C$4:$C$87)+SUMIF('노임(2015)'!$E$4:$E$87,B1643,'노임(2015)'!$F$4:$F$87)</f>
        <v>0</v>
      </c>
      <c r="E1643" s="110"/>
      <c r="F1643" s="110"/>
      <c r="G1643" s="132"/>
      <c r="H1643" s="111"/>
      <c r="I1643" s="110"/>
      <c r="J1643" s="110"/>
      <c r="K1643" s="134"/>
      <c r="L1643" s="118"/>
      <c r="M1643" s="112"/>
      <c r="N1643" s="113"/>
    </row>
    <row r="1644" spans="1:15" ht="18.600000000000001" customHeight="1">
      <c r="A1644" s="130"/>
      <c r="B1644" s="109"/>
      <c r="C1644" s="118"/>
      <c r="D1644" s="33"/>
      <c r="E1644" s="110"/>
      <c r="F1644" s="110"/>
      <c r="G1644" s="132"/>
      <c r="H1644" s="111"/>
      <c r="I1644" s="110"/>
      <c r="J1644" s="110"/>
      <c r="K1644" s="134"/>
      <c r="L1644" s="118"/>
      <c r="M1644" s="112"/>
      <c r="N1644" s="113"/>
      <c r="O1644" s="114" t="s">
        <v>3682</v>
      </c>
    </row>
    <row r="1645" spans="1:15" ht="16.149999999999999" customHeight="1">
      <c r="A1645" s="130"/>
      <c r="B1645" s="109"/>
      <c r="C1645" s="118"/>
      <c r="D1645" s="110"/>
      <c r="E1645" s="110"/>
      <c r="F1645" s="110"/>
      <c r="G1645" s="110"/>
      <c r="H1645" s="111"/>
      <c r="I1645" s="791"/>
      <c r="J1645" s="791"/>
      <c r="K1645" s="118" t="s">
        <v>1164</v>
      </c>
      <c r="L1645" s="118" t="s">
        <v>1582</v>
      </c>
      <c r="M1645" s="112">
        <f>(M1642+M1643+M1644)</f>
        <v>0</v>
      </c>
      <c r="N1645" s="113" t="s">
        <v>975</v>
      </c>
      <c r="O1645" s="114" t="s">
        <v>1115</v>
      </c>
    </row>
    <row r="1646" spans="1:15" ht="18.600000000000001" customHeight="1">
      <c r="A1646" s="130"/>
      <c r="B1646" s="109"/>
      <c r="C1646" s="118"/>
      <c r="D1646" s="110"/>
      <c r="E1646" s="110"/>
      <c r="F1646" s="110"/>
      <c r="G1646" s="110"/>
      <c r="H1646" s="111"/>
      <c r="I1646" s="118"/>
      <c r="J1646" s="118"/>
      <c r="K1646" s="118"/>
      <c r="L1646" s="118"/>
      <c r="M1646" s="112"/>
      <c r="N1646" s="113"/>
      <c r="O1646" s="114" t="s">
        <v>3682</v>
      </c>
    </row>
    <row r="1647" spans="1:15" ht="18.600000000000001" customHeight="1">
      <c r="A1647" s="135"/>
      <c r="B1647" s="136"/>
      <c r="C1647" s="137"/>
      <c r="D1647" s="138"/>
      <c r="E1647" s="138"/>
      <c r="F1647" s="138"/>
      <c r="G1647" s="138"/>
      <c r="H1647" s="139"/>
      <c r="I1647" s="137"/>
      <c r="J1647" s="137"/>
      <c r="K1647" s="137"/>
      <c r="L1647" s="137"/>
      <c r="M1647" s="140"/>
      <c r="N1647" s="141"/>
      <c r="O1647" s="114" t="s">
        <v>3682</v>
      </c>
    </row>
    <row r="1648" spans="1:15" ht="16.149999999999999" customHeight="1">
      <c r="A1648" s="124"/>
      <c r="B1648" s="125" t="s">
        <v>1116</v>
      </c>
      <c r="C1648" s="142"/>
      <c r="D1648" s="126"/>
      <c r="E1648" s="126"/>
      <c r="F1648" s="126"/>
      <c r="G1648" s="126"/>
      <c r="H1648" s="127"/>
      <c r="I1648" s="126"/>
      <c r="J1648" s="126"/>
      <c r="K1648" s="126"/>
      <c r="L1648" s="126"/>
      <c r="M1648" s="128"/>
      <c r="N1648" s="129"/>
    </row>
    <row r="1649" spans="1:15" ht="16.149999999999999" customHeight="1">
      <c r="A1649" s="130"/>
      <c r="B1649" s="131"/>
      <c r="C1649" s="118"/>
      <c r="D1649" s="118"/>
      <c r="E1649" s="110"/>
      <c r="F1649" s="118"/>
      <c r="G1649" s="110"/>
      <c r="H1649" s="123"/>
      <c r="I1649" s="110"/>
      <c r="J1649" s="110"/>
      <c r="K1649" s="110"/>
      <c r="L1649" s="118"/>
      <c r="M1649" s="112"/>
      <c r="N1649" s="113"/>
    </row>
    <row r="1650" spans="1:15" ht="16.149999999999999" customHeight="1">
      <c r="A1650" s="130"/>
      <c r="B1650" s="109"/>
      <c r="C1650" s="118"/>
      <c r="D1650" s="145"/>
      <c r="E1650" s="110"/>
      <c r="F1650" s="118"/>
      <c r="G1650" s="110"/>
      <c r="H1650" s="123"/>
      <c r="I1650" s="110"/>
      <c r="J1650" s="110"/>
      <c r="K1650" s="110"/>
      <c r="L1650" s="118"/>
      <c r="M1650" s="112"/>
      <c r="N1650" s="113"/>
    </row>
    <row r="1651" spans="1:15" ht="16.149999999999999" customHeight="1">
      <c r="A1651" s="130"/>
      <c r="B1651" s="109"/>
      <c r="C1651" s="110"/>
      <c r="D1651" s="110"/>
      <c r="E1651" s="110"/>
      <c r="F1651" s="110"/>
      <c r="G1651" s="110"/>
      <c r="H1651" s="111"/>
      <c r="I1651" s="110"/>
      <c r="J1651" s="110"/>
      <c r="K1651" s="118" t="s">
        <v>1164</v>
      </c>
      <c r="L1651" s="118" t="s">
        <v>1582</v>
      </c>
      <c r="M1651" s="112">
        <f>TRUNC(SUM(M1649:M1650))</f>
        <v>0</v>
      </c>
      <c r="N1651" s="113" t="s">
        <v>975</v>
      </c>
    </row>
    <row r="1652" spans="1:15" ht="18.600000000000001" customHeight="1">
      <c r="A1652" s="135"/>
      <c r="B1652" s="136"/>
      <c r="C1652" s="138"/>
      <c r="D1652" s="138"/>
      <c r="E1652" s="138"/>
      <c r="F1652" s="138"/>
      <c r="G1652" s="138"/>
      <c r="H1652" s="139"/>
      <c r="I1652" s="138"/>
      <c r="J1652" s="138"/>
      <c r="K1652" s="137"/>
      <c r="L1652" s="137"/>
      <c r="M1652" s="140"/>
      <c r="N1652" s="141"/>
      <c r="O1652" s="114" t="s">
        <v>3682</v>
      </c>
    </row>
    <row r="1653" spans="1:15" s="152" customFormat="1" ht="16.149999999999999" customHeight="1">
      <c r="A1653" s="146"/>
      <c r="B1653" s="147"/>
      <c r="C1653" s="148"/>
      <c r="D1653" s="148"/>
      <c r="E1653" s="148"/>
      <c r="F1653" s="148"/>
      <c r="G1653" s="148"/>
      <c r="H1653" s="149"/>
      <c r="I1653" s="148"/>
      <c r="J1653" s="148"/>
      <c r="K1653" s="148" t="s">
        <v>1118</v>
      </c>
      <c r="L1653" s="148" t="s">
        <v>1582</v>
      </c>
      <c r="M1653" s="150">
        <f>M1639+M1645+M1651</f>
        <v>77</v>
      </c>
      <c r="N1653" s="151"/>
    </row>
    <row r="1654" spans="1:15" ht="16.149999999999999" customHeight="1">
      <c r="A1654" s="114"/>
    </row>
    <row r="1655" spans="1:15" s="107" customFormat="1" ht="16.149999999999999" customHeight="1">
      <c r="A1655" s="451">
        <f>A1636+1</f>
        <v>88</v>
      </c>
      <c r="B1655" s="99" t="s">
        <v>1100</v>
      </c>
      <c r="C1655" s="100" t="s">
        <v>1526</v>
      </c>
      <c r="D1655" s="101" t="s">
        <v>1401</v>
      </c>
      <c r="E1655" s="102"/>
      <c r="F1655" s="102"/>
      <c r="G1655" s="100"/>
      <c r="H1655" s="171" t="s">
        <v>2280</v>
      </c>
      <c r="I1655" s="100"/>
      <c r="J1655" s="167"/>
      <c r="K1655" s="104" t="s">
        <v>847</v>
      </c>
      <c r="L1655" s="100" t="s">
        <v>1526</v>
      </c>
      <c r="M1655" s="105" t="str">
        <f>기계경비산출표!$B$499</f>
        <v>7811-0070</v>
      </c>
      <c r="N1655" s="106"/>
    </row>
    <row r="1656" spans="1:15" ht="16.149999999999999" customHeight="1">
      <c r="A1656" s="108"/>
      <c r="B1656" s="109" t="s">
        <v>588</v>
      </c>
      <c r="C1656" s="110" t="s">
        <v>1582</v>
      </c>
      <c r="D1656" s="110" t="s">
        <v>589</v>
      </c>
      <c r="E1656" s="110" t="s">
        <v>86</v>
      </c>
      <c r="F1656" s="110" t="s">
        <v>590</v>
      </c>
      <c r="G1656" s="110" t="s">
        <v>86</v>
      </c>
      <c r="H1656" s="111" t="s">
        <v>2973</v>
      </c>
      <c r="I1656" s="110"/>
      <c r="J1656" s="110"/>
      <c r="K1656" s="110"/>
      <c r="L1656" s="110"/>
      <c r="M1656" s="112"/>
      <c r="N1656" s="113"/>
    </row>
    <row r="1657" spans="1:15" ht="16.149999999999999" customHeight="1">
      <c r="A1657" s="108"/>
      <c r="B1657" s="109"/>
      <c r="C1657" s="110"/>
      <c r="D1657" s="110"/>
      <c r="E1657" s="110"/>
      <c r="F1657" s="110"/>
      <c r="G1657" s="110"/>
      <c r="H1657" s="111"/>
      <c r="I1657" s="110"/>
      <c r="J1657" s="792"/>
      <c r="K1657" s="792"/>
      <c r="L1657" s="110"/>
      <c r="M1657" s="112"/>
      <c r="N1657" s="113"/>
    </row>
    <row r="1658" spans="1:15" ht="16.149999999999999" customHeight="1">
      <c r="A1658" s="115"/>
      <c r="F1658" s="117"/>
      <c r="G1658" s="118"/>
      <c r="H1658" s="119">
        <f>기계경비산출표!$E$499*1000</f>
        <v>407000</v>
      </c>
      <c r="I1658" s="110" t="s">
        <v>972</v>
      </c>
      <c r="J1658" s="120">
        <v>2731</v>
      </c>
      <c r="K1658" s="118" t="s">
        <v>2974</v>
      </c>
      <c r="L1658" s="121" t="s">
        <v>1582</v>
      </c>
      <c r="M1658" s="112">
        <f>TRUNC(H1658*J1658*(10^-7))</f>
        <v>111</v>
      </c>
      <c r="N1658" s="113" t="s">
        <v>975</v>
      </c>
    </row>
    <row r="1659" spans="1:15" ht="16.149999999999999" customHeight="1">
      <c r="A1659" s="115"/>
      <c r="B1659" s="122"/>
      <c r="C1659" s="118"/>
      <c r="D1659" s="33"/>
      <c r="E1659" s="110"/>
      <c r="F1659" s="118"/>
      <c r="G1659" s="118"/>
      <c r="H1659" s="123"/>
      <c r="I1659" s="118"/>
      <c r="J1659" s="110"/>
      <c r="K1659" s="110"/>
      <c r="L1659" s="110"/>
      <c r="M1659" s="112"/>
      <c r="N1659" s="113"/>
    </row>
    <row r="1660" spans="1:15" ht="16.149999999999999" customHeight="1">
      <c r="A1660" s="124"/>
      <c r="B1660" s="125" t="s">
        <v>1115</v>
      </c>
      <c r="C1660" s="126"/>
      <c r="D1660" s="126"/>
      <c r="E1660" s="126"/>
      <c r="F1660" s="126"/>
      <c r="G1660" s="126"/>
      <c r="H1660" s="127"/>
      <c r="I1660" s="126"/>
      <c r="J1660" s="126"/>
      <c r="K1660" s="126"/>
      <c r="L1660" s="126"/>
      <c r="M1660" s="128"/>
      <c r="N1660" s="129"/>
    </row>
    <row r="1661" spans="1:15" ht="16.149999999999999" customHeight="1">
      <c r="A1661" s="130"/>
      <c r="B1661" s="131"/>
      <c r="C1661" s="118"/>
      <c r="D1661" s="33">
        <f>SUMIF('노임(2015)'!$B$4:$B$87,B1661,'노임(2015)'!$C$4:$C$87)+SUMIF('노임(2015)'!$E$4:$E$87,B1661,'노임(2015)'!$F$4:$F$87)</f>
        <v>0</v>
      </c>
      <c r="E1661" s="110"/>
      <c r="F1661" s="110"/>
      <c r="G1661" s="132"/>
      <c r="H1661" s="111"/>
      <c r="I1661" s="110"/>
      <c r="J1661" s="110"/>
      <c r="K1661" s="133"/>
      <c r="L1661" s="118"/>
      <c r="M1661" s="112"/>
      <c r="N1661" s="113"/>
    </row>
    <row r="1662" spans="1:15" ht="16.149999999999999" customHeight="1">
      <c r="A1662" s="130"/>
      <c r="B1662" s="109"/>
      <c r="C1662" s="118"/>
      <c r="D1662" s="33">
        <f>SUMIF('노임(2015)'!$B$4:$B$87,B1662,'노임(2015)'!$C$4:$C$87)+SUMIF('노임(2015)'!$E$4:$E$87,B1662,'노임(2015)'!$F$4:$F$87)</f>
        <v>0</v>
      </c>
      <c r="E1662" s="110"/>
      <c r="F1662" s="110"/>
      <c r="G1662" s="132"/>
      <c r="H1662" s="111"/>
      <c r="I1662" s="110"/>
      <c r="J1662" s="110"/>
      <c r="K1662" s="134"/>
      <c r="L1662" s="118"/>
      <c r="M1662" s="112"/>
      <c r="N1662" s="113"/>
    </row>
    <row r="1663" spans="1:15" ht="18.600000000000001" customHeight="1">
      <c r="A1663" s="130"/>
      <c r="B1663" s="109"/>
      <c r="C1663" s="118"/>
      <c r="D1663" s="33"/>
      <c r="E1663" s="110"/>
      <c r="F1663" s="110"/>
      <c r="G1663" s="132"/>
      <c r="H1663" s="111"/>
      <c r="I1663" s="110"/>
      <c r="J1663" s="110"/>
      <c r="K1663" s="134"/>
      <c r="L1663" s="118"/>
      <c r="M1663" s="112"/>
      <c r="N1663" s="113"/>
      <c r="O1663" s="114" t="s">
        <v>3682</v>
      </c>
    </row>
    <row r="1664" spans="1:15" ht="16.149999999999999" customHeight="1">
      <c r="A1664" s="130"/>
      <c r="B1664" s="109"/>
      <c r="C1664" s="118"/>
      <c r="D1664" s="110"/>
      <c r="E1664" s="110"/>
      <c r="F1664" s="110"/>
      <c r="G1664" s="110"/>
      <c r="H1664" s="111"/>
      <c r="I1664" s="791"/>
      <c r="J1664" s="791"/>
      <c r="K1664" s="118" t="s">
        <v>1164</v>
      </c>
      <c r="L1664" s="118" t="s">
        <v>1582</v>
      </c>
      <c r="M1664" s="112">
        <f>(M1661+M1662+M1663)</f>
        <v>0</v>
      </c>
      <c r="N1664" s="113" t="s">
        <v>975</v>
      </c>
      <c r="O1664" s="114" t="s">
        <v>1115</v>
      </c>
    </row>
    <row r="1665" spans="1:15" ht="18.600000000000001" customHeight="1">
      <c r="A1665" s="130"/>
      <c r="B1665" s="109"/>
      <c r="C1665" s="118"/>
      <c r="D1665" s="110"/>
      <c r="E1665" s="110"/>
      <c r="F1665" s="110"/>
      <c r="G1665" s="110"/>
      <c r="H1665" s="111"/>
      <c r="I1665" s="118"/>
      <c r="J1665" s="118"/>
      <c r="K1665" s="118"/>
      <c r="L1665" s="118"/>
      <c r="M1665" s="112"/>
      <c r="N1665" s="113"/>
      <c r="O1665" s="114" t="s">
        <v>3682</v>
      </c>
    </row>
    <row r="1666" spans="1:15" ht="18.600000000000001" customHeight="1">
      <c r="A1666" s="135"/>
      <c r="B1666" s="136"/>
      <c r="C1666" s="137"/>
      <c r="D1666" s="138"/>
      <c r="E1666" s="138"/>
      <c r="F1666" s="138"/>
      <c r="G1666" s="138"/>
      <c r="H1666" s="139"/>
      <c r="I1666" s="137"/>
      <c r="J1666" s="137"/>
      <c r="K1666" s="137"/>
      <c r="L1666" s="137"/>
      <c r="M1666" s="140"/>
      <c r="N1666" s="141"/>
      <c r="O1666" s="114" t="s">
        <v>3682</v>
      </c>
    </row>
    <row r="1667" spans="1:15" ht="16.149999999999999" customHeight="1">
      <c r="A1667" s="124"/>
      <c r="B1667" s="125" t="s">
        <v>1116</v>
      </c>
      <c r="C1667" s="142"/>
      <c r="D1667" s="126"/>
      <c r="E1667" s="126"/>
      <c r="F1667" s="126"/>
      <c r="G1667" s="126"/>
      <c r="H1667" s="127"/>
      <c r="I1667" s="126"/>
      <c r="J1667" s="126"/>
      <c r="K1667" s="126"/>
      <c r="L1667" s="126"/>
      <c r="M1667" s="128"/>
      <c r="N1667" s="129"/>
    </row>
    <row r="1668" spans="1:15" ht="16.149999999999999" customHeight="1">
      <c r="A1668" s="130"/>
      <c r="B1668" s="131" t="s">
        <v>970</v>
      </c>
      <c r="C1668" s="118" t="s">
        <v>1526</v>
      </c>
      <c r="D1668" s="118">
        <v>1.4</v>
      </c>
      <c r="E1668" s="110" t="s">
        <v>456</v>
      </c>
      <c r="F1668" s="118" t="s">
        <v>972</v>
      </c>
      <c r="G1668" s="110"/>
      <c r="H1668" s="123">
        <f>중기기준!$G$33</f>
        <v>1324.27</v>
      </c>
      <c r="I1668" s="110" t="s">
        <v>975</v>
      </c>
      <c r="J1668" s="110"/>
      <c r="K1668" s="110"/>
      <c r="L1668" s="118" t="s">
        <v>1582</v>
      </c>
      <c r="M1668" s="112">
        <f>TRUNC(D1668*H1668,2)</f>
        <v>1853.97</v>
      </c>
      <c r="N1668" s="113" t="s">
        <v>975</v>
      </c>
    </row>
    <row r="1669" spans="1:15" ht="16.149999999999999" customHeight="1">
      <c r="A1669" s="130"/>
      <c r="B1669" s="109" t="s">
        <v>1556</v>
      </c>
      <c r="C1669" s="118" t="s">
        <v>1526</v>
      </c>
      <c r="D1669" s="145">
        <v>0.2</v>
      </c>
      <c r="E1669" s="110"/>
      <c r="F1669" s="118" t="s">
        <v>972</v>
      </c>
      <c r="G1669" s="110"/>
      <c r="H1669" s="123">
        <f>M1668</f>
        <v>1853.97</v>
      </c>
      <c r="I1669" s="110" t="s">
        <v>975</v>
      </c>
      <c r="J1669" s="110"/>
      <c r="K1669" s="110"/>
      <c r="L1669" s="118" t="s">
        <v>1582</v>
      </c>
      <c r="M1669" s="112">
        <f>TRUNC((D1669*H1669),2)</f>
        <v>370.79</v>
      </c>
      <c r="N1669" s="113" t="s">
        <v>975</v>
      </c>
    </row>
    <row r="1670" spans="1:15" ht="16.149999999999999" customHeight="1">
      <c r="A1670" s="130"/>
      <c r="B1670" s="109"/>
      <c r="C1670" s="110"/>
      <c r="D1670" s="110"/>
      <c r="E1670" s="110"/>
      <c r="F1670" s="110"/>
      <c r="G1670" s="110"/>
      <c r="H1670" s="111"/>
      <c r="I1670" s="110"/>
      <c r="J1670" s="110"/>
      <c r="K1670" s="118" t="s">
        <v>1164</v>
      </c>
      <c r="L1670" s="118" t="s">
        <v>1582</v>
      </c>
      <c r="M1670" s="112">
        <f>TRUNC(SUM(M1668:M1669))</f>
        <v>2224</v>
      </c>
      <c r="N1670" s="113" t="s">
        <v>975</v>
      </c>
    </row>
    <row r="1671" spans="1:15" ht="18.600000000000001" customHeight="1">
      <c r="A1671" s="135"/>
      <c r="B1671" s="136"/>
      <c r="C1671" s="138"/>
      <c r="D1671" s="138"/>
      <c r="E1671" s="138"/>
      <c r="F1671" s="138"/>
      <c r="G1671" s="138"/>
      <c r="H1671" s="139"/>
      <c r="I1671" s="138"/>
      <c r="J1671" s="138"/>
      <c r="K1671" s="137"/>
      <c r="L1671" s="137"/>
      <c r="M1671" s="140"/>
      <c r="N1671" s="141"/>
      <c r="O1671" s="114" t="s">
        <v>3682</v>
      </c>
    </row>
    <row r="1672" spans="1:15" s="152" customFormat="1" ht="16.149999999999999" customHeight="1">
      <c r="A1672" s="146"/>
      <c r="B1672" s="147"/>
      <c r="C1672" s="148"/>
      <c r="D1672" s="148"/>
      <c r="E1672" s="148"/>
      <c r="F1672" s="148"/>
      <c r="G1672" s="148"/>
      <c r="H1672" s="149"/>
      <c r="I1672" s="148"/>
      <c r="J1672" s="148"/>
      <c r="K1672" s="148" t="s">
        <v>1118</v>
      </c>
      <c r="L1672" s="148" t="s">
        <v>1582</v>
      </c>
      <c r="M1672" s="150">
        <f>M1658+M1664+M1670</f>
        <v>2335</v>
      </c>
      <c r="N1672" s="151"/>
    </row>
    <row r="1673" spans="1:15" ht="16.149999999999999" customHeight="1">
      <c r="A1673" s="155"/>
      <c r="B1673" s="136"/>
      <c r="C1673" s="155"/>
      <c r="D1673" s="155"/>
      <c r="E1673" s="155"/>
      <c r="F1673" s="155"/>
      <c r="G1673" s="155"/>
      <c r="H1673" s="156"/>
      <c r="I1673" s="155"/>
      <c r="J1673" s="155"/>
      <c r="K1673" s="155"/>
      <c r="L1673" s="155"/>
      <c r="M1673" s="140"/>
      <c r="N1673" s="137"/>
    </row>
    <row r="1674" spans="1:15" s="107" customFormat="1" ht="16.149999999999999" customHeight="1">
      <c r="A1674" s="451">
        <f>A1655+1</f>
        <v>89</v>
      </c>
      <c r="B1674" s="99" t="s">
        <v>1100</v>
      </c>
      <c r="C1674" s="100" t="s">
        <v>1526</v>
      </c>
      <c r="D1674" s="101" t="s">
        <v>92</v>
      </c>
      <c r="E1674" s="102"/>
      <c r="F1674" s="102"/>
      <c r="G1674" s="100"/>
      <c r="H1674" s="103" t="s">
        <v>1527</v>
      </c>
      <c r="I1674" s="100" t="s">
        <v>1526</v>
      </c>
      <c r="J1674" s="167" t="s">
        <v>2281</v>
      </c>
      <c r="K1674" s="104" t="s">
        <v>847</v>
      </c>
      <c r="L1674" s="100" t="s">
        <v>1526</v>
      </c>
      <c r="M1674" s="105" t="s">
        <v>2282</v>
      </c>
      <c r="N1674" s="106"/>
    </row>
    <row r="1675" spans="1:15" ht="16.149999999999999" customHeight="1">
      <c r="A1675" s="108"/>
      <c r="B1675" s="109" t="s">
        <v>588</v>
      </c>
      <c r="C1675" s="110" t="s">
        <v>1582</v>
      </c>
      <c r="D1675" s="110" t="s">
        <v>589</v>
      </c>
      <c r="E1675" s="110" t="s">
        <v>86</v>
      </c>
      <c r="F1675" s="110" t="s">
        <v>590</v>
      </c>
      <c r="G1675" s="110" t="s">
        <v>86</v>
      </c>
      <c r="H1675" s="111" t="s">
        <v>513</v>
      </c>
      <c r="I1675" s="110"/>
      <c r="J1675" s="110"/>
      <c r="K1675" s="110"/>
      <c r="L1675" s="110"/>
      <c r="M1675" s="112"/>
      <c r="N1675" s="113"/>
    </row>
    <row r="1676" spans="1:15" ht="16.149999999999999" customHeight="1">
      <c r="A1676" s="108"/>
      <c r="B1676" s="109"/>
      <c r="C1676" s="110"/>
      <c r="D1676" s="110"/>
      <c r="E1676" s="110"/>
      <c r="F1676" s="110"/>
      <c r="G1676" s="110"/>
      <c r="H1676" s="111"/>
      <c r="I1676" s="110"/>
      <c r="J1676" s="792"/>
      <c r="K1676" s="792"/>
      <c r="L1676" s="110"/>
      <c r="M1676" s="112"/>
      <c r="N1676" s="113"/>
    </row>
    <row r="1677" spans="1:15" ht="16.149999999999999" customHeight="1">
      <c r="A1677" s="115"/>
      <c r="F1677" s="117"/>
      <c r="G1677" s="118"/>
      <c r="H1677" s="119">
        <f>기계경비산출표!$E$535*1000</f>
        <v>97000</v>
      </c>
      <c r="I1677" s="110" t="s">
        <v>972</v>
      </c>
      <c r="J1677" s="120">
        <v>5625</v>
      </c>
      <c r="K1677" s="118" t="s">
        <v>514</v>
      </c>
      <c r="L1677" s="121" t="s">
        <v>1582</v>
      </c>
      <c r="M1677" s="112">
        <f>TRUNC(H1677*J1677*(10^-7))</f>
        <v>54</v>
      </c>
      <c r="N1677" s="113" t="s">
        <v>975</v>
      </c>
    </row>
    <row r="1678" spans="1:15" ht="16.149999999999999" customHeight="1">
      <c r="A1678" s="115"/>
      <c r="B1678" s="122"/>
      <c r="C1678" s="118"/>
      <c r="D1678" s="33"/>
      <c r="E1678" s="110"/>
      <c r="F1678" s="118"/>
      <c r="G1678" s="118"/>
      <c r="H1678" s="123"/>
      <c r="I1678" s="118"/>
      <c r="J1678" s="110"/>
      <c r="K1678" s="110"/>
      <c r="L1678" s="110"/>
      <c r="M1678" s="112"/>
      <c r="N1678" s="113"/>
    </row>
    <row r="1679" spans="1:15" ht="16.149999999999999" customHeight="1">
      <c r="A1679" s="124"/>
      <c r="B1679" s="125" t="s">
        <v>1115</v>
      </c>
      <c r="C1679" s="126"/>
      <c r="D1679" s="126"/>
      <c r="E1679" s="126"/>
      <c r="F1679" s="126"/>
      <c r="G1679" s="126"/>
      <c r="H1679" s="127"/>
      <c r="I1679" s="126"/>
      <c r="J1679" s="126"/>
      <c r="K1679" s="126"/>
      <c r="L1679" s="126"/>
      <c r="M1679" s="128"/>
      <c r="N1679" s="129"/>
    </row>
    <row r="1680" spans="1:15" ht="16.149999999999999" customHeight="1">
      <c r="A1680" s="130"/>
      <c r="B1680" s="131"/>
      <c r="C1680" s="118"/>
      <c r="D1680" s="33">
        <f>SUMIF('노임(2015)'!$B$4:$B$87,B1680,'노임(2015)'!$C$4:$C$87)+SUMIF('노임(2015)'!$E$4:$E$87,B1680,'노임(2015)'!$F$4:$F$87)</f>
        <v>0</v>
      </c>
      <c r="E1680" s="110"/>
      <c r="F1680" s="110"/>
      <c r="G1680" s="132"/>
      <c r="H1680" s="111"/>
      <c r="I1680" s="110"/>
      <c r="J1680" s="110"/>
      <c r="K1680" s="133"/>
      <c r="L1680" s="118"/>
      <c r="M1680" s="112"/>
      <c r="N1680" s="113"/>
    </row>
    <row r="1681" spans="1:15" ht="16.149999999999999" customHeight="1">
      <c r="A1681" s="130"/>
      <c r="B1681" s="131"/>
      <c r="C1681" s="118"/>
      <c r="D1681" s="33">
        <f>SUMIF('노임(2015)'!$B$4:$B$87,B1681,'노임(2015)'!$C$4:$C$87)+SUMIF('노임(2015)'!$E$4:$E$87,B1681,'노임(2015)'!$F$4:$F$87)</f>
        <v>0</v>
      </c>
      <c r="E1681" s="110"/>
      <c r="F1681" s="110"/>
      <c r="G1681" s="132"/>
      <c r="H1681" s="111"/>
      <c r="I1681" s="110"/>
      <c r="J1681" s="110"/>
      <c r="K1681" s="134"/>
      <c r="L1681" s="118"/>
      <c r="M1681" s="112"/>
      <c r="N1681" s="113"/>
    </row>
    <row r="1682" spans="1:15" ht="18.600000000000001" customHeight="1">
      <c r="A1682" s="130"/>
      <c r="B1682" s="109"/>
      <c r="C1682" s="118"/>
      <c r="D1682" s="33"/>
      <c r="E1682" s="110"/>
      <c r="F1682" s="110"/>
      <c r="G1682" s="132"/>
      <c r="H1682" s="111"/>
      <c r="I1682" s="110"/>
      <c r="J1682" s="110"/>
      <c r="K1682" s="134"/>
      <c r="L1682" s="118"/>
      <c r="M1682" s="112"/>
      <c r="N1682" s="113"/>
      <c r="O1682" s="114" t="s">
        <v>3682</v>
      </c>
    </row>
    <row r="1683" spans="1:15" ht="16.149999999999999" customHeight="1">
      <c r="A1683" s="130"/>
      <c r="B1683" s="109"/>
      <c r="C1683" s="118"/>
      <c r="D1683" s="110"/>
      <c r="E1683" s="110"/>
      <c r="F1683" s="110"/>
      <c r="G1683" s="110"/>
      <c r="H1683" s="111"/>
      <c r="I1683" s="791"/>
      <c r="J1683" s="791"/>
      <c r="K1683" s="118" t="s">
        <v>1164</v>
      </c>
      <c r="L1683" s="118" t="s">
        <v>1582</v>
      </c>
      <c r="M1683" s="112">
        <f>TRUNC(M1680+M1681+M1682)</f>
        <v>0</v>
      </c>
      <c r="N1683" s="113" t="s">
        <v>975</v>
      </c>
      <c r="O1683" s="114" t="s">
        <v>1115</v>
      </c>
    </row>
    <row r="1684" spans="1:15" ht="18.600000000000001" customHeight="1">
      <c r="A1684" s="130"/>
      <c r="B1684" s="109"/>
      <c r="C1684" s="118"/>
      <c r="D1684" s="110"/>
      <c r="E1684" s="110"/>
      <c r="F1684" s="110"/>
      <c r="G1684" s="110"/>
      <c r="H1684" s="111"/>
      <c r="I1684" s="118"/>
      <c r="J1684" s="118"/>
      <c r="K1684" s="118"/>
      <c r="L1684" s="118"/>
      <c r="M1684" s="112"/>
      <c r="N1684" s="113"/>
      <c r="O1684" s="114" t="s">
        <v>3682</v>
      </c>
    </row>
    <row r="1685" spans="1:15" ht="18.600000000000001" customHeight="1">
      <c r="A1685" s="135"/>
      <c r="B1685" s="136"/>
      <c r="C1685" s="137"/>
      <c r="D1685" s="138"/>
      <c r="E1685" s="138"/>
      <c r="F1685" s="138"/>
      <c r="G1685" s="138"/>
      <c r="H1685" s="139"/>
      <c r="I1685" s="137"/>
      <c r="J1685" s="137"/>
      <c r="K1685" s="137"/>
      <c r="L1685" s="137"/>
      <c r="M1685" s="140"/>
      <c r="N1685" s="141"/>
      <c r="O1685" s="114" t="s">
        <v>3682</v>
      </c>
    </row>
    <row r="1686" spans="1:15" ht="16.149999999999999" customHeight="1">
      <c r="A1686" s="124"/>
      <c r="B1686" s="125" t="s">
        <v>1116</v>
      </c>
      <c r="C1686" s="142"/>
      <c r="D1686" s="126"/>
      <c r="E1686" s="126"/>
      <c r="F1686" s="126"/>
      <c r="G1686" s="126"/>
      <c r="H1686" s="127"/>
      <c r="I1686" s="126"/>
      <c r="J1686" s="126"/>
      <c r="K1686" s="126"/>
      <c r="L1686" s="126"/>
      <c r="M1686" s="128"/>
      <c r="N1686" s="129"/>
    </row>
    <row r="1687" spans="1:15" ht="16.149999999999999" customHeight="1">
      <c r="A1687" s="130"/>
      <c r="B1687" s="131"/>
      <c r="C1687" s="118"/>
      <c r="D1687" s="118"/>
      <c r="E1687" s="110"/>
      <c r="F1687" s="118"/>
      <c r="G1687" s="110"/>
      <c r="H1687" s="123"/>
      <c r="I1687" s="110"/>
      <c r="J1687" s="110"/>
      <c r="K1687" s="110"/>
      <c r="L1687" s="118"/>
      <c r="M1687" s="112"/>
      <c r="N1687" s="113"/>
    </row>
    <row r="1688" spans="1:15" ht="16.149999999999999" customHeight="1">
      <c r="A1688" s="130"/>
      <c r="B1688" s="109"/>
      <c r="C1688" s="118"/>
      <c r="D1688" s="145"/>
      <c r="E1688" s="110"/>
      <c r="F1688" s="118"/>
      <c r="G1688" s="110"/>
      <c r="H1688" s="123"/>
      <c r="I1688" s="110"/>
      <c r="J1688" s="110"/>
      <c r="K1688" s="110"/>
      <c r="L1688" s="118"/>
      <c r="M1688" s="112"/>
      <c r="N1688" s="113"/>
    </row>
    <row r="1689" spans="1:15" ht="16.149999999999999" customHeight="1">
      <c r="A1689" s="130"/>
      <c r="B1689" s="109"/>
      <c r="C1689" s="110"/>
      <c r="D1689" s="110"/>
      <c r="E1689" s="110"/>
      <c r="F1689" s="110"/>
      <c r="G1689" s="110"/>
      <c r="H1689" s="111"/>
      <c r="I1689" s="110"/>
      <c r="J1689" s="110"/>
      <c r="K1689" s="118" t="s">
        <v>1164</v>
      </c>
      <c r="L1689" s="118" t="s">
        <v>1582</v>
      </c>
      <c r="M1689" s="112">
        <f>TRUNC(SUM(M1687:M1688))</f>
        <v>0</v>
      </c>
      <c r="N1689" s="113" t="s">
        <v>975</v>
      </c>
    </row>
    <row r="1690" spans="1:15" ht="18.600000000000001" customHeight="1">
      <c r="A1690" s="135"/>
      <c r="B1690" s="136"/>
      <c r="C1690" s="138"/>
      <c r="D1690" s="138"/>
      <c r="E1690" s="138"/>
      <c r="F1690" s="138"/>
      <c r="G1690" s="138"/>
      <c r="H1690" s="139"/>
      <c r="I1690" s="138"/>
      <c r="J1690" s="138"/>
      <c r="K1690" s="137"/>
      <c r="L1690" s="137"/>
      <c r="M1690" s="140"/>
      <c r="N1690" s="141"/>
      <c r="O1690" s="114" t="s">
        <v>3682</v>
      </c>
    </row>
    <row r="1691" spans="1:15" s="152" customFormat="1" ht="16.149999999999999" customHeight="1">
      <c r="A1691" s="146"/>
      <c r="B1691" s="147"/>
      <c r="C1691" s="148"/>
      <c r="D1691" s="148"/>
      <c r="E1691" s="148"/>
      <c r="F1691" s="148"/>
      <c r="G1691" s="148"/>
      <c r="H1691" s="149"/>
      <c r="I1691" s="148"/>
      <c r="J1691" s="148"/>
      <c r="K1691" s="148" t="s">
        <v>1118</v>
      </c>
      <c r="L1691" s="148" t="s">
        <v>1582</v>
      </c>
      <c r="M1691" s="150">
        <f>M1677+M1683+M1689</f>
        <v>54</v>
      </c>
      <c r="N1691" s="151"/>
    </row>
    <row r="1692" spans="1:15" ht="16.149999999999999" customHeight="1">
      <c r="A1692" s="114"/>
    </row>
    <row r="1693" spans="1:15" s="107" customFormat="1" ht="16.149999999999999" customHeight="1">
      <c r="A1693" s="451">
        <f>A1674+1</f>
        <v>90</v>
      </c>
      <c r="B1693" s="99" t="s">
        <v>1100</v>
      </c>
      <c r="C1693" s="100" t="s">
        <v>1526</v>
      </c>
      <c r="D1693" s="101" t="s">
        <v>234</v>
      </c>
      <c r="E1693" s="102"/>
      <c r="F1693" s="102"/>
      <c r="G1693" s="100"/>
      <c r="H1693" s="103"/>
      <c r="I1693" s="100"/>
      <c r="J1693" s="167"/>
      <c r="K1693" s="104" t="s">
        <v>847</v>
      </c>
      <c r="L1693" s="100" t="s">
        <v>1526</v>
      </c>
      <c r="M1693" s="105" t="s">
        <v>235</v>
      </c>
      <c r="N1693" s="106"/>
    </row>
    <row r="1694" spans="1:15" ht="16.149999999999999" customHeight="1">
      <c r="A1694" s="108"/>
      <c r="B1694" s="109" t="s">
        <v>588</v>
      </c>
      <c r="C1694" s="110" t="s">
        <v>1582</v>
      </c>
      <c r="D1694" s="110" t="s">
        <v>589</v>
      </c>
      <c r="E1694" s="110" t="s">
        <v>86</v>
      </c>
      <c r="F1694" s="110" t="s">
        <v>590</v>
      </c>
      <c r="G1694" s="110" t="s">
        <v>86</v>
      </c>
      <c r="H1694" s="111" t="s">
        <v>513</v>
      </c>
      <c r="I1694" s="110"/>
      <c r="J1694" s="110"/>
      <c r="K1694" s="110"/>
      <c r="L1694" s="110"/>
      <c r="M1694" s="112"/>
      <c r="N1694" s="113"/>
    </row>
    <row r="1695" spans="1:15" ht="16.149999999999999" customHeight="1">
      <c r="A1695" s="108"/>
      <c r="B1695" s="109"/>
      <c r="C1695" s="110"/>
      <c r="D1695" s="110"/>
      <c r="E1695" s="110"/>
      <c r="F1695" s="110"/>
      <c r="G1695" s="110"/>
      <c r="H1695" s="111"/>
      <c r="I1695" s="110"/>
      <c r="J1695" s="792"/>
      <c r="K1695" s="792"/>
      <c r="L1695" s="110"/>
      <c r="M1695" s="112"/>
      <c r="N1695" s="113"/>
    </row>
    <row r="1696" spans="1:15" ht="16.149999999999999" customHeight="1">
      <c r="A1696" s="115"/>
      <c r="F1696" s="117"/>
      <c r="G1696" s="118"/>
      <c r="H1696" s="119">
        <f>기계경비산출표!$E$539*1000</f>
        <v>88000</v>
      </c>
      <c r="I1696" s="110" t="s">
        <v>972</v>
      </c>
      <c r="J1696" s="120">
        <v>4500</v>
      </c>
      <c r="K1696" s="118" t="s">
        <v>514</v>
      </c>
      <c r="L1696" s="121" t="s">
        <v>1582</v>
      </c>
      <c r="M1696" s="112">
        <f>TRUNC(H1696*J1696*(10^-7))</f>
        <v>39</v>
      </c>
      <c r="N1696" s="113" t="s">
        <v>975</v>
      </c>
    </row>
    <row r="1697" spans="1:15" ht="16.149999999999999" customHeight="1">
      <c r="A1697" s="115"/>
      <c r="B1697" s="122"/>
      <c r="C1697" s="118"/>
      <c r="D1697" s="33"/>
      <c r="E1697" s="110"/>
      <c r="F1697" s="118"/>
      <c r="G1697" s="118"/>
      <c r="H1697" s="123"/>
      <c r="I1697" s="118"/>
      <c r="J1697" s="110"/>
      <c r="K1697" s="110"/>
      <c r="L1697" s="110"/>
      <c r="M1697" s="112"/>
      <c r="N1697" s="113"/>
    </row>
    <row r="1698" spans="1:15" ht="16.149999999999999" customHeight="1">
      <c r="A1698" s="124"/>
      <c r="B1698" s="125" t="s">
        <v>1115</v>
      </c>
      <c r="C1698" s="126"/>
      <c r="D1698" s="126"/>
      <c r="E1698" s="126"/>
      <c r="F1698" s="126"/>
      <c r="G1698" s="126"/>
      <c r="H1698" s="127"/>
      <c r="I1698" s="126"/>
      <c r="J1698" s="126"/>
      <c r="K1698" s="126"/>
      <c r="L1698" s="126"/>
      <c r="M1698" s="128"/>
      <c r="N1698" s="129"/>
    </row>
    <row r="1699" spans="1:15" ht="16.149999999999999" customHeight="1">
      <c r="A1699" s="130"/>
      <c r="B1699" s="131"/>
      <c r="C1699" s="118"/>
      <c r="D1699" s="33">
        <f>SUMIF('노임(2015)'!$B$4:$B$87,B1699,'노임(2015)'!$C$4:$C$87)+SUMIF('노임(2015)'!$E$4:$E$87,B1699,'노임(2015)'!$F$4:$F$87)</f>
        <v>0</v>
      </c>
      <c r="E1699" s="110"/>
      <c r="F1699" s="110"/>
      <c r="G1699" s="132"/>
      <c r="H1699" s="111"/>
      <c r="I1699" s="110"/>
      <c r="J1699" s="110"/>
      <c r="K1699" s="133"/>
      <c r="L1699" s="118"/>
      <c r="M1699" s="112"/>
      <c r="N1699" s="113"/>
    </row>
    <row r="1700" spans="1:15" ht="16.149999999999999" customHeight="1">
      <c r="A1700" s="130"/>
      <c r="B1700" s="131"/>
      <c r="C1700" s="118"/>
      <c r="D1700" s="33">
        <f>SUMIF('노임(2015)'!$B$4:$B$87,B1700,'노임(2015)'!$C$4:$C$87)+SUMIF('노임(2015)'!$E$4:$E$87,B1700,'노임(2015)'!$F$4:$F$87)</f>
        <v>0</v>
      </c>
      <c r="E1700" s="110"/>
      <c r="F1700" s="110"/>
      <c r="G1700" s="132"/>
      <c r="H1700" s="111"/>
      <c r="I1700" s="110"/>
      <c r="J1700" s="110"/>
      <c r="K1700" s="134"/>
      <c r="L1700" s="118"/>
      <c r="M1700" s="112"/>
      <c r="N1700" s="113"/>
    </row>
    <row r="1701" spans="1:15" ht="18.600000000000001" customHeight="1">
      <c r="A1701" s="130"/>
      <c r="B1701" s="109"/>
      <c r="C1701" s="118"/>
      <c r="D1701" s="33"/>
      <c r="E1701" s="110"/>
      <c r="F1701" s="110"/>
      <c r="G1701" s="132"/>
      <c r="H1701" s="111"/>
      <c r="I1701" s="110"/>
      <c r="J1701" s="110"/>
      <c r="K1701" s="134"/>
      <c r="L1701" s="118"/>
      <c r="M1701" s="112"/>
      <c r="N1701" s="113"/>
      <c r="O1701" s="114" t="s">
        <v>3682</v>
      </c>
    </row>
    <row r="1702" spans="1:15" ht="16.149999999999999" customHeight="1">
      <c r="A1702" s="130"/>
      <c r="B1702" s="109"/>
      <c r="C1702" s="118"/>
      <c r="D1702" s="110"/>
      <c r="E1702" s="110"/>
      <c r="F1702" s="110"/>
      <c r="G1702" s="110"/>
      <c r="H1702" s="111"/>
      <c r="I1702" s="791"/>
      <c r="J1702" s="791"/>
      <c r="K1702" s="118" t="s">
        <v>1164</v>
      </c>
      <c r="L1702" s="118" t="s">
        <v>1582</v>
      </c>
      <c r="M1702" s="112">
        <f>TRUNC(M1699+M1700+M1701)</f>
        <v>0</v>
      </c>
      <c r="N1702" s="113" t="s">
        <v>975</v>
      </c>
      <c r="O1702" s="114" t="s">
        <v>1115</v>
      </c>
    </row>
    <row r="1703" spans="1:15" ht="18.600000000000001" customHeight="1">
      <c r="A1703" s="130"/>
      <c r="B1703" s="109"/>
      <c r="C1703" s="118"/>
      <c r="D1703" s="110"/>
      <c r="E1703" s="110"/>
      <c r="F1703" s="110"/>
      <c r="G1703" s="110"/>
      <c r="H1703" s="111"/>
      <c r="I1703" s="118"/>
      <c r="J1703" s="118"/>
      <c r="K1703" s="118"/>
      <c r="L1703" s="118"/>
      <c r="M1703" s="112"/>
      <c r="N1703" s="113"/>
      <c r="O1703" s="114" t="s">
        <v>3682</v>
      </c>
    </row>
    <row r="1704" spans="1:15" ht="18.600000000000001" customHeight="1">
      <c r="A1704" s="135"/>
      <c r="B1704" s="136"/>
      <c r="C1704" s="137"/>
      <c r="D1704" s="138"/>
      <c r="E1704" s="138"/>
      <c r="F1704" s="138"/>
      <c r="G1704" s="138"/>
      <c r="H1704" s="139"/>
      <c r="I1704" s="137"/>
      <c r="J1704" s="137"/>
      <c r="K1704" s="137"/>
      <c r="L1704" s="137"/>
      <c r="M1704" s="140"/>
      <c r="N1704" s="141"/>
      <c r="O1704" s="114" t="s">
        <v>3682</v>
      </c>
    </row>
    <row r="1705" spans="1:15" ht="16.149999999999999" customHeight="1">
      <c r="A1705" s="124"/>
      <c r="B1705" s="125" t="s">
        <v>1116</v>
      </c>
      <c r="C1705" s="142"/>
      <c r="D1705" s="126"/>
      <c r="E1705" s="126"/>
      <c r="F1705" s="126"/>
      <c r="G1705" s="126"/>
      <c r="H1705" s="127"/>
      <c r="I1705" s="126"/>
      <c r="J1705" s="126"/>
      <c r="K1705" s="126"/>
      <c r="L1705" s="126"/>
      <c r="M1705" s="128"/>
      <c r="N1705" s="129"/>
    </row>
    <row r="1706" spans="1:15" ht="16.149999999999999" customHeight="1">
      <c r="A1706" s="130"/>
      <c r="B1706" s="131"/>
      <c r="C1706" s="118"/>
      <c r="D1706" s="118"/>
      <c r="E1706" s="110"/>
      <c r="F1706" s="118"/>
      <c r="G1706" s="110"/>
      <c r="H1706" s="123"/>
      <c r="I1706" s="110"/>
      <c r="J1706" s="110"/>
      <c r="K1706" s="110"/>
      <c r="L1706" s="118"/>
      <c r="M1706" s="112"/>
      <c r="N1706" s="113"/>
    </row>
    <row r="1707" spans="1:15" ht="16.149999999999999" customHeight="1">
      <c r="A1707" s="130"/>
      <c r="B1707" s="109"/>
      <c r="C1707" s="118"/>
      <c r="D1707" s="145"/>
      <c r="E1707" s="110"/>
      <c r="F1707" s="118"/>
      <c r="G1707" s="110"/>
      <c r="H1707" s="123"/>
      <c r="I1707" s="110"/>
      <c r="J1707" s="110"/>
      <c r="K1707" s="110"/>
      <c r="L1707" s="118"/>
      <c r="M1707" s="112"/>
      <c r="N1707" s="113"/>
    </row>
    <row r="1708" spans="1:15" ht="16.149999999999999" customHeight="1">
      <c r="A1708" s="130"/>
      <c r="B1708" s="109"/>
      <c r="C1708" s="110"/>
      <c r="D1708" s="110"/>
      <c r="E1708" s="110"/>
      <c r="F1708" s="110"/>
      <c r="G1708" s="110"/>
      <c r="H1708" s="111"/>
      <c r="I1708" s="110"/>
      <c r="J1708" s="110"/>
      <c r="K1708" s="118" t="s">
        <v>1164</v>
      </c>
      <c r="L1708" s="118" t="s">
        <v>1582</v>
      </c>
      <c r="M1708" s="112">
        <f>TRUNC(SUM(M1706:M1707))</f>
        <v>0</v>
      </c>
      <c r="N1708" s="113" t="s">
        <v>975</v>
      </c>
    </row>
    <row r="1709" spans="1:15" ht="18.600000000000001" customHeight="1">
      <c r="A1709" s="135"/>
      <c r="B1709" s="136"/>
      <c r="C1709" s="138"/>
      <c r="D1709" s="138"/>
      <c r="E1709" s="138"/>
      <c r="F1709" s="138"/>
      <c r="G1709" s="138"/>
      <c r="H1709" s="139"/>
      <c r="I1709" s="138"/>
      <c r="J1709" s="138"/>
      <c r="K1709" s="137"/>
      <c r="L1709" s="137"/>
      <c r="M1709" s="140"/>
      <c r="N1709" s="141"/>
      <c r="O1709" s="114" t="s">
        <v>3682</v>
      </c>
    </row>
    <row r="1710" spans="1:15" s="152" customFormat="1" ht="16.149999999999999" customHeight="1">
      <c r="A1710" s="146"/>
      <c r="B1710" s="147"/>
      <c r="C1710" s="148"/>
      <c r="D1710" s="148"/>
      <c r="E1710" s="148"/>
      <c r="F1710" s="148"/>
      <c r="G1710" s="148"/>
      <c r="H1710" s="149"/>
      <c r="I1710" s="148"/>
      <c r="J1710" s="148"/>
      <c r="K1710" s="148" t="s">
        <v>1118</v>
      </c>
      <c r="L1710" s="148" t="s">
        <v>1582</v>
      </c>
      <c r="M1710" s="150">
        <f>M1696+M1702+M1708</f>
        <v>39</v>
      </c>
      <c r="N1710" s="151"/>
    </row>
    <row r="1711" spans="1:15" ht="16.149999999999999" customHeight="1">
      <c r="A1711" s="155"/>
      <c r="B1711" s="136"/>
      <c r="C1711" s="155"/>
      <c r="D1711" s="155"/>
      <c r="E1711" s="155"/>
      <c r="F1711" s="155"/>
      <c r="G1711" s="155"/>
      <c r="H1711" s="156"/>
      <c r="I1711" s="155"/>
      <c r="J1711" s="155"/>
      <c r="K1711" s="155"/>
      <c r="L1711" s="155"/>
      <c r="M1711" s="140"/>
      <c r="N1711" s="137"/>
    </row>
    <row r="1712" spans="1:15" s="107" customFormat="1" ht="16.149999999999999" customHeight="1">
      <c r="A1712" s="451">
        <f>A1693+1</f>
        <v>91</v>
      </c>
      <c r="B1712" s="99" t="s">
        <v>1100</v>
      </c>
      <c r="C1712" s="100" t="s">
        <v>1526</v>
      </c>
      <c r="D1712" s="101" t="s">
        <v>236</v>
      </c>
      <c r="E1712" s="102"/>
      <c r="F1712" s="102"/>
      <c r="G1712" s="100"/>
      <c r="H1712" s="171"/>
      <c r="I1712" s="100"/>
      <c r="J1712" s="167"/>
      <c r="K1712" s="104"/>
      <c r="L1712" s="100"/>
      <c r="M1712" s="105"/>
      <c r="N1712" s="106"/>
    </row>
    <row r="1713" spans="1:15" ht="16.149999999999999" customHeight="1">
      <c r="A1713" s="108"/>
      <c r="B1713" s="109" t="s">
        <v>588</v>
      </c>
      <c r="C1713" s="110" t="s">
        <v>1582</v>
      </c>
      <c r="D1713" s="110" t="s">
        <v>589</v>
      </c>
      <c r="E1713" s="110" t="s">
        <v>86</v>
      </c>
      <c r="F1713" s="110" t="s">
        <v>590</v>
      </c>
      <c r="G1713" s="110"/>
      <c r="H1713" s="111"/>
      <c r="I1713" s="110"/>
      <c r="J1713" s="792"/>
      <c r="K1713" s="792"/>
      <c r="L1713" s="110"/>
      <c r="M1713" s="112"/>
      <c r="N1713" s="113"/>
    </row>
    <row r="1714" spans="1:15" ht="16.149999999999999" customHeight="1">
      <c r="A1714" s="115"/>
      <c r="F1714" s="117"/>
      <c r="G1714" s="118"/>
      <c r="H1714" s="119">
        <f>사급자재!$M$174</f>
        <v>26000000</v>
      </c>
      <c r="I1714" s="110" t="s">
        <v>972</v>
      </c>
      <c r="J1714" s="793">
        <v>5.4449999999999995E-4</v>
      </c>
      <c r="K1714" s="793"/>
      <c r="L1714" s="121" t="s">
        <v>1582</v>
      </c>
      <c r="M1714" s="112">
        <f>TRUNC(H1714*J1714)</f>
        <v>14157</v>
      </c>
      <c r="N1714" s="113" t="s">
        <v>975</v>
      </c>
    </row>
    <row r="1715" spans="1:15" ht="16.149999999999999" customHeight="1">
      <c r="A1715" s="115"/>
      <c r="B1715" s="122"/>
      <c r="C1715" s="118"/>
      <c r="D1715" s="33"/>
      <c r="E1715" s="110"/>
      <c r="F1715" s="118"/>
      <c r="G1715" s="118"/>
      <c r="H1715" s="123"/>
      <c r="I1715" s="118"/>
      <c r="J1715" s="110"/>
      <c r="K1715" s="110"/>
      <c r="L1715" s="110"/>
      <c r="M1715" s="112"/>
      <c r="N1715" s="113"/>
    </row>
    <row r="1716" spans="1:15" ht="16.149999999999999" customHeight="1">
      <c r="A1716" s="108"/>
      <c r="B1716" s="109"/>
      <c r="C1716" s="110"/>
      <c r="D1716" s="110"/>
      <c r="E1716" s="110"/>
      <c r="F1716" s="110"/>
      <c r="G1716" s="110"/>
      <c r="H1716" s="111"/>
      <c r="I1716" s="110"/>
      <c r="J1716" s="110"/>
      <c r="K1716" s="110"/>
      <c r="L1716" s="110"/>
      <c r="M1716" s="112"/>
      <c r="N1716" s="113"/>
    </row>
    <row r="1717" spans="1:15" ht="16.149999999999999" customHeight="1">
      <c r="A1717" s="124"/>
      <c r="B1717" s="125" t="s">
        <v>1115</v>
      </c>
      <c r="C1717" s="126"/>
      <c r="D1717" s="126"/>
      <c r="E1717" s="126"/>
      <c r="F1717" s="126"/>
      <c r="G1717" s="126"/>
      <c r="H1717" s="127"/>
      <c r="I1717" s="126"/>
      <c r="J1717" s="126"/>
      <c r="K1717" s="126"/>
      <c r="L1717" s="126"/>
      <c r="M1717" s="128"/>
      <c r="N1717" s="129"/>
    </row>
    <row r="1718" spans="1:15" ht="16.149999999999999" customHeight="1">
      <c r="A1718" s="130"/>
      <c r="B1718" s="131"/>
      <c r="C1718" s="118"/>
      <c r="D1718" s="33">
        <f>SUMIF('노임(2015)'!$B$4:$B$87,B1718,'노임(2015)'!$C$4:$C$87)+SUMIF('노임(2015)'!$E$4:$E$87,B1718,'노임(2015)'!$F$4:$F$87)</f>
        <v>0</v>
      </c>
      <c r="E1718" s="110"/>
      <c r="F1718" s="110"/>
      <c r="G1718" s="132"/>
      <c r="H1718" s="111"/>
      <c r="I1718" s="110"/>
      <c r="J1718" s="110"/>
      <c r="K1718" s="133"/>
      <c r="L1718" s="118"/>
      <c r="M1718" s="112"/>
      <c r="N1718" s="113"/>
    </row>
    <row r="1719" spans="1:15" ht="16.149999999999999" customHeight="1">
      <c r="A1719" s="130"/>
      <c r="B1719" s="131"/>
      <c r="C1719" s="118"/>
      <c r="D1719" s="33">
        <f>SUMIF('노임(2015)'!$B$4:$B$87,B1719,'노임(2015)'!$C$4:$C$87)+SUMIF('노임(2015)'!$E$4:$E$87,B1719,'노임(2015)'!$F$4:$F$87)</f>
        <v>0</v>
      </c>
      <c r="E1719" s="110"/>
      <c r="F1719" s="110"/>
      <c r="G1719" s="132"/>
      <c r="H1719" s="111"/>
      <c r="I1719" s="110"/>
      <c r="J1719" s="110"/>
      <c r="K1719" s="134"/>
      <c r="L1719" s="118"/>
      <c r="M1719" s="112"/>
      <c r="N1719" s="113"/>
    </row>
    <row r="1720" spans="1:15" ht="18.600000000000001" customHeight="1">
      <c r="A1720" s="130"/>
      <c r="B1720" s="109"/>
      <c r="C1720" s="118"/>
      <c r="D1720" s="33"/>
      <c r="E1720" s="110"/>
      <c r="F1720" s="110"/>
      <c r="G1720" s="132"/>
      <c r="H1720" s="111"/>
      <c r="I1720" s="110"/>
      <c r="J1720" s="110"/>
      <c r="K1720" s="134"/>
      <c r="L1720" s="118"/>
      <c r="M1720" s="112"/>
      <c r="N1720" s="113"/>
      <c r="O1720" s="114" t="s">
        <v>3682</v>
      </c>
    </row>
    <row r="1721" spans="1:15" ht="16.149999999999999" customHeight="1">
      <c r="A1721" s="130"/>
      <c r="B1721" s="109"/>
      <c r="C1721" s="118"/>
      <c r="D1721" s="110"/>
      <c r="E1721" s="110"/>
      <c r="F1721" s="110"/>
      <c r="G1721" s="110"/>
      <c r="H1721" s="111"/>
      <c r="I1721" s="791"/>
      <c r="J1721" s="791"/>
      <c r="K1721" s="118" t="s">
        <v>1164</v>
      </c>
      <c r="L1721" s="118" t="s">
        <v>1582</v>
      </c>
      <c r="M1721" s="112">
        <f>TRUNC(M1718+M1719+M1720)</f>
        <v>0</v>
      </c>
      <c r="N1721" s="113" t="s">
        <v>975</v>
      </c>
      <c r="O1721" s="114" t="s">
        <v>1115</v>
      </c>
    </row>
    <row r="1722" spans="1:15" ht="18.600000000000001" customHeight="1">
      <c r="A1722" s="130"/>
      <c r="B1722" s="109"/>
      <c r="C1722" s="118"/>
      <c r="D1722" s="110"/>
      <c r="E1722" s="110"/>
      <c r="F1722" s="110"/>
      <c r="G1722" s="110"/>
      <c r="H1722" s="111"/>
      <c r="I1722" s="118"/>
      <c r="J1722" s="118"/>
      <c r="K1722" s="118"/>
      <c r="L1722" s="118"/>
      <c r="M1722" s="112"/>
      <c r="N1722" s="113"/>
      <c r="O1722" s="114" t="s">
        <v>3682</v>
      </c>
    </row>
    <row r="1723" spans="1:15" ht="18.600000000000001" customHeight="1">
      <c r="A1723" s="135"/>
      <c r="B1723" s="136"/>
      <c r="C1723" s="137"/>
      <c r="D1723" s="138"/>
      <c r="E1723" s="138"/>
      <c r="F1723" s="138"/>
      <c r="G1723" s="138"/>
      <c r="H1723" s="139"/>
      <c r="I1723" s="137"/>
      <c r="J1723" s="137"/>
      <c r="K1723" s="137"/>
      <c r="L1723" s="137"/>
      <c r="M1723" s="140"/>
      <c r="N1723" s="141"/>
      <c r="O1723" s="114" t="s">
        <v>3682</v>
      </c>
    </row>
    <row r="1724" spans="1:15" ht="16.149999999999999" customHeight="1">
      <c r="A1724" s="124"/>
      <c r="B1724" s="125" t="s">
        <v>1116</v>
      </c>
      <c r="C1724" s="142"/>
      <c r="D1724" s="126"/>
      <c r="E1724" s="126"/>
      <c r="F1724" s="126"/>
      <c r="G1724" s="126"/>
      <c r="H1724" s="127"/>
      <c r="I1724" s="126"/>
      <c r="J1724" s="126"/>
      <c r="K1724" s="126"/>
      <c r="L1724" s="126"/>
      <c r="M1724" s="128"/>
      <c r="N1724" s="129"/>
    </row>
    <row r="1725" spans="1:15" ht="16.149999999999999" customHeight="1">
      <c r="A1725" s="130"/>
      <c r="B1725" s="131"/>
      <c r="C1725" s="118"/>
      <c r="D1725" s="118"/>
      <c r="E1725" s="110"/>
      <c r="F1725" s="118"/>
      <c r="G1725" s="110"/>
      <c r="H1725" s="123"/>
      <c r="I1725" s="110"/>
      <c r="J1725" s="110"/>
      <c r="K1725" s="110"/>
      <c r="L1725" s="118"/>
      <c r="M1725" s="112"/>
      <c r="N1725" s="113"/>
    </row>
    <row r="1726" spans="1:15" ht="16.149999999999999" customHeight="1">
      <c r="A1726" s="130"/>
      <c r="B1726" s="109"/>
      <c r="C1726" s="118"/>
      <c r="D1726" s="145"/>
      <c r="E1726" s="110"/>
      <c r="F1726" s="118"/>
      <c r="G1726" s="110"/>
      <c r="H1726" s="123"/>
      <c r="I1726" s="110"/>
      <c r="J1726" s="110"/>
      <c r="K1726" s="110"/>
      <c r="L1726" s="118"/>
      <c r="M1726" s="112"/>
      <c r="N1726" s="113"/>
    </row>
    <row r="1727" spans="1:15" ht="16.149999999999999" customHeight="1">
      <c r="A1727" s="130"/>
      <c r="B1727" s="109"/>
      <c r="C1727" s="110"/>
      <c r="D1727" s="110"/>
      <c r="E1727" s="110"/>
      <c r="F1727" s="110"/>
      <c r="G1727" s="110"/>
      <c r="H1727" s="111"/>
      <c r="I1727" s="110"/>
      <c r="J1727" s="110"/>
      <c r="K1727" s="118" t="s">
        <v>1164</v>
      </c>
      <c r="L1727" s="118" t="s">
        <v>1582</v>
      </c>
      <c r="M1727" s="112">
        <f>TRUNC(SUM(M1725:M1726))</f>
        <v>0</v>
      </c>
      <c r="N1727" s="113" t="s">
        <v>975</v>
      </c>
    </row>
    <row r="1728" spans="1:15" ht="18.600000000000001" customHeight="1">
      <c r="A1728" s="135"/>
      <c r="B1728" s="136"/>
      <c r="C1728" s="138"/>
      <c r="D1728" s="138"/>
      <c r="E1728" s="138"/>
      <c r="F1728" s="138"/>
      <c r="G1728" s="138"/>
      <c r="H1728" s="139"/>
      <c r="I1728" s="138"/>
      <c r="J1728" s="138"/>
      <c r="K1728" s="137"/>
      <c r="L1728" s="137"/>
      <c r="M1728" s="140"/>
      <c r="N1728" s="141"/>
      <c r="O1728" s="114" t="s">
        <v>3682</v>
      </c>
    </row>
    <row r="1729" spans="1:15" s="152" customFormat="1" ht="16.149999999999999" customHeight="1">
      <c r="A1729" s="146"/>
      <c r="B1729" s="147"/>
      <c r="C1729" s="148"/>
      <c r="D1729" s="148"/>
      <c r="E1729" s="148"/>
      <c r="F1729" s="148"/>
      <c r="G1729" s="148"/>
      <c r="H1729" s="149"/>
      <c r="I1729" s="148"/>
      <c r="J1729" s="148"/>
      <c r="K1729" s="148" t="s">
        <v>1118</v>
      </c>
      <c r="L1729" s="148" t="s">
        <v>1582</v>
      </c>
      <c r="M1729" s="150">
        <f>M1714+M1720+M1727</f>
        <v>14157</v>
      </c>
      <c r="N1729" s="151"/>
    </row>
    <row r="1730" spans="1:15" ht="16.149999999999999" customHeight="1">
      <c r="A1730" s="114"/>
    </row>
    <row r="1731" spans="1:15" s="107" customFormat="1" ht="16.149999999999999" customHeight="1">
      <c r="A1731" s="553">
        <f>A1712+1</f>
        <v>92</v>
      </c>
      <c r="B1731" s="99" t="s">
        <v>1100</v>
      </c>
      <c r="C1731" s="100" t="s">
        <v>1526</v>
      </c>
      <c r="D1731" s="101" t="s">
        <v>1954</v>
      </c>
      <c r="E1731" s="102"/>
      <c r="F1731" s="102"/>
      <c r="G1731" s="100"/>
      <c r="H1731" s="172" t="s">
        <v>3235</v>
      </c>
      <c r="I1731" s="100"/>
      <c r="J1731" s="167"/>
      <c r="K1731" s="104"/>
      <c r="L1731" s="100"/>
      <c r="M1731" s="105"/>
      <c r="N1731" s="106"/>
    </row>
    <row r="1732" spans="1:15" ht="16.149999999999999" customHeight="1">
      <c r="A1732" s="108"/>
      <c r="B1732" s="109" t="s">
        <v>588</v>
      </c>
      <c r="C1732" s="110" t="s">
        <v>1582</v>
      </c>
      <c r="D1732" s="110" t="s">
        <v>589</v>
      </c>
      <c r="E1732" s="110" t="s">
        <v>86</v>
      </c>
      <c r="F1732" s="110" t="s">
        <v>590</v>
      </c>
      <c r="G1732" s="110"/>
      <c r="H1732" s="111"/>
      <c r="I1732" s="110"/>
      <c r="J1732" s="110"/>
      <c r="K1732" s="110"/>
      <c r="L1732" s="110"/>
      <c r="M1732" s="112"/>
      <c r="N1732" s="113"/>
    </row>
    <row r="1733" spans="1:15" ht="16.149999999999999" customHeight="1">
      <c r="A1733" s="108"/>
      <c r="B1733" s="109"/>
      <c r="C1733" s="110"/>
      <c r="D1733" s="110"/>
      <c r="E1733" s="110"/>
      <c r="F1733" s="110"/>
      <c r="G1733" s="110"/>
      <c r="H1733" s="119">
        <f>사급자재!$M$173</f>
        <v>21050000</v>
      </c>
      <c r="I1733" s="110" t="s">
        <v>972</v>
      </c>
      <c r="J1733" s="794">
        <v>1.5469999999999999E-4</v>
      </c>
      <c r="K1733" s="794"/>
      <c r="L1733" s="121" t="s">
        <v>1582</v>
      </c>
      <c r="M1733" s="112">
        <f>TRUNC(H1733*J1733)</f>
        <v>3256</v>
      </c>
      <c r="N1733" s="113" t="s">
        <v>975</v>
      </c>
    </row>
    <row r="1734" spans="1:15" ht="16.149999999999999" customHeight="1">
      <c r="A1734" s="115"/>
      <c r="F1734" s="173"/>
      <c r="G1734" s="118"/>
      <c r="H1734" s="119"/>
      <c r="I1734" s="110"/>
      <c r="J1734" s="795"/>
      <c r="K1734" s="795"/>
      <c r="L1734" s="121"/>
      <c r="M1734" s="112"/>
      <c r="N1734" s="113"/>
    </row>
    <row r="1735" spans="1:15" ht="16.149999999999999" customHeight="1">
      <c r="A1735" s="115"/>
      <c r="B1735" s="122"/>
      <c r="C1735" s="118"/>
      <c r="D1735" s="33"/>
      <c r="E1735" s="110"/>
      <c r="F1735" s="118"/>
      <c r="G1735" s="118"/>
      <c r="H1735" s="123"/>
      <c r="I1735" s="118"/>
      <c r="J1735" s="110"/>
      <c r="K1735" s="118" t="s">
        <v>1164</v>
      </c>
      <c r="L1735" s="118" t="s">
        <v>1582</v>
      </c>
      <c r="M1735" s="112">
        <f>SUM(M1733:M1734)</f>
        <v>3256</v>
      </c>
      <c r="N1735" s="113" t="s">
        <v>975</v>
      </c>
    </row>
    <row r="1736" spans="1:15" ht="16.149999999999999" customHeight="1">
      <c r="A1736" s="124"/>
      <c r="B1736" s="125" t="s">
        <v>1115</v>
      </c>
      <c r="C1736" s="126"/>
      <c r="D1736" s="126"/>
      <c r="E1736" s="126"/>
      <c r="F1736" s="126"/>
      <c r="G1736" s="126"/>
      <c r="H1736" s="127"/>
      <c r="I1736" s="126"/>
      <c r="J1736" s="126"/>
      <c r="K1736" s="126"/>
      <c r="L1736" s="126"/>
      <c r="M1736" s="128"/>
      <c r="N1736" s="129"/>
    </row>
    <row r="1737" spans="1:15" ht="16.149999999999999" customHeight="1">
      <c r="A1737" s="130"/>
      <c r="B1737" s="131" t="s">
        <v>3186</v>
      </c>
      <c r="C1737" s="118"/>
      <c r="D1737" s="33">
        <f>SUMIF('노임(2015)'!$B$4:$B$87,B1737,'노임(2015)'!$C$4:$C$87)+SUMIF('노임(2015)'!$E$4:$E$87,B1737,'노임(2015)'!$F$4:$F$87)</f>
        <v>117523</v>
      </c>
      <c r="E1737" s="110" t="s">
        <v>972</v>
      </c>
      <c r="F1737" s="110" t="s">
        <v>973</v>
      </c>
      <c r="G1737" s="132" t="s">
        <v>974</v>
      </c>
      <c r="H1737" s="111"/>
      <c r="I1737" s="110"/>
      <c r="J1737" s="110"/>
      <c r="K1737" s="133">
        <v>1</v>
      </c>
      <c r="L1737" s="118" t="s">
        <v>1582</v>
      </c>
      <c r="M1737" s="112">
        <f>TRUNC(D1737*(1/8)*(16/12)*(25/20)*K1737)</f>
        <v>24483</v>
      </c>
      <c r="N1737" s="113" t="s">
        <v>975</v>
      </c>
    </row>
    <row r="1738" spans="1:15" ht="16.149999999999999" customHeight="1">
      <c r="A1738" s="130"/>
      <c r="B1738" s="109"/>
      <c r="C1738" s="118"/>
      <c r="D1738" s="33">
        <f>SUMIF('노임(2015)'!$B$4:$B$87,B1738,'노임(2015)'!$C$4:$C$87)+SUMIF('노임(2015)'!$E$4:$E$87,B1738,'노임(2015)'!$F$4:$F$87)</f>
        <v>0</v>
      </c>
      <c r="E1738" s="110"/>
      <c r="F1738" s="110"/>
      <c r="G1738" s="132"/>
      <c r="H1738" s="111"/>
      <c r="I1738" s="110"/>
      <c r="J1738" s="110"/>
      <c r="K1738" s="134"/>
      <c r="L1738" s="118"/>
      <c r="M1738" s="112"/>
      <c r="N1738" s="113"/>
    </row>
    <row r="1739" spans="1:15" ht="18.600000000000001" customHeight="1">
      <c r="A1739" s="130"/>
      <c r="B1739" s="109"/>
      <c r="C1739" s="118"/>
      <c r="D1739" s="33"/>
      <c r="E1739" s="110"/>
      <c r="F1739" s="110"/>
      <c r="G1739" s="132"/>
      <c r="H1739" s="111"/>
      <c r="I1739" s="110"/>
      <c r="J1739" s="110"/>
      <c r="K1739" s="134"/>
      <c r="L1739" s="118"/>
      <c r="M1739" s="112"/>
      <c r="N1739" s="113"/>
      <c r="O1739" s="114" t="s">
        <v>3682</v>
      </c>
    </row>
    <row r="1740" spans="1:15" ht="16.149999999999999" customHeight="1">
      <c r="A1740" s="130"/>
      <c r="B1740" s="109"/>
      <c r="C1740" s="118"/>
      <c r="D1740" s="110"/>
      <c r="E1740" s="110"/>
      <c r="F1740" s="110"/>
      <c r="G1740" s="110"/>
      <c r="H1740" s="111"/>
      <c r="I1740" s="791"/>
      <c r="J1740" s="791"/>
      <c r="K1740" s="118" t="s">
        <v>1164</v>
      </c>
      <c r="L1740" s="118" t="s">
        <v>1582</v>
      </c>
      <c r="M1740" s="112">
        <f>(M1737+M1738+M1739)</f>
        <v>24483</v>
      </c>
      <c r="N1740" s="113" t="s">
        <v>975</v>
      </c>
      <c r="O1740" s="114" t="s">
        <v>1115</v>
      </c>
    </row>
    <row r="1741" spans="1:15" ht="18.600000000000001" customHeight="1">
      <c r="A1741" s="130"/>
      <c r="B1741" s="109"/>
      <c r="C1741" s="118"/>
      <c r="D1741" s="110"/>
      <c r="E1741" s="110"/>
      <c r="F1741" s="110"/>
      <c r="G1741" s="110"/>
      <c r="H1741" s="111"/>
      <c r="I1741" s="118"/>
      <c r="J1741" s="118"/>
      <c r="K1741" s="118"/>
      <c r="L1741" s="118"/>
      <c r="M1741" s="112"/>
      <c r="N1741" s="113"/>
      <c r="O1741" s="114" t="s">
        <v>3682</v>
      </c>
    </row>
    <row r="1742" spans="1:15" ht="18.600000000000001" customHeight="1">
      <c r="A1742" s="135"/>
      <c r="B1742" s="136"/>
      <c r="C1742" s="137"/>
      <c r="D1742" s="138"/>
      <c r="E1742" s="138"/>
      <c r="F1742" s="138"/>
      <c r="G1742" s="138"/>
      <c r="H1742" s="139"/>
      <c r="I1742" s="137"/>
      <c r="J1742" s="137"/>
      <c r="K1742" s="137"/>
      <c r="L1742" s="137"/>
      <c r="M1742" s="140"/>
      <c r="N1742" s="141"/>
      <c r="O1742" s="114" t="s">
        <v>3682</v>
      </c>
    </row>
    <row r="1743" spans="1:15" ht="16.149999999999999" customHeight="1">
      <c r="A1743" s="124"/>
      <c r="B1743" s="125" t="s">
        <v>1116</v>
      </c>
      <c r="C1743" s="142"/>
      <c r="D1743" s="126"/>
      <c r="E1743" s="126"/>
      <c r="F1743" s="126"/>
      <c r="G1743" s="126"/>
      <c r="H1743" s="127"/>
      <c r="I1743" s="126"/>
      <c r="J1743" s="126"/>
      <c r="K1743" s="126"/>
      <c r="L1743" s="126"/>
      <c r="M1743" s="128"/>
      <c r="N1743" s="129"/>
    </row>
    <row r="1744" spans="1:15" ht="16.149999999999999" customHeight="1">
      <c r="A1744" s="130"/>
      <c r="B1744" s="131" t="s">
        <v>2461</v>
      </c>
      <c r="C1744" s="118" t="s">
        <v>1526</v>
      </c>
      <c r="D1744" s="118">
        <v>1.25</v>
      </c>
      <c r="E1744" s="110" t="s">
        <v>456</v>
      </c>
      <c r="F1744" s="118" t="s">
        <v>972</v>
      </c>
      <c r="G1744" s="110"/>
      <c r="H1744" s="123">
        <f>중기기준!$G$35</f>
        <v>1114.9000000000001</v>
      </c>
      <c r="I1744" s="110" t="s">
        <v>975</v>
      </c>
      <c r="J1744" s="110"/>
      <c r="K1744" s="110"/>
      <c r="L1744" s="118" t="s">
        <v>1582</v>
      </c>
      <c r="M1744" s="112">
        <f>TRUNC(D1744*H1744,2)</f>
        <v>1393.62</v>
      </c>
      <c r="N1744" s="113" t="s">
        <v>975</v>
      </c>
    </row>
    <row r="1745" spans="1:15" ht="16.149999999999999" customHeight="1">
      <c r="A1745" s="130"/>
      <c r="B1745" s="109" t="s">
        <v>1556</v>
      </c>
      <c r="C1745" s="118" t="s">
        <v>1526</v>
      </c>
      <c r="D1745" s="145">
        <v>0.1</v>
      </c>
      <c r="E1745" s="110"/>
      <c r="F1745" s="118" t="s">
        <v>972</v>
      </c>
      <c r="G1745" s="110"/>
      <c r="H1745" s="123">
        <f>M1744</f>
        <v>1393.62</v>
      </c>
      <c r="I1745" s="110" t="s">
        <v>975</v>
      </c>
      <c r="J1745" s="110"/>
      <c r="K1745" s="110"/>
      <c r="L1745" s="118" t="s">
        <v>1582</v>
      </c>
      <c r="M1745" s="112">
        <f>TRUNC((D1745*H1745),2)</f>
        <v>139.36000000000001</v>
      </c>
      <c r="N1745" s="113" t="s">
        <v>975</v>
      </c>
    </row>
    <row r="1746" spans="1:15" ht="16.149999999999999" customHeight="1">
      <c r="A1746" s="130"/>
      <c r="B1746" s="109"/>
      <c r="C1746" s="110"/>
      <c r="D1746" s="110"/>
      <c r="E1746" s="110"/>
      <c r="F1746" s="110"/>
      <c r="G1746" s="110"/>
      <c r="H1746" s="111"/>
      <c r="I1746" s="110"/>
      <c r="J1746" s="110"/>
      <c r="K1746" s="118" t="s">
        <v>1164</v>
      </c>
      <c r="L1746" s="118" t="s">
        <v>1582</v>
      </c>
      <c r="M1746" s="112">
        <f>TRUNC(SUM(M1744:M1745))</f>
        <v>1532</v>
      </c>
      <c r="N1746" s="113" t="s">
        <v>975</v>
      </c>
    </row>
    <row r="1747" spans="1:15" ht="18.600000000000001" customHeight="1">
      <c r="A1747" s="135"/>
      <c r="B1747" s="136"/>
      <c r="C1747" s="138"/>
      <c r="D1747" s="138"/>
      <c r="E1747" s="138"/>
      <c r="F1747" s="138"/>
      <c r="G1747" s="138"/>
      <c r="H1747" s="139"/>
      <c r="I1747" s="138"/>
      <c r="J1747" s="138"/>
      <c r="K1747" s="137"/>
      <c r="L1747" s="137"/>
      <c r="M1747" s="140"/>
      <c r="N1747" s="141"/>
      <c r="O1747" s="114" t="s">
        <v>3682</v>
      </c>
    </row>
    <row r="1748" spans="1:15" s="152" customFormat="1" ht="16.149999999999999" customHeight="1">
      <c r="A1748" s="146"/>
      <c r="B1748" s="147"/>
      <c r="C1748" s="148"/>
      <c r="D1748" s="148"/>
      <c r="E1748" s="148"/>
      <c r="F1748" s="148"/>
      <c r="G1748" s="148"/>
      <c r="H1748" s="149"/>
      <c r="I1748" s="148"/>
      <c r="J1748" s="148"/>
      <c r="K1748" s="148" t="s">
        <v>1118</v>
      </c>
      <c r="L1748" s="148" t="s">
        <v>1582</v>
      </c>
      <c r="M1748" s="150">
        <f>M1735+M1740+M1746</f>
        <v>29271</v>
      </c>
      <c r="N1748" s="151"/>
    </row>
    <row r="1749" spans="1:15" ht="16.149999999999999" customHeight="1">
      <c r="A1749" s="153"/>
      <c r="B1749" s="125"/>
      <c r="C1749" s="153"/>
      <c r="D1749" s="153"/>
      <c r="E1749" s="153"/>
      <c r="F1749" s="153"/>
      <c r="G1749" s="153"/>
      <c r="H1749" s="154"/>
      <c r="I1749" s="153"/>
      <c r="J1749" s="153"/>
      <c r="K1749" s="153"/>
      <c r="L1749" s="153"/>
      <c r="M1749" s="128"/>
      <c r="N1749" s="142"/>
    </row>
    <row r="1750" spans="1:15" s="107" customFormat="1" ht="16.149999999999999" customHeight="1">
      <c r="A1750" s="553">
        <f>A1731+1</f>
        <v>93</v>
      </c>
      <c r="B1750" s="99" t="s">
        <v>1100</v>
      </c>
      <c r="C1750" s="100" t="s">
        <v>1526</v>
      </c>
      <c r="D1750" s="101" t="s">
        <v>3240</v>
      </c>
      <c r="E1750" s="102"/>
      <c r="F1750" s="102"/>
      <c r="G1750" s="100"/>
      <c r="H1750" s="103" t="s">
        <v>1527</v>
      </c>
      <c r="I1750" s="100" t="s">
        <v>1526</v>
      </c>
      <c r="J1750" s="102">
        <v>40.64</v>
      </c>
      <c r="K1750" s="104" t="s">
        <v>847</v>
      </c>
      <c r="L1750" s="100" t="s">
        <v>1526</v>
      </c>
      <c r="M1750" s="105" t="s">
        <v>3230</v>
      </c>
      <c r="N1750" s="106"/>
    </row>
    <row r="1751" spans="1:15" ht="16.149999999999999" customHeight="1">
      <c r="A1751" s="108"/>
      <c r="B1751" s="109" t="s">
        <v>588</v>
      </c>
      <c r="C1751" s="110" t="s">
        <v>1582</v>
      </c>
      <c r="D1751" s="110" t="s">
        <v>589</v>
      </c>
      <c r="E1751" s="110" t="s">
        <v>86</v>
      </c>
      <c r="F1751" s="110" t="s">
        <v>590</v>
      </c>
      <c r="G1751" s="110" t="s">
        <v>86</v>
      </c>
      <c r="H1751" s="111" t="s">
        <v>2973</v>
      </c>
      <c r="I1751" s="110"/>
      <c r="J1751" s="110"/>
      <c r="K1751" s="110"/>
      <c r="L1751" s="110"/>
      <c r="M1751" s="112"/>
      <c r="N1751" s="113"/>
    </row>
    <row r="1752" spans="1:15" ht="16.149999999999999" customHeight="1">
      <c r="A1752" s="108"/>
      <c r="B1752" s="109"/>
      <c r="C1752" s="110"/>
      <c r="D1752" s="110"/>
      <c r="E1752" s="110"/>
      <c r="F1752" s="110"/>
      <c r="G1752" s="110"/>
      <c r="H1752" s="111"/>
      <c r="I1752" s="110"/>
      <c r="J1752" s="110"/>
      <c r="K1752" s="110"/>
      <c r="L1752" s="110"/>
      <c r="M1752" s="112"/>
      <c r="N1752" s="113"/>
    </row>
    <row r="1753" spans="1:15" ht="16.149999999999999" customHeight="1">
      <c r="A1753" s="115"/>
      <c r="F1753" s="117"/>
      <c r="G1753" s="118"/>
      <c r="H1753" s="119">
        <f>기계경비산출표!$E$482*1000</f>
        <v>1350000</v>
      </c>
      <c r="I1753" s="110" t="s">
        <v>972</v>
      </c>
      <c r="J1753" s="120">
        <v>6044</v>
      </c>
      <c r="K1753" s="118" t="s">
        <v>2974</v>
      </c>
      <c r="L1753" s="121" t="s">
        <v>1582</v>
      </c>
      <c r="M1753" s="112">
        <f>TRUNC(H1753*J1753*(10^-7))</f>
        <v>815</v>
      </c>
      <c r="N1753" s="113" t="s">
        <v>975</v>
      </c>
    </row>
    <row r="1754" spans="1:15" ht="16.149999999999999" customHeight="1">
      <c r="A1754" s="115"/>
      <c r="B1754" s="122"/>
      <c r="C1754" s="118"/>
      <c r="D1754" s="33"/>
      <c r="E1754" s="110"/>
      <c r="F1754" s="118"/>
      <c r="G1754" s="118"/>
      <c r="H1754" s="123"/>
      <c r="I1754" s="118"/>
      <c r="J1754" s="110"/>
      <c r="K1754" s="110"/>
      <c r="L1754" s="110"/>
      <c r="M1754" s="112"/>
      <c r="N1754" s="113"/>
    </row>
    <row r="1755" spans="1:15" ht="16.149999999999999" customHeight="1">
      <c r="A1755" s="124"/>
      <c r="B1755" s="125" t="s">
        <v>1115</v>
      </c>
      <c r="C1755" s="126"/>
      <c r="D1755" s="126"/>
      <c r="E1755" s="126"/>
      <c r="F1755" s="126"/>
      <c r="G1755" s="126"/>
      <c r="H1755" s="127"/>
      <c r="I1755" s="126"/>
      <c r="J1755" s="126"/>
      <c r="K1755" s="126"/>
      <c r="L1755" s="126"/>
      <c r="M1755" s="128"/>
      <c r="N1755" s="129"/>
    </row>
    <row r="1756" spans="1:15" ht="16.149999999999999" customHeight="1">
      <c r="A1756" s="130"/>
      <c r="B1756" s="131"/>
      <c r="C1756" s="118"/>
      <c r="D1756" s="33"/>
      <c r="E1756" s="110"/>
      <c r="F1756" s="110"/>
      <c r="G1756" s="132"/>
      <c r="H1756" s="111"/>
      <c r="I1756" s="110"/>
      <c r="J1756" s="110"/>
      <c r="K1756" s="133"/>
      <c r="L1756" s="118"/>
      <c r="M1756" s="112"/>
      <c r="N1756" s="113"/>
    </row>
    <row r="1757" spans="1:15" ht="16.149999999999999" customHeight="1">
      <c r="A1757" s="130"/>
      <c r="B1757" s="109"/>
      <c r="C1757" s="118"/>
      <c r="D1757" s="33"/>
      <c r="E1757" s="110"/>
      <c r="F1757" s="110"/>
      <c r="G1757" s="132"/>
      <c r="H1757" s="111"/>
      <c r="I1757" s="110"/>
      <c r="J1757" s="110"/>
      <c r="K1757" s="134"/>
      <c r="L1757" s="118"/>
      <c r="M1757" s="112"/>
      <c r="N1757" s="113"/>
    </row>
    <row r="1758" spans="1:15" ht="18.600000000000001" customHeight="1">
      <c r="A1758" s="130"/>
      <c r="B1758" s="109"/>
      <c r="C1758" s="118"/>
      <c r="D1758" s="33"/>
      <c r="E1758" s="110"/>
      <c r="F1758" s="110"/>
      <c r="G1758" s="132"/>
      <c r="H1758" s="111"/>
      <c r="I1758" s="110"/>
      <c r="J1758" s="110"/>
      <c r="K1758" s="134"/>
      <c r="L1758" s="118"/>
      <c r="M1758" s="112"/>
      <c r="N1758" s="113"/>
      <c r="O1758" s="114" t="s">
        <v>3682</v>
      </c>
    </row>
    <row r="1759" spans="1:15" ht="16.149999999999999" customHeight="1">
      <c r="A1759" s="130"/>
      <c r="B1759" s="109"/>
      <c r="C1759" s="118"/>
      <c r="D1759" s="110"/>
      <c r="E1759" s="110"/>
      <c r="F1759" s="110"/>
      <c r="G1759" s="110"/>
      <c r="H1759" s="111"/>
      <c r="I1759" s="791"/>
      <c r="J1759" s="791"/>
      <c r="K1759" s="118" t="s">
        <v>1164</v>
      </c>
      <c r="L1759" s="118" t="s">
        <v>1582</v>
      </c>
      <c r="M1759" s="112">
        <f>TRUNC(M1756+M1757+M1758)</f>
        <v>0</v>
      </c>
      <c r="N1759" s="113" t="s">
        <v>975</v>
      </c>
      <c r="O1759" s="114" t="s">
        <v>1115</v>
      </c>
    </row>
    <row r="1760" spans="1:15" ht="18.600000000000001" customHeight="1">
      <c r="A1760" s="130"/>
      <c r="B1760" s="109"/>
      <c r="C1760" s="118"/>
      <c r="D1760" s="110"/>
      <c r="E1760" s="110"/>
      <c r="F1760" s="110"/>
      <c r="G1760" s="110"/>
      <c r="H1760" s="111"/>
      <c r="I1760" s="118"/>
      <c r="J1760" s="118"/>
      <c r="K1760" s="118"/>
      <c r="L1760" s="118"/>
      <c r="M1760" s="112"/>
      <c r="N1760" s="113"/>
      <c r="O1760" s="114" t="s">
        <v>3682</v>
      </c>
    </row>
    <row r="1761" spans="1:15" ht="18.600000000000001" customHeight="1">
      <c r="A1761" s="135"/>
      <c r="B1761" s="136"/>
      <c r="C1761" s="137"/>
      <c r="D1761" s="138"/>
      <c r="E1761" s="138"/>
      <c r="F1761" s="138"/>
      <c r="G1761" s="138"/>
      <c r="H1761" s="139"/>
      <c r="I1761" s="137"/>
      <c r="J1761" s="137"/>
      <c r="K1761" s="137"/>
      <c r="L1761" s="137"/>
      <c r="M1761" s="140"/>
      <c r="N1761" s="141"/>
      <c r="O1761" s="114" t="s">
        <v>3682</v>
      </c>
    </row>
    <row r="1762" spans="1:15" ht="16.149999999999999" customHeight="1">
      <c r="A1762" s="124"/>
      <c r="B1762" s="125" t="s">
        <v>1116</v>
      </c>
      <c r="C1762" s="142"/>
      <c r="D1762" s="126"/>
      <c r="E1762" s="126"/>
      <c r="F1762" s="126"/>
      <c r="G1762" s="126"/>
      <c r="H1762" s="127"/>
      <c r="I1762" s="126"/>
      <c r="J1762" s="126"/>
      <c r="K1762" s="126"/>
      <c r="L1762" s="126"/>
      <c r="M1762" s="128"/>
      <c r="N1762" s="129"/>
    </row>
    <row r="1763" spans="1:15" ht="16.149999999999999" customHeight="1">
      <c r="A1763" s="130"/>
      <c r="B1763" s="109"/>
      <c r="C1763" s="118"/>
      <c r="D1763" s="118"/>
      <c r="E1763" s="110"/>
      <c r="F1763" s="118"/>
      <c r="G1763" s="110"/>
      <c r="H1763" s="123"/>
      <c r="I1763" s="110"/>
      <c r="J1763" s="110"/>
      <c r="K1763" s="110"/>
      <c r="L1763" s="118"/>
      <c r="M1763" s="112"/>
      <c r="N1763" s="113"/>
    </row>
    <row r="1764" spans="1:15" ht="16.149999999999999" customHeight="1">
      <c r="A1764" s="130"/>
      <c r="B1764" s="109"/>
      <c r="C1764" s="118"/>
      <c r="D1764" s="174"/>
      <c r="E1764" s="110"/>
      <c r="F1764" s="118"/>
      <c r="G1764" s="110"/>
      <c r="H1764" s="123"/>
      <c r="I1764" s="110"/>
      <c r="J1764" s="110"/>
      <c r="K1764" s="110"/>
      <c r="L1764" s="118"/>
      <c r="M1764" s="112"/>
      <c r="N1764" s="113"/>
    </row>
    <row r="1765" spans="1:15" ht="16.149999999999999" customHeight="1">
      <c r="A1765" s="130"/>
      <c r="B1765" s="109"/>
      <c r="C1765" s="110"/>
      <c r="D1765" s="110"/>
      <c r="E1765" s="110"/>
      <c r="F1765" s="110"/>
      <c r="G1765" s="110"/>
      <c r="H1765" s="111"/>
      <c r="I1765" s="110"/>
      <c r="J1765" s="110"/>
      <c r="K1765" s="118" t="s">
        <v>1164</v>
      </c>
      <c r="L1765" s="118" t="s">
        <v>1582</v>
      </c>
      <c r="M1765" s="112">
        <f>TRUNC(SUM(M1763:M1764))</f>
        <v>0</v>
      </c>
      <c r="N1765" s="113" t="s">
        <v>975</v>
      </c>
    </row>
    <row r="1766" spans="1:15" ht="18.600000000000001" customHeight="1">
      <c r="A1766" s="135"/>
      <c r="B1766" s="136"/>
      <c r="C1766" s="138"/>
      <c r="D1766" s="138"/>
      <c r="E1766" s="138"/>
      <c r="F1766" s="138"/>
      <c r="G1766" s="138"/>
      <c r="H1766" s="139"/>
      <c r="I1766" s="138"/>
      <c r="J1766" s="138"/>
      <c r="K1766" s="137"/>
      <c r="L1766" s="137"/>
      <c r="M1766" s="140"/>
      <c r="N1766" s="141"/>
      <c r="O1766" s="114" t="s">
        <v>3682</v>
      </c>
    </row>
    <row r="1767" spans="1:15" s="152" customFormat="1" ht="16.149999999999999" customHeight="1">
      <c r="A1767" s="146"/>
      <c r="B1767" s="147"/>
      <c r="C1767" s="148"/>
      <c r="D1767" s="148"/>
      <c r="E1767" s="148"/>
      <c r="F1767" s="148"/>
      <c r="G1767" s="148"/>
      <c r="H1767" s="149"/>
      <c r="I1767" s="148"/>
      <c r="J1767" s="148"/>
      <c r="K1767" s="148" t="s">
        <v>1118</v>
      </c>
      <c r="L1767" s="148" t="s">
        <v>1582</v>
      </c>
      <c r="M1767" s="150">
        <f>TRUNC(M1753+M1759+M1765,0)</f>
        <v>815</v>
      </c>
      <c r="N1767" s="151"/>
    </row>
  </sheetData>
  <mergeCells count="161">
    <mergeCell ref="I562:J562"/>
    <mergeCell ref="J707:K707"/>
    <mergeCell ref="I714:J714"/>
    <mergeCell ref="J574:K574"/>
    <mergeCell ref="J612:K612"/>
    <mergeCell ref="J593:K593"/>
    <mergeCell ref="I600:J600"/>
    <mergeCell ref="J688:K688"/>
    <mergeCell ref="J441:K441"/>
    <mergeCell ref="I619:J619"/>
    <mergeCell ref="J498:K498"/>
    <mergeCell ref="I505:J505"/>
    <mergeCell ref="I524:J524"/>
    <mergeCell ref="J479:K479"/>
    <mergeCell ref="J460:K460"/>
    <mergeCell ref="I448:J448"/>
    <mergeCell ref="I467:J467"/>
    <mergeCell ref="J916:K916"/>
    <mergeCell ref="I695:J695"/>
    <mergeCell ref="I790:J790"/>
    <mergeCell ref="J631:K631"/>
    <mergeCell ref="I638:J638"/>
    <mergeCell ref="I752:J752"/>
    <mergeCell ref="J783:K783"/>
    <mergeCell ref="J726:K726"/>
    <mergeCell ref="I733:J733"/>
    <mergeCell ref="J669:K669"/>
    <mergeCell ref="I676:J676"/>
    <mergeCell ref="I11:J11"/>
    <mergeCell ref="J23:K23"/>
    <mergeCell ref="I30:J30"/>
    <mergeCell ref="I163:J163"/>
    <mergeCell ref="I144:J144"/>
    <mergeCell ref="I106:J106"/>
    <mergeCell ref="J42:K42"/>
    <mergeCell ref="I49:J49"/>
    <mergeCell ref="I391:J391"/>
    <mergeCell ref="J61:K61"/>
    <mergeCell ref="I68:J68"/>
    <mergeCell ref="I125:J125"/>
    <mergeCell ref="I258:J258"/>
    <mergeCell ref="I277:J277"/>
    <mergeCell ref="I315:J315"/>
    <mergeCell ref="I372:J372"/>
    <mergeCell ref="I182:J182"/>
    <mergeCell ref="I201:J201"/>
    <mergeCell ref="I220:J220"/>
    <mergeCell ref="I239:J239"/>
    <mergeCell ref="J1486:K1486"/>
    <mergeCell ref="J1391:K1391"/>
    <mergeCell ref="I1398:J1398"/>
    <mergeCell ref="J1429:K1429"/>
    <mergeCell ref="I1436:J1436"/>
    <mergeCell ref="J1353:K1353"/>
    <mergeCell ref="I1284:J1284"/>
    <mergeCell ref="J764:K764"/>
    <mergeCell ref="I771:J771"/>
    <mergeCell ref="I828:J828"/>
    <mergeCell ref="I999:J999"/>
    <mergeCell ref="J802:K802"/>
    <mergeCell ref="I809:J809"/>
    <mergeCell ref="J935:K935"/>
    <mergeCell ref="J878:K878"/>
    <mergeCell ref="I923:J923"/>
    <mergeCell ref="I885:J885"/>
    <mergeCell ref="J897:K897"/>
    <mergeCell ref="J840:K840"/>
    <mergeCell ref="I866:J866"/>
    <mergeCell ref="I942:J942"/>
    <mergeCell ref="I847:J847"/>
    <mergeCell ref="J859:K859"/>
    <mergeCell ref="I904:J904"/>
    <mergeCell ref="J4:K4"/>
    <mergeCell ref="J1467:K1467"/>
    <mergeCell ref="I334:J334"/>
    <mergeCell ref="I353:J353"/>
    <mergeCell ref="I486:J486"/>
    <mergeCell ref="I1303:J1303"/>
    <mergeCell ref="I410:J410"/>
    <mergeCell ref="I429:J429"/>
    <mergeCell ref="I87:J87"/>
    <mergeCell ref="I296:J296"/>
    <mergeCell ref="I1417:J1417"/>
    <mergeCell ref="I1360:J1360"/>
    <mergeCell ref="J1448:K1448"/>
    <mergeCell ref="I1455:J1455"/>
    <mergeCell ref="J650:K650"/>
    <mergeCell ref="I657:J657"/>
    <mergeCell ref="I543:J543"/>
    <mergeCell ref="I581:J581"/>
    <mergeCell ref="J821:K821"/>
    <mergeCell ref="J973:K973"/>
    <mergeCell ref="J992:K992"/>
    <mergeCell ref="J954:K954"/>
    <mergeCell ref="I961:J961"/>
    <mergeCell ref="I980:J980"/>
    <mergeCell ref="I1037:J1037"/>
    <mergeCell ref="J1087:K1087"/>
    <mergeCell ref="I1056:J1056"/>
    <mergeCell ref="J1068:K1068"/>
    <mergeCell ref="I1075:J1075"/>
    <mergeCell ref="J1049:K1049"/>
    <mergeCell ref="J1011:K1011"/>
    <mergeCell ref="I1018:J1018"/>
    <mergeCell ref="J1030:K1030"/>
    <mergeCell ref="I1151:J1151"/>
    <mergeCell ref="J1163:K1163"/>
    <mergeCell ref="I1170:J1170"/>
    <mergeCell ref="J1182:K1182"/>
    <mergeCell ref="I1094:J1094"/>
    <mergeCell ref="J1106:K1106"/>
    <mergeCell ref="I1113:J1113"/>
    <mergeCell ref="J1144:K1144"/>
    <mergeCell ref="J1125:K1125"/>
    <mergeCell ref="I1132:J1132"/>
    <mergeCell ref="I1189:J1189"/>
    <mergeCell ref="J1258:K1258"/>
    <mergeCell ref="I1265:J1265"/>
    <mergeCell ref="J1201:K1201"/>
    <mergeCell ref="I1208:J1208"/>
    <mergeCell ref="I1227:J1227"/>
    <mergeCell ref="J1239:K1239"/>
    <mergeCell ref="I1246:J1246"/>
    <mergeCell ref="J1220:K1220"/>
    <mergeCell ref="J1638:K1638"/>
    <mergeCell ref="I1493:J1493"/>
    <mergeCell ref="J1505:K1505"/>
    <mergeCell ref="J1733:K1733"/>
    <mergeCell ref="I1740:J1740"/>
    <mergeCell ref="J1734:K1734"/>
    <mergeCell ref="I1531:J1531"/>
    <mergeCell ref="J1543:K1543"/>
    <mergeCell ref="I1550:J1550"/>
    <mergeCell ref="J1619:K1619"/>
    <mergeCell ref="J1581:K1581"/>
    <mergeCell ref="I1512:J1512"/>
    <mergeCell ref="J1524:K1524"/>
    <mergeCell ref="I1759:J1759"/>
    <mergeCell ref="I1721:J1721"/>
    <mergeCell ref="J384:K384"/>
    <mergeCell ref="J1713:K1713"/>
    <mergeCell ref="J745:K745"/>
    <mergeCell ref="I1664:J1664"/>
    <mergeCell ref="I1607:J1607"/>
    <mergeCell ref="J1600:K1600"/>
    <mergeCell ref="I1322:J1322"/>
    <mergeCell ref="J1372:K1372"/>
    <mergeCell ref="I1474:J1474"/>
    <mergeCell ref="I1569:J1569"/>
    <mergeCell ref="J1562:K1562"/>
    <mergeCell ref="I1379:J1379"/>
    <mergeCell ref="I1588:J1588"/>
    <mergeCell ref="I1341:J1341"/>
    <mergeCell ref="I1645:J1645"/>
    <mergeCell ref="J1714:K1714"/>
    <mergeCell ref="J1657:K1657"/>
    <mergeCell ref="J1695:K1695"/>
    <mergeCell ref="I1702:J1702"/>
    <mergeCell ref="J1676:K1676"/>
    <mergeCell ref="I1683:J1683"/>
    <mergeCell ref="I1626:J1626"/>
  </mergeCells>
  <phoneticPr fontId="2" type="noConversion"/>
  <printOptions horizontalCentered="1"/>
  <pageMargins left="0.59055118110236227" right="0.59055118110236227" top="1.3385826771653544" bottom="1.1417322834645669" header="0.78740157480314965" footer="0.59055118110236227"/>
  <pageSetup paperSize="9" orientation="portrait" r:id="rId1"/>
  <headerFooter alignWithMargins="0">
    <oddHeader>&amp;C&amp;"맑은 고딕,굵게"&amp;14&amp;E중 기 사 용 료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2:S1296"/>
  <sheetViews>
    <sheetView showZeros="0" view="pageBreakPreview" zoomScaleSheetLayoutView="100" workbookViewId="0">
      <selection activeCell="A4" sqref="A4"/>
    </sheetView>
  </sheetViews>
  <sheetFormatPr defaultRowHeight="21.2" customHeight="1" outlineLevelRow="1"/>
  <cols>
    <col min="1" max="1" width="9.109375" style="116" customWidth="1"/>
    <col min="2" max="2" width="1.77734375" style="116" customWidth="1"/>
    <col min="3" max="3" width="7.77734375" style="116" customWidth="1"/>
    <col min="4" max="4" width="1.77734375" style="116" customWidth="1"/>
    <col min="5" max="5" width="6.33203125" style="116" customWidth="1"/>
    <col min="6" max="6" width="1.77734375" style="116" customWidth="1"/>
    <col min="7" max="7" width="7.33203125" style="116" customWidth="1"/>
    <col min="8" max="8" width="1.77734375" style="116" customWidth="1"/>
    <col min="9" max="9" width="5.88671875" style="116" customWidth="1"/>
    <col min="10" max="10" width="1.77734375" style="116" customWidth="1"/>
    <col min="11" max="11" width="5.33203125" style="116" customWidth="1"/>
    <col min="12" max="12" width="1.77734375" style="116" customWidth="1"/>
    <col min="13" max="13" width="4.33203125" style="116" bestFit="1" customWidth="1"/>
    <col min="14" max="14" width="1.77734375" style="116" customWidth="1"/>
    <col min="15" max="15" width="5.5546875" style="116" bestFit="1" customWidth="1"/>
    <col min="16" max="16" width="7.6640625" style="116" customWidth="1"/>
    <col min="17" max="17" width="6.109375" style="116" customWidth="1"/>
    <col min="18" max="16384" width="8.88671875" style="116"/>
  </cols>
  <sheetData>
    <row r="2" spans="1:18" ht="21.2" customHeight="1">
      <c r="R2" s="116">
        <v>1</v>
      </c>
    </row>
    <row r="3" spans="1:18" s="472" customFormat="1" ht="21.2" customHeight="1">
      <c r="A3" s="796" t="s">
        <v>3329</v>
      </c>
      <c r="B3" s="796"/>
      <c r="C3" s="796"/>
      <c r="D3" s="796"/>
      <c r="E3" s="796"/>
      <c r="F3" s="796"/>
      <c r="G3" s="796"/>
      <c r="H3" s="796"/>
      <c r="I3" s="796"/>
      <c r="J3" s="796"/>
      <c r="K3" s="796"/>
      <c r="L3" s="796"/>
      <c r="M3" s="796"/>
      <c r="N3" s="796"/>
      <c r="O3" s="796"/>
      <c r="P3" s="796"/>
      <c r="Q3" s="796"/>
      <c r="R3" s="116">
        <v>1</v>
      </c>
    </row>
    <row r="4" spans="1:18" ht="21.2" customHeight="1">
      <c r="A4" s="473" t="s">
        <v>1437</v>
      </c>
      <c r="B4" s="142" t="s">
        <v>1526</v>
      </c>
      <c r="C4" s="125" t="s">
        <v>0</v>
      </c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474"/>
      <c r="R4" s="116">
        <v>1</v>
      </c>
    </row>
    <row r="5" spans="1:18" ht="21.2" customHeight="1">
      <c r="A5" s="475" t="s">
        <v>1100</v>
      </c>
      <c r="B5" s="118" t="s">
        <v>1526</v>
      </c>
      <c r="C5" s="800" t="s">
        <v>4019</v>
      </c>
      <c r="D5" s="800"/>
      <c r="E5" s="800"/>
      <c r="F5" s="800"/>
      <c r="G5" s="109" t="s">
        <v>1527</v>
      </c>
      <c r="H5" s="109" t="s">
        <v>1526</v>
      </c>
      <c r="I5" s="109" t="s">
        <v>1101</v>
      </c>
      <c r="J5" s="109"/>
      <c r="K5" s="109"/>
      <c r="L5" s="109"/>
      <c r="M5" s="109"/>
      <c r="N5" s="109"/>
      <c r="O5" s="109"/>
      <c r="P5" s="109"/>
      <c r="Q5" s="476"/>
      <c r="R5" s="116">
        <v>1</v>
      </c>
    </row>
    <row r="6" spans="1:18" ht="21.2" customHeight="1">
      <c r="A6" s="477">
        <v>1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476"/>
      <c r="R6" s="116">
        <v>1</v>
      </c>
    </row>
    <row r="7" spans="1:18" ht="21.2" customHeight="1">
      <c r="A7" s="473" t="s">
        <v>1102</v>
      </c>
      <c r="B7" s="125"/>
      <c r="C7" s="125" t="s">
        <v>4024</v>
      </c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474"/>
      <c r="R7" s="116">
        <v>1</v>
      </c>
    </row>
    <row r="8" spans="1:18" ht="21.2" customHeight="1">
      <c r="A8" s="475" t="s">
        <v>1103</v>
      </c>
      <c r="B8" s="109"/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476"/>
      <c r="R8" s="116">
        <v>1</v>
      </c>
    </row>
    <row r="9" spans="1:18" ht="21.2" customHeight="1">
      <c r="A9" s="475"/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476"/>
      <c r="R9" s="116">
        <v>1</v>
      </c>
    </row>
    <row r="10" spans="1:18" ht="21.2" customHeight="1">
      <c r="A10" s="473" t="s">
        <v>1104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474"/>
      <c r="R10" s="116">
        <v>1</v>
      </c>
    </row>
    <row r="11" spans="1:18" ht="21.2" customHeight="1">
      <c r="A11" s="475" t="s">
        <v>1105</v>
      </c>
      <c r="B11" s="118" t="s">
        <v>1582</v>
      </c>
      <c r="C11" s="478">
        <v>0.2</v>
      </c>
      <c r="D11" s="109" t="s">
        <v>1106</v>
      </c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476"/>
      <c r="R11" s="116">
        <v>1</v>
      </c>
    </row>
    <row r="12" spans="1:18" ht="21.2" customHeight="1">
      <c r="A12" s="475" t="s">
        <v>1107</v>
      </c>
      <c r="B12" s="118" t="s">
        <v>1582</v>
      </c>
      <c r="C12" s="478">
        <v>0.9</v>
      </c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476"/>
      <c r="R12" s="116">
        <v>1</v>
      </c>
    </row>
    <row r="13" spans="1:18" ht="21.2" customHeight="1">
      <c r="A13" s="475" t="s">
        <v>1108</v>
      </c>
      <c r="B13" s="118" t="s">
        <v>1582</v>
      </c>
      <c r="C13" s="478">
        <v>0.8</v>
      </c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476"/>
      <c r="R13" s="116">
        <v>1</v>
      </c>
    </row>
    <row r="14" spans="1:18" ht="21.2" customHeight="1">
      <c r="A14" s="475" t="s">
        <v>1109</v>
      </c>
      <c r="B14" s="118" t="s">
        <v>1582</v>
      </c>
      <c r="C14" s="478">
        <v>0.55000000000000004</v>
      </c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476"/>
      <c r="R14" s="116">
        <v>1</v>
      </c>
    </row>
    <row r="15" spans="1:18" ht="21.2" customHeight="1">
      <c r="A15" s="475" t="s">
        <v>1583</v>
      </c>
      <c r="B15" s="118" t="s">
        <v>1582</v>
      </c>
      <c r="C15" s="478">
        <v>18</v>
      </c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476"/>
      <c r="R15" s="116">
        <v>1</v>
      </c>
    </row>
    <row r="16" spans="1:18" ht="21.2" customHeight="1">
      <c r="A16" s="475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476"/>
      <c r="R16" s="116">
        <v>1</v>
      </c>
    </row>
    <row r="17" spans="1:18" ht="21.2" customHeight="1">
      <c r="A17" s="473" t="s">
        <v>1110</v>
      </c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474"/>
      <c r="R17" s="116">
        <v>1</v>
      </c>
    </row>
    <row r="18" spans="1:18" ht="21.2" customHeight="1">
      <c r="A18" s="475" t="s">
        <v>1111</v>
      </c>
      <c r="B18" s="118" t="s">
        <v>1582</v>
      </c>
      <c r="C18" s="118">
        <v>3600</v>
      </c>
      <c r="D18" s="118" t="s">
        <v>86</v>
      </c>
      <c r="E18" s="118" t="s">
        <v>1105</v>
      </c>
      <c r="F18" s="118" t="s">
        <v>86</v>
      </c>
      <c r="G18" s="118" t="s">
        <v>1107</v>
      </c>
      <c r="H18" s="118" t="s">
        <v>86</v>
      </c>
      <c r="I18" s="118" t="s">
        <v>1108</v>
      </c>
      <c r="J18" s="118" t="s">
        <v>86</v>
      </c>
      <c r="K18" s="118" t="s">
        <v>1109</v>
      </c>
      <c r="L18" s="479" t="s">
        <v>1112</v>
      </c>
      <c r="M18" s="118" t="s">
        <v>1583</v>
      </c>
      <c r="N18" s="707" t="s">
        <v>4025</v>
      </c>
      <c r="O18" s="109"/>
      <c r="P18" s="109"/>
      <c r="Q18" s="476"/>
      <c r="R18" s="116">
        <v>1</v>
      </c>
    </row>
    <row r="19" spans="1:18" ht="21.2" customHeight="1">
      <c r="A19" s="475"/>
      <c r="B19" s="118" t="s">
        <v>1113</v>
      </c>
      <c r="C19" s="118">
        <f>C18</f>
        <v>3600</v>
      </c>
      <c r="D19" s="118" t="str">
        <f>D18</f>
        <v>*</v>
      </c>
      <c r="E19" s="275">
        <f>C11</f>
        <v>0.2</v>
      </c>
      <c r="F19" s="118" t="str">
        <f>F18</f>
        <v>*</v>
      </c>
      <c r="G19" s="275">
        <f>C12</f>
        <v>0.9</v>
      </c>
      <c r="H19" s="118" t="str">
        <f>H18</f>
        <v>*</v>
      </c>
      <c r="I19" s="275">
        <f>C13</f>
        <v>0.8</v>
      </c>
      <c r="J19" s="118" t="str">
        <f>J18</f>
        <v>*</v>
      </c>
      <c r="K19" s="275">
        <f>C14</f>
        <v>0.55000000000000004</v>
      </c>
      <c r="L19" s="118" t="str">
        <f>L18</f>
        <v>/</v>
      </c>
      <c r="M19" s="275">
        <f>C15</f>
        <v>18</v>
      </c>
      <c r="N19" s="118" t="s">
        <v>1582</v>
      </c>
      <c r="O19" s="134">
        <f>TRUNC((C19*E19*G19*I19*K19/M19),2)</f>
        <v>15.84</v>
      </c>
      <c r="P19" s="109"/>
      <c r="Q19" s="476"/>
      <c r="R19" s="116">
        <v>1</v>
      </c>
    </row>
    <row r="20" spans="1:18" ht="21.2" customHeight="1">
      <c r="A20" s="475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476"/>
      <c r="R20" s="116">
        <v>1</v>
      </c>
    </row>
    <row r="21" spans="1:18" ht="21.2" customHeight="1">
      <c r="A21" s="473" t="s">
        <v>1114</v>
      </c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474"/>
      <c r="R21" s="116">
        <v>1</v>
      </c>
    </row>
    <row r="22" spans="1:18" ht="21.2" customHeight="1">
      <c r="A22" s="475" t="s">
        <v>1436</v>
      </c>
      <c r="B22" s="109" t="s">
        <v>1582</v>
      </c>
      <c r="C22" s="480">
        <f>중기사용료!$M$81</f>
        <v>11251</v>
      </c>
      <c r="D22" s="479" t="s">
        <v>1112</v>
      </c>
      <c r="E22" s="118" t="s">
        <v>1111</v>
      </c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476"/>
      <c r="R22" s="116">
        <v>1</v>
      </c>
    </row>
    <row r="23" spans="1:18" ht="21.2" customHeight="1">
      <c r="A23" s="475"/>
      <c r="B23" s="118" t="s">
        <v>1113</v>
      </c>
      <c r="C23" s="480">
        <f>C22</f>
        <v>11251</v>
      </c>
      <c r="D23" s="118" t="str">
        <f>D22</f>
        <v>/</v>
      </c>
      <c r="E23" s="134">
        <f>O19</f>
        <v>15.84</v>
      </c>
      <c r="F23" s="109" t="s">
        <v>1582</v>
      </c>
      <c r="G23" s="481">
        <f>TRUNC(C23/E23)</f>
        <v>710</v>
      </c>
      <c r="H23" s="109"/>
      <c r="I23" s="109"/>
      <c r="J23" s="109"/>
      <c r="K23" s="109"/>
      <c r="L23" s="109"/>
      <c r="M23" s="109"/>
      <c r="N23" s="109"/>
      <c r="O23" s="109"/>
      <c r="P23" s="109"/>
      <c r="Q23" s="476"/>
      <c r="R23" s="116">
        <v>1</v>
      </c>
    </row>
    <row r="24" spans="1:18" ht="21.2" customHeight="1">
      <c r="A24" s="475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476"/>
      <c r="R24" s="116">
        <v>1</v>
      </c>
    </row>
    <row r="25" spans="1:18" ht="21.2" customHeight="1">
      <c r="A25" s="475" t="s">
        <v>1115</v>
      </c>
      <c r="B25" s="109" t="s">
        <v>1582</v>
      </c>
      <c r="C25" s="480">
        <f>중기사용료!$M$87</f>
        <v>27168</v>
      </c>
      <c r="D25" s="479" t="s">
        <v>1112</v>
      </c>
      <c r="E25" s="118" t="s">
        <v>1111</v>
      </c>
      <c r="F25" s="118"/>
      <c r="G25" s="118"/>
      <c r="H25" s="109"/>
      <c r="I25" s="109"/>
      <c r="J25" s="109"/>
      <c r="K25" s="109"/>
      <c r="L25" s="109"/>
      <c r="M25" s="109"/>
      <c r="N25" s="109"/>
      <c r="O25" s="109"/>
      <c r="P25" s="109"/>
      <c r="Q25" s="476"/>
      <c r="R25" s="116">
        <v>1</v>
      </c>
    </row>
    <row r="26" spans="1:18" ht="21.2" customHeight="1">
      <c r="A26" s="475"/>
      <c r="B26" s="118" t="s">
        <v>1113</v>
      </c>
      <c r="C26" s="480">
        <f>C25</f>
        <v>27168</v>
      </c>
      <c r="D26" s="479" t="str">
        <f>D25</f>
        <v>/</v>
      </c>
      <c r="E26" s="134">
        <f>O19</f>
        <v>15.84</v>
      </c>
      <c r="F26" s="118" t="s">
        <v>1582</v>
      </c>
      <c r="G26" s="481">
        <f>TRUNC(C26/E26)</f>
        <v>1715</v>
      </c>
      <c r="H26" s="109"/>
      <c r="I26" s="109"/>
      <c r="J26" s="109"/>
      <c r="K26" s="109"/>
      <c r="L26" s="109"/>
      <c r="M26" s="109"/>
      <c r="N26" s="109"/>
      <c r="O26" s="109"/>
      <c r="P26" s="109"/>
      <c r="Q26" s="476"/>
      <c r="R26" s="116">
        <v>1</v>
      </c>
    </row>
    <row r="27" spans="1:18" ht="21.2" customHeight="1">
      <c r="A27" s="475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476"/>
      <c r="R27" s="116">
        <v>1</v>
      </c>
    </row>
    <row r="28" spans="1:18" ht="21.2" customHeight="1">
      <c r="A28" s="475" t="s">
        <v>1116</v>
      </c>
      <c r="B28" s="118" t="s">
        <v>1582</v>
      </c>
      <c r="C28" s="480">
        <f>중기사용료!$M$93</f>
        <v>6745</v>
      </c>
      <c r="D28" s="479" t="s">
        <v>1112</v>
      </c>
      <c r="E28" s="118" t="s">
        <v>1111</v>
      </c>
      <c r="F28" s="118"/>
      <c r="G28" s="118"/>
      <c r="H28" s="109"/>
      <c r="I28" s="109"/>
      <c r="J28" s="109"/>
      <c r="K28" s="109"/>
      <c r="L28" s="109"/>
      <c r="M28" s="109"/>
      <c r="N28" s="109"/>
      <c r="O28" s="109"/>
      <c r="P28" s="109"/>
      <c r="Q28" s="476"/>
      <c r="R28" s="116">
        <v>1</v>
      </c>
    </row>
    <row r="29" spans="1:18" ht="21.2" customHeight="1">
      <c r="A29" s="475"/>
      <c r="B29" s="118" t="s">
        <v>1113</v>
      </c>
      <c r="C29" s="480">
        <f>C28</f>
        <v>6745</v>
      </c>
      <c r="D29" s="118" t="str">
        <f>D28</f>
        <v>/</v>
      </c>
      <c r="E29" s="134">
        <f>O19</f>
        <v>15.84</v>
      </c>
      <c r="F29" s="118" t="s">
        <v>1582</v>
      </c>
      <c r="G29" s="481">
        <f>TRUNC(C29/E29)</f>
        <v>425</v>
      </c>
      <c r="H29" s="109"/>
      <c r="I29" s="109"/>
      <c r="J29" s="109"/>
      <c r="K29" s="109"/>
      <c r="L29" s="109"/>
      <c r="M29" s="109"/>
      <c r="N29" s="109"/>
      <c r="O29" s="109"/>
      <c r="P29" s="109"/>
      <c r="Q29" s="476"/>
      <c r="R29" s="116">
        <v>1</v>
      </c>
    </row>
    <row r="30" spans="1:18" ht="21.2" customHeight="1">
      <c r="A30" s="475"/>
      <c r="B30" s="109"/>
      <c r="C30" s="109"/>
      <c r="D30" s="109"/>
      <c r="E30" s="109"/>
      <c r="F30" s="109"/>
      <c r="G30" s="109"/>
      <c r="H30" s="118" t="s">
        <v>1117</v>
      </c>
      <c r="I30" s="118" t="s">
        <v>1118</v>
      </c>
      <c r="J30" s="118" t="s">
        <v>1113</v>
      </c>
      <c r="K30" s="797">
        <f>G23+G26+G29</f>
        <v>2850</v>
      </c>
      <c r="L30" s="797"/>
      <c r="M30" s="797"/>
      <c r="N30" s="118" t="s">
        <v>1119</v>
      </c>
      <c r="O30" s="109"/>
      <c r="P30" s="109"/>
      <c r="Q30" s="476"/>
      <c r="R30" s="116">
        <v>1</v>
      </c>
    </row>
    <row r="31" spans="1:18" ht="21.2" customHeight="1">
      <c r="A31" s="475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476"/>
      <c r="R31" s="116">
        <v>1</v>
      </c>
    </row>
    <row r="32" spans="1:18" ht="21.2" customHeight="1">
      <c r="A32" s="475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476"/>
      <c r="R32" s="116">
        <v>1</v>
      </c>
    </row>
    <row r="33" spans="1:18" ht="21.2" customHeight="1">
      <c r="A33" s="475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09"/>
      <c r="Q33" s="476"/>
      <c r="R33" s="116">
        <v>1</v>
      </c>
    </row>
    <row r="34" spans="1:18" ht="21.2" customHeight="1">
      <c r="A34" s="475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476"/>
      <c r="R34" s="116">
        <v>1</v>
      </c>
    </row>
    <row r="35" spans="1:18" ht="21.2" customHeight="1">
      <c r="A35" s="475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476"/>
      <c r="R35" s="116">
        <v>1</v>
      </c>
    </row>
    <row r="36" spans="1:18" ht="21.2" customHeight="1">
      <c r="A36" s="482"/>
      <c r="B36" s="136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483"/>
      <c r="R36" s="116">
        <v>1</v>
      </c>
    </row>
    <row r="37" spans="1:18" ht="21.2" customHeight="1">
      <c r="R37" s="116">
        <v>1</v>
      </c>
    </row>
    <row r="38" spans="1:18" s="472" customFormat="1" ht="21.2" customHeight="1">
      <c r="A38" s="796" t="s">
        <v>3329</v>
      </c>
      <c r="B38" s="796"/>
      <c r="C38" s="796"/>
      <c r="D38" s="796"/>
      <c r="E38" s="796"/>
      <c r="F38" s="796"/>
      <c r="G38" s="796"/>
      <c r="H38" s="796"/>
      <c r="I38" s="796"/>
      <c r="J38" s="796"/>
      <c r="K38" s="796"/>
      <c r="L38" s="796"/>
      <c r="M38" s="796"/>
      <c r="N38" s="796"/>
      <c r="O38" s="796"/>
      <c r="P38" s="796"/>
      <c r="Q38" s="796"/>
      <c r="R38" s="116">
        <v>1</v>
      </c>
    </row>
    <row r="39" spans="1:18" ht="21.2" customHeight="1">
      <c r="A39" s="473" t="s">
        <v>1437</v>
      </c>
      <c r="B39" s="142" t="s">
        <v>1526</v>
      </c>
      <c r="C39" s="125" t="s">
        <v>0</v>
      </c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474"/>
      <c r="R39" s="116">
        <v>1</v>
      </c>
    </row>
    <row r="40" spans="1:18" ht="21.2" customHeight="1">
      <c r="A40" s="475" t="s">
        <v>1100</v>
      </c>
      <c r="B40" s="118" t="s">
        <v>1526</v>
      </c>
      <c r="C40" s="800" t="s">
        <v>4019</v>
      </c>
      <c r="D40" s="800"/>
      <c r="E40" s="800"/>
      <c r="F40" s="800"/>
      <c r="G40" s="109" t="s">
        <v>1527</v>
      </c>
      <c r="H40" s="109" t="s">
        <v>1526</v>
      </c>
      <c r="I40" s="109" t="s">
        <v>448</v>
      </c>
      <c r="J40" s="109"/>
      <c r="K40" s="109"/>
      <c r="L40" s="109"/>
      <c r="M40" s="109"/>
      <c r="N40" s="109"/>
      <c r="O40" s="109"/>
      <c r="P40" s="109"/>
      <c r="Q40" s="476"/>
      <c r="R40" s="116">
        <v>1</v>
      </c>
    </row>
    <row r="41" spans="1:18" ht="21.2" customHeight="1">
      <c r="A41" s="477">
        <f>A6+1</f>
        <v>2</v>
      </c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476"/>
      <c r="R41" s="116">
        <v>1</v>
      </c>
    </row>
    <row r="42" spans="1:18" ht="21.2" customHeight="1">
      <c r="A42" s="473" t="s">
        <v>1102</v>
      </c>
      <c r="B42" s="125"/>
      <c r="C42" s="125" t="s">
        <v>4024</v>
      </c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474"/>
      <c r="R42" s="116">
        <v>1</v>
      </c>
    </row>
    <row r="43" spans="1:18" ht="21.2" customHeight="1">
      <c r="A43" s="475" t="s">
        <v>1103</v>
      </c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476"/>
      <c r="R43" s="116">
        <v>1</v>
      </c>
    </row>
    <row r="44" spans="1:18" ht="21.2" customHeight="1">
      <c r="A44" s="475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476"/>
      <c r="R44" s="116">
        <v>1</v>
      </c>
    </row>
    <row r="45" spans="1:18" ht="21.2" customHeight="1">
      <c r="A45" s="473" t="s">
        <v>1104</v>
      </c>
      <c r="B45" s="125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474"/>
      <c r="R45" s="116">
        <v>1</v>
      </c>
    </row>
    <row r="46" spans="1:18" ht="21.2" customHeight="1">
      <c r="A46" s="475" t="s">
        <v>1105</v>
      </c>
      <c r="B46" s="118" t="s">
        <v>1582</v>
      </c>
      <c r="C46" s="478">
        <v>0.4</v>
      </c>
      <c r="D46" s="109" t="s">
        <v>1106</v>
      </c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476"/>
      <c r="R46" s="116">
        <v>1</v>
      </c>
    </row>
    <row r="47" spans="1:18" ht="21.2" customHeight="1">
      <c r="A47" s="475" t="s">
        <v>1107</v>
      </c>
      <c r="B47" s="118" t="s">
        <v>1582</v>
      </c>
      <c r="C47" s="478">
        <v>0.9</v>
      </c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476"/>
      <c r="R47" s="116">
        <v>1</v>
      </c>
    </row>
    <row r="48" spans="1:18" ht="21.2" customHeight="1">
      <c r="A48" s="475" t="s">
        <v>1108</v>
      </c>
      <c r="B48" s="118" t="s">
        <v>1582</v>
      </c>
      <c r="C48" s="478">
        <v>0.8</v>
      </c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476"/>
      <c r="R48" s="116">
        <v>1</v>
      </c>
    </row>
    <row r="49" spans="1:18" ht="21.2" customHeight="1">
      <c r="A49" s="475" t="s">
        <v>1109</v>
      </c>
      <c r="B49" s="118" t="s">
        <v>1582</v>
      </c>
      <c r="C49" s="478">
        <v>0.55000000000000004</v>
      </c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476"/>
      <c r="R49" s="116">
        <v>1</v>
      </c>
    </row>
    <row r="50" spans="1:18" ht="21.2" customHeight="1">
      <c r="A50" s="475" t="s">
        <v>1583</v>
      </c>
      <c r="B50" s="118" t="s">
        <v>1582</v>
      </c>
      <c r="C50" s="478">
        <v>18</v>
      </c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476"/>
      <c r="R50" s="116">
        <v>1</v>
      </c>
    </row>
    <row r="51" spans="1:18" ht="21.2" customHeight="1">
      <c r="A51" s="475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476"/>
      <c r="R51" s="116">
        <v>1</v>
      </c>
    </row>
    <row r="52" spans="1:18" ht="21.2" customHeight="1">
      <c r="A52" s="473" t="s">
        <v>1110</v>
      </c>
      <c r="B52" s="125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474"/>
      <c r="R52" s="116">
        <v>1</v>
      </c>
    </row>
    <row r="53" spans="1:18" ht="21.2" customHeight="1">
      <c r="A53" s="475" t="s">
        <v>1111</v>
      </c>
      <c r="B53" s="118" t="s">
        <v>1582</v>
      </c>
      <c r="C53" s="118">
        <v>3600</v>
      </c>
      <c r="D53" s="118" t="s">
        <v>86</v>
      </c>
      <c r="E53" s="118" t="s">
        <v>1105</v>
      </c>
      <c r="F53" s="118" t="s">
        <v>86</v>
      </c>
      <c r="G53" s="118" t="s">
        <v>1107</v>
      </c>
      <c r="H53" s="118" t="s">
        <v>86</v>
      </c>
      <c r="I53" s="118" t="s">
        <v>1108</v>
      </c>
      <c r="J53" s="118" t="s">
        <v>86</v>
      </c>
      <c r="K53" s="118" t="s">
        <v>1109</v>
      </c>
      <c r="L53" s="479" t="s">
        <v>1112</v>
      </c>
      <c r="M53" s="118" t="s">
        <v>1583</v>
      </c>
      <c r="N53" s="707" t="s">
        <v>4025</v>
      </c>
      <c r="O53" s="109"/>
      <c r="P53" s="109"/>
      <c r="Q53" s="476"/>
      <c r="R53" s="116">
        <v>1</v>
      </c>
    </row>
    <row r="54" spans="1:18" ht="21.2" customHeight="1">
      <c r="A54" s="475"/>
      <c r="B54" s="118" t="s">
        <v>1113</v>
      </c>
      <c r="C54" s="118">
        <f>C53</f>
        <v>3600</v>
      </c>
      <c r="D54" s="118" t="str">
        <f>D53</f>
        <v>*</v>
      </c>
      <c r="E54" s="275">
        <f>C46</f>
        <v>0.4</v>
      </c>
      <c r="F54" s="118" t="str">
        <f>F53</f>
        <v>*</v>
      </c>
      <c r="G54" s="275">
        <f>C47</f>
        <v>0.9</v>
      </c>
      <c r="H54" s="118" t="str">
        <f>H53</f>
        <v>*</v>
      </c>
      <c r="I54" s="275">
        <f>C48</f>
        <v>0.8</v>
      </c>
      <c r="J54" s="118" t="str">
        <f>J53</f>
        <v>*</v>
      </c>
      <c r="K54" s="275">
        <f>C49</f>
        <v>0.55000000000000004</v>
      </c>
      <c r="L54" s="118" t="str">
        <f>L53</f>
        <v>/</v>
      </c>
      <c r="M54" s="275">
        <f>C50</f>
        <v>18</v>
      </c>
      <c r="N54" s="118" t="s">
        <v>1582</v>
      </c>
      <c r="O54" s="134">
        <f>TRUNC((C54*E54*G54*I54*K54/M54),2)</f>
        <v>31.68</v>
      </c>
      <c r="P54" s="109"/>
      <c r="Q54" s="476"/>
      <c r="R54" s="116">
        <v>1</v>
      </c>
    </row>
    <row r="55" spans="1:18" ht="21.2" customHeight="1">
      <c r="A55" s="475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476"/>
      <c r="R55" s="116">
        <v>1</v>
      </c>
    </row>
    <row r="56" spans="1:18" ht="21.2" customHeight="1">
      <c r="A56" s="473" t="s">
        <v>1114</v>
      </c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474"/>
      <c r="R56" s="116">
        <v>1</v>
      </c>
    </row>
    <row r="57" spans="1:18" ht="21.2" customHeight="1">
      <c r="A57" s="475" t="s">
        <v>1436</v>
      </c>
      <c r="B57" s="109" t="s">
        <v>1582</v>
      </c>
      <c r="C57" s="480">
        <f>중기사용료!$M$100</f>
        <v>12514</v>
      </c>
      <c r="D57" s="479" t="s">
        <v>1112</v>
      </c>
      <c r="E57" s="118" t="s">
        <v>1111</v>
      </c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476"/>
      <c r="R57" s="116">
        <v>1</v>
      </c>
    </row>
    <row r="58" spans="1:18" ht="21.2" customHeight="1">
      <c r="A58" s="475"/>
      <c r="B58" s="118" t="s">
        <v>1113</v>
      </c>
      <c r="C58" s="480">
        <f>C57</f>
        <v>12514</v>
      </c>
      <c r="D58" s="118" t="str">
        <f>D57</f>
        <v>/</v>
      </c>
      <c r="E58" s="134">
        <f>O54</f>
        <v>31.68</v>
      </c>
      <c r="F58" s="109" t="s">
        <v>1582</v>
      </c>
      <c r="G58" s="481">
        <f>TRUNC(C58/E58)</f>
        <v>395</v>
      </c>
      <c r="H58" s="109"/>
      <c r="I58" s="109"/>
      <c r="J58" s="109"/>
      <c r="K58" s="109"/>
      <c r="L58" s="109"/>
      <c r="M58" s="109"/>
      <c r="N58" s="109"/>
      <c r="O58" s="109"/>
      <c r="P58" s="109"/>
      <c r="Q58" s="476"/>
      <c r="R58" s="116">
        <v>1</v>
      </c>
    </row>
    <row r="59" spans="1:18" ht="21.2" customHeight="1">
      <c r="A59" s="475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476"/>
      <c r="R59" s="116">
        <v>1</v>
      </c>
    </row>
    <row r="60" spans="1:18" ht="21.2" customHeight="1">
      <c r="A60" s="475" t="s">
        <v>1115</v>
      </c>
      <c r="B60" s="109" t="s">
        <v>1582</v>
      </c>
      <c r="C60" s="480">
        <f>중기사용료!$M$106</f>
        <v>27168</v>
      </c>
      <c r="D60" s="479" t="s">
        <v>1112</v>
      </c>
      <c r="E60" s="118" t="s">
        <v>1111</v>
      </c>
      <c r="F60" s="118"/>
      <c r="G60" s="118"/>
      <c r="H60" s="109"/>
      <c r="I60" s="109"/>
      <c r="J60" s="109"/>
      <c r="K60" s="109"/>
      <c r="L60" s="109"/>
      <c r="M60" s="109"/>
      <c r="N60" s="109"/>
      <c r="O60" s="109"/>
      <c r="P60" s="109"/>
      <c r="Q60" s="476"/>
      <c r="R60" s="116">
        <v>1</v>
      </c>
    </row>
    <row r="61" spans="1:18" ht="21.2" customHeight="1">
      <c r="A61" s="475"/>
      <c r="B61" s="118" t="s">
        <v>1113</v>
      </c>
      <c r="C61" s="480">
        <f>C60</f>
        <v>27168</v>
      </c>
      <c r="D61" s="479" t="str">
        <f>D60</f>
        <v>/</v>
      </c>
      <c r="E61" s="134">
        <f>O54</f>
        <v>31.68</v>
      </c>
      <c r="F61" s="118" t="s">
        <v>1582</v>
      </c>
      <c r="G61" s="481">
        <f>TRUNC(C61/E61)</f>
        <v>857</v>
      </c>
      <c r="H61" s="109"/>
      <c r="I61" s="109"/>
      <c r="J61" s="109"/>
      <c r="K61" s="109"/>
      <c r="L61" s="109"/>
      <c r="M61" s="109"/>
      <c r="N61" s="109"/>
      <c r="O61" s="109"/>
      <c r="P61" s="109"/>
      <c r="Q61" s="476"/>
      <c r="R61" s="116">
        <v>1</v>
      </c>
    </row>
    <row r="62" spans="1:18" ht="21.2" customHeight="1">
      <c r="A62" s="475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476"/>
      <c r="R62" s="116">
        <v>1</v>
      </c>
    </row>
    <row r="63" spans="1:18" ht="21.2" customHeight="1">
      <c r="A63" s="475" t="s">
        <v>1116</v>
      </c>
      <c r="B63" s="118" t="s">
        <v>1582</v>
      </c>
      <c r="C63" s="480">
        <f>중기사용료!$M$112</f>
        <v>13465</v>
      </c>
      <c r="D63" s="479" t="s">
        <v>1112</v>
      </c>
      <c r="E63" s="118" t="s">
        <v>1111</v>
      </c>
      <c r="F63" s="118"/>
      <c r="G63" s="118"/>
      <c r="H63" s="109"/>
      <c r="I63" s="109"/>
      <c r="J63" s="109"/>
      <c r="K63" s="109"/>
      <c r="L63" s="109"/>
      <c r="M63" s="109"/>
      <c r="N63" s="109"/>
      <c r="O63" s="109"/>
      <c r="P63" s="109"/>
      <c r="Q63" s="476"/>
      <c r="R63" s="116">
        <v>1</v>
      </c>
    </row>
    <row r="64" spans="1:18" ht="21.2" customHeight="1">
      <c r="A64" s="475"/>
      <c r="B64" s="118" t="s">
        <v>1113</v>
      </c>
      <c r="C64" s="480">
        <f>C63</f>
        <v>13465</v>
      </c>
      <c r="D64" s="118" t="str">
        <f>D63</f>
        <v>/</v>
      </c>
      <c r="E64" s="134">
        <f>O54</f>
        <v>31.68</v>
      </c>
      <c r="F64" s="118" t="s">
        <v>1582</v>
      </c>
      <c r="G64" s="481">
        <f>TRUNC(C64/E64)</f>
        <v>425</v>
      </c>
      <c r="H64" s="109"/>
      <c r="I64" s="109"/>
      <c r="J64" s="109"/>
      <c r="K64" s="109"/>
      <c r="L64" s="109"/>
      <c r="M64" s="109"/>
      <c r="N64" s="109"/>
      <c r="O64" s="109"/>
      <c r="P64" s="109"/>
      <c r="Q64" s="476"/>
      <c r="R64" s="116">
        <v>1</v>
      </c>
    </row>
    <row r="65" spans="1:18" ht="21.2" customHeight="1">
      <c r="A65" s="475"/>
      <c r="B65" s="109"/>
      <c r="C65" s="109"/>
      <c r="D65" s="109"/>
      <c r="E65" s="109"/>
      <c r="F65" s="109"/>
      <c r="G65" s="109"/>
      <c r="H65" s="118" t="s">
        <v>1117</v>
      </c>
      <c r="I65" s="118" t="s">
        <v>1118</v>
      </c>
      <c r="J65" s="118" t="s">
        <v>1113</v>
      </c>
      <c r="K65" s="797">
        <f>G58+G61+G64</f>
        <v>1677</v>
      </c>
      <c r="L65" s="797"/>
      <c r="M65" s="797"/>
      <c r="N65" s="118" t="s">
        <v>1119</v>
      </c>
      <c r="O65" s="109"/>
      <c r="P65" s="109"/>
      <c r="Q65" s="476"/>
      <c r="R65" s="116">
        <v>1</v>
      </c>
    </row>
    <row r="66" spans="1:18" ht="21.2" customHeight="1">
      <c r="A66" s="475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476"/>
      <c r="R66" s="116">
        <v>1</v>
      </c>
    </row>
    <row r="67" spans="1:18" ht="21.2" customHeight="1">
      <c r="A67" s="475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476"/>
      <c r="R67" s="116">
        <v>1</v>
      </c>
    </row>
    <row r="68" spans="1:18" ht="21.2" customHeight="1">
      <c r="A68" s="475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476"/>
      <c r="R68" s="116">
        <v>1</v>
      </c>
    </row>
    <row r="69" spans="1:18" ht="21.2" customHeight="1">
      <c r="A69" s="475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476"/>
      <c r="R69" s="116">
        <v>1</v>
      </c>
    </row>
    <row r="70" spans="1:18" ht="21.2" customHeight="1">
      <c r="A70" s="475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476"/>
      <c r="R70" s="116">
        <v>1</v>
      </c>
    </row>
    <row r="71" spans="1:18" ht="21.2" customHeight="1">
      <c r="A71" s="482"/>
      <c r="B71" s="136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483"/>
      <c r="R71" s="116">
        <v>1</v>
      </c>
    </row>
    <row r="72" spans="1:18" ht="21.2" customHeight="1">
      <c r="R72" s="116">
        <v>1</v>
      </c>
    </row>
    <row r="73" spans="1:18" s="472" customFormat="1" ht="21.2" customHeight="1">
      <c r="A73" s="796" t="s">
        <v>817</v>
      </c>
      <c r="B73" s="796"/>
      <c r="C73" s="796"/>
      <c r="D73" s="796"/>
      <c r="E73" s="796"/>
      <c r="F73" s="796"/>
      <c r="G73" s="796"/>
      <c r="H73" s="796"/>
      <c r="I73" s="796"/>
      <c r="J73" s="796"/>
      <c r="K73" s="796"/>
      <c r="L73" s="796"/>
      <c r="M73" s="796"/>
      <c r="N73" s="796"/>
      <c r="O73" s="796"/>
      <c r="P73" s="796"/>
      <c r="Q73" s="796"/>
      <c r="R73" s="116">
        <v>1</v>
      </c>
    </row>
    <row r="74" spans="1:18" ht="21.2" customHeight="1">
      <c r="A74" s="473" t="s">
        <v>1437</v>
      </c>
      <c r="B74" s="142" t="s">
        <v>1526</v>
      </c>
      <c r="C74" s="125" t="s">
        <v>0</v>
      </c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474"/>
      <c r="R74" s="116">
        <v>1</v>
      </c>
    </row>
    <row r="75" spans="1:18" ht="21.2" customHeight="1">
      <c r="A75" s="475" t="s">
        <v>1100</v>
      </c>
      <c r="B75" s="118" t="s">
        <v>1526</v>
      </c>
      <c r="C75" s="800" t="s">
        <v>4019</v>
      </c>
      <c r="D75" s="800"/>
      <c r="E75" s="800"/>
      <c r="F75" s="800"/>
      <c r="G75" s="109" t="s">
        <v>1527</v>
      </c>
      <c r="H75" s="109" t="s">
        <v>1526</v>
      </c>
      <c r="I75" s="754" t="s">
        <v>841</v>
      </c>
      <c r="J75" s="109" t="s">
        <v>3222</v>
      </c>
      <c r="K75" s="109"/>
      <c r="L75" s="109"/>
      <c r="M75" s="109"/>
      <c r="N75" s="109"/>
      <c r="O75" s="109"/>
      <c r="P75" s="109"/>
      <c r="Q75" s="476"/>
      <c r="R75" s="116">
        <v>1</v>
      </c>
    </row>
    <row r="76" spans="1:18" ht="21.2" customHeight="1">
      <c r="A76" s="477">
        <f>A41+1</f>
        <v>3</v>
      </c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476"/>
      <c r="R76" s="116">
        <v>1</v>
      </c>
    </row>
    <row r="77" spans="1:18" ht="21.2" customHeight="1">
      <c r="A77" s="473" t="s">
        <v>1102</v>
      </c>
      <c r="B77" s="125"/>
      <c r="C77" s="125" t="s">
        <v>4024</v>
      </c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474"/>
      <c r="R77" s="116">
        <v>1</v>
      </c>
    </row>
    <row r="78" spans="1:18" ht="21.2" customHeight="1">
      <c r="A78" s="475" t="s">
        <v>1103</v>
      </c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476"/>
      <c r="R78" s="116">
        <v>1</v>
      </c>
    </row>
    <row r="79" spans="1:18" ht="21.2" customHeight="1">
      <c r="A79" s="475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476"/>
      <c r="R79" s="116">
        <v>1</v>
      </c>
    </row>
    <row r="80" spans="1:18" ht="21.2" customHeight="1">
      <c r="A80" s="473" t="s">
        <v>1104</v>
      </c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474"/>
      <c r="R80" s="116">
        <v>1</v>
      </c>
    </row>
    <row r="81" spans="1:18" ht="21.2" customHeight="1">
      <c r="A81" s="475" t="s">
        <v>1105</v>
      </c>
      <c r="B81" s="118" t="s">
        <v>1582</v>
      </c>
      <c r="C81" s="478">
        <v>0.7</v>
      </c>
      <c r="D81" s="109" t="s">
        <v>1106</v>
      </c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476"/>
      <c r="R81" s="116">
        <v>1</v>
      </c>
    </row>
    <row r="82" spans="1:18" ht="21.2" customHeight="1">
      <c r="A82" s="475" t="s">
        <v>1107</v>
      </c>
      <c r="B82" s="118" t="s">
        <v>1582</v>
      </c>
      <c r="C82" s="478">
        <v>0.9</v>
      </c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476"/>
      <c r="R82" s="116">
        <v>1</v>
      </c>
    </row>
    <row r="83" spans="1:18" ht="21.2" customHeight="1">
      <c r="A83" s="475" t="s">
        <v>1108</v>
      </c>
      <c r="B83" s="118" t="s">
        <v>1582</v>
      </c>
      <c r="C83" s="478">
        <v>0.8</v>
      </c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476"/>
      <c r="R83" s="116">
        <v>1</v>
      </c>
    </row>
    <row r="84" spans="1:18" ht="21.2" customHeight="1">
      <c r="A84" s="475" t="s">
        <v>1109</v>
      </c>
      <c r="B84" s="118" t="s">
        <v>1582</v>
      </c>
      <c r="C84" s="478">
        <v>0.55000000000000004</v>
      </c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476"/>
      <c r="R84" s="116">
        <v>1</v>
      </c>
    </row>
    <row r="85" spans="1:18" ht="21.2" customHeight="1">
      <c r="A85" s="475" t="s">
        <v>1583</v>
      </c>
      <c r="B85" s="118" t="s">
        <v>1582</v>
      </c>
      <c r="C85" s="478">
        <v>20</v>
      </c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476"/>
      <c r="R85" s="116">
        <v>1</v>
      </c>
    </row>
    <row r="86" spans="1:18" ht="21.2" customHeight="1">
      <c r="A86" s="475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476"/>
      <c r="R86" s="116">
        <v>1</v>
      </c>
    </row>
    <row r="87" spans="1:18" ht="21.2" customHeight="1">
      <c r="A87" s="473" t="s">
        <v>1110</v>
      </c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474"/>
      <c r="R87" s="116">
        <v>1</v>
      </c>
    </row>
    <row r="88" spans="1:18" ht="21.2" customHeight="1">
      <c r="A88" s="475" t="s">
        <v>1111</v>
      </c>
      <c r="B88" s="118" t="s">
        <v>1582</v>
      </c>
      <c r="C88" s="118">
        <v>3600</v>
      </c>
      <c r="D88" s="118" t="s">
        <v>86</v>
      </c>
      <c r="E88" s="118" t="s">
        <v>1105</v>
      </c>
      <c r="F88" s="118" t="s">
        <v>86</v>
      </c>
      <c r="G88" s="118" t="s">
        <v>1107</v>
      </c>
      <c r="H88" s="118" t="s">
        <v>86</v>
      </c>
      <c r="I88" s="118" t="s">
        <v>1108</v>
      </c>
      <c r="J88" s="118" t="s">
        <v>86</v>
      </c>
      <c r="K88" s="118" t="s">
        <v>1109</v>
      </c>
      <c r="L88" s="479" t="s">
        <v>1112</v>
      </c>
      <c r="M88" s="118" t="s">
        <v>1583</v>
      </c>
      <c r="N88" s="707" t="s">
        <v>4025</v>
      </c>
      <c r="O88" s="109"/>
      <c r="P88" s="109"/>
      <c r="Q88" s="476"/>
      <c r="R88" s="116">
        <v>1</v>
      </c>
    </row>
    <row r="89" spans="1:18" ht="21.2" customHeight="1">
      <c r="A89" s="475"/>
      <c r="B89" s="118" t="s">
        <v>1113</v>
      </c>
      <c r="C89" s="118">
        <f>C88</f>
        <v>3600</v>
      </c>
      <c r="D89" s="118" t="str">
        <f>D88</f>
        <v>*</v>
      </c>
      <c r="E89" s="275">
        <f>C81</f>
        <v>0.7</v>
      </c>
      <c r="F89" s="118" t="str">
        <f>F88</f>
        <v>*</v>
      </c>
      <c r="G89" s="275">
        <f>C82</f>
        <v>0.9</v>
      </c>
      <c r="H89" s="118" t="str">
        <f>H88</f>
        <v>*</v>
      </c>
      <c r="I89" s="275">
        <f>C83</f>
        <v>0.8</v>
      </c>
      <c r="J89" s="118" t="str">
        <f>J88</f>
        <v>*</v>
      </c>
      <c r="K89" s="275">
        <f>C84</f>
        <v>0.55000000000000004</v>
      </c>
      <c r="L89" s="118" t="str">
        <f>L88</f>
        <v>/</v>
      </c>
      <c r="M89" s="275">
        <f>C85</f>
        <v>20</v>
      </c>
      <c r="N89" s="118" t="s">
        <v>1582</v>
      </c>
      <c r="O89" s="134">
        <f>TRUNC((C89*E89*G89*I89*K89/M89),2)</f>
        <v>49.89</v>
      </c>
      <c r="P89" s="109"/>
      <c r="Q89" s="476"/>
      <c r="R89" s="116">
        <v>1</v>
      </c>
    </row>
    <row r="90" spans="1:18" ht="21.2" customHeight="1">
      <c r="A90" s="475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476"/>
      <c r="R90" s="116">
        <v>1</v>
      </c>
    </row>
    <row r="91" spans="1:18" ht="21.2" customHeight="1">
      <c r="A91" s="473" t="s">
        <v>1114</v>
      </c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474"/>
      <c r="R91" s="116">
        <v>1</v>
      </c>
    </row>
    <row r="92" spans="1:18" ht="21.2" customHeight="1">
      <c r="A92" s="475" t="s">
        <v>1436</v>
      </c>
      <c r="B92" s="109" t="s">
        <v>1582</v>
      </c>
      <c r="C92" s="480">
        <f>중기사용료!$M$195</f>
        <v>21622</v>
      </c>
      <c r="D92" s="479" t="s">
        <v>1112</v>
      </c>
      <c r="E92" s="118" t="s">
        <v>1111</v>
      </c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476"/>
      <c r="R92" s="116">
        <v>1</v>
      </c>
    </row>
    <row r="93" spans="1:18" ht="21.2" customHeight="1">
      <c r="A93" s="475"/>
      <c r="B93" s="118" t="s">
        <v>1113</v>
      </c>
      <c r="C93" s="480">
        <f>C92</f>
        <v>21622</v>
      </c>
      <c r="D93" s="118" t="str">
        <f>D92</f>
        <v>/</v>
      </c>
      <c r="E93" s="134">
        <f>O89</f>
        <v>49.89</v>
      </c>
      <c r="F93" s="109" t="s">
        <v>1582</v>
      </c>
      <c r="G93" s="481">
        <f>TRUNC(C93/E93)</f>
        <v>433</v>
      </c>
      <c r="H93" s="109"/>
      <c r="I93" s="109"/>
      <c r="J93" s="109"/>
      <c r="K93" s="109"/>
      <c r="L93" s="109"/>
      <c r="M93" s="109"/>
      <c r="N93" s="109"/>
      <c r="O93" s="109"/>
      <c r="P93" s="109"/>
      <c r="Q93" s="476"/>
      <c r="R93" s="116">
        <v>1</v>
      </c>
    </row>
    <row r="94" spans="1:18" ht="21.2" customHeight="1">
      <c r="A94" s="475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476"/>
      <c r="R94" s="116">
        <v>1</v>
      </c>
    </row>
    <row r="95" spans="1:18" ht="21.2" customHeight="1">
      <c r="A95" s="475" t="s">
        <v>1115</v>
      </c>
      <c r="B95" s="109" t="s">
        <v>1582</v>
      </c>
      <c r="C95" s="480">
        <f>중기사용료!$M$201</f>
        <v>27168</v>
      </c>
      <c r="D95" s="479" t="s">
        <v>1112</v>
      </c>
      <c r="E95" s="118" t="s">
        <v>1111</v>
      </c>
      <c r="F95" s="118"/>
      <c r="G95" s="118"/>
      <c r="H95" s="109"/>
      <c r="I95" s="109"/>
      <c r="J95" s="109"/>
      <c r="K95" s="109"/>
      <c r="L95" s="109"/>
      <c r="M95" s="109"/>
      <c r="N95" s="109"/>
      <c r="O95" s="109"/>
      <c r="P95" s="109"/>
      <c r="Q95" s="476"/>
      <c r="R95" s="116">
        <v>1</v>
      </c>
    </row>
    <row r="96" spans="1:18" ht="21.2" customHeight="1">
      <c r="A96" s="475"/>
      <c r="B96" s="118" t="s">
        <v>1113</v>
      </c>
      <c r="C96" s="480">
        <f>C95</f>
        <v>27168</v>
      </c>
      <c r="D96" s="479" t="str">
        <f>D95</f>
        <v>/</v>
      </c>
      <c r="E96" s="134">
        <f>O89</f>
        <v>49.89</v>
      </c>
      <c r="F96" s="118" t="s">
        <v>1582</v>
      </c>
      <c r="G96" s="481">
        <f>TRUNC(C96/E96)</f>
        <v>544</v>
      </c>
      <c r="H96" s="109"/>
      <c r="I96" s="109"/>
      <c r="J96" s="109"/>
      <c r="K96" s="109"/>
      <c r="L96" s="109"/>
      <c r="M96" s="109"/>
      <c r="N96" s="109"/>
      <c r="O96" s="109"/>
      <c r="P96" s="109"/>
      <c r="Q96" s="476"/>
      <c r="R96" s="116">
        <v>1</v>
      </c>
    </row>
    <row r="97" spans="1:18" ht="21.2" customHeight="1">
      <c r="A97" s="475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476"/>
      <c r="R97" s="116">
        <v>1</v>
      </c>
    </row>
    <row r="98" spans="1:18" ht="21.2" customHeight="1">
      <c r="A98" s="475" t="s">
        <v>1116</v>
      </c>
      <c r="B98" s="118" t="s">
        <v>1582</v>
      </c>
      <c r="C98" s="480">
        <f>중기사용료!$M$207</f>
        <v>16036</v>
      </c>
      <c r="D98" s="479" t="s">
        <v>1112</v>
      </c>
      <c r="E98" s="118" t="s">
        <v>1111</v>
      </c>
      <c r="F98" s="118"/>
      <c r="G98" s="118"/>
      <c r="H98" s="109"/>
      <c r="I98" s="109"/>
      <c r="J98" s="109"/>
      <c r="K98" s="109"/>
      <c r="L98" s="109"/>
      <c r="M98" s="109"/>
      <c r="N98" s="109"/>
      <c r="O98" s="109"/>
      <c r="P98" s="109"/>
      <c r="Q98" s="476"/>
      <c r="R98" s="116">
        <v>1</v>
      </c>
    </row>
    <row r="99" spans="1:18" ht="21.2" customHeight="1">
      <c r="A99" s="475"/>
      <c r="B99" s="118" t="s">
        <v>1113</v>
      </c>
      <c r="C99" s="480">
        <f>C98</f>
        <v>16036</v>
      </c>
      <c r="D99" s="118" t="str">
        <f>D98</f>
        <v>/</v>
      </c>
      <c r="E99" s="134">
        <f>O89</f>
        <v>49.89</v>
      </c>
      <c r="F99" s="118" t="s">
        <v>1582</v>
      </c>
      <c r="G99" s="481">
        <f>TRUNC(C99/E99)</f>
        <v>321</v>
      </c>
      <c r="H99" s="109"/>
      <c r="I99" s="109"/>
      <c r="J99" s="109"/>
      <c r="K99" s="109"/>
      <c r="L99" s="109"/>
      <c r="M99" s="109"/>
      <c r="N99" s="109"/>
      <c r="O99" s="109"/>
      <c r="P99" s="109"/>
      <c r="Q99" s="476"/>
      <c r="R99" s="116">
        <v>1</v>
      </c>
    </row>
    <row r="100" spans="1:18" ht="21.2" customHeight="1">
      <c r="A100" s="475"/>
      <c r="B100" s="109"/>
      <c r="C100" s="109"/>
      <c r="D100" s="109"/>
      <c r="E100" s="109"/>
      <c r="F100" s="109"/>
      <c r="G100" s="109"/>
      <c r="H100" s="118" t="s">
        <v>1117</v>
      </c>
      <c r="I100" s="118" t="s">
        <v>1118</v>
      </c>
      <c r="J100" s="118" t="s">
        <v>1113</v>
      </c>
      <c r="K100" s="797">
        <f>G93+G96+G99</f>
        <v>1298</v>
      </c>
      <c r="L100" s="797"/>
      <c r="M100" s="797"/>
      <c r="N100" s="118" t="s">
        <v>1119</v>
      </c>
      <c r="O100" s="109"/>
      <c r="P100" s="109"/>
      <c r="Q100" s="476"/>
      <c r="R100" s="116">
        <v>1</v>
      </c>
    </row>
    <row r="101" spans="1:18" ht="21.2" customHeight="1">
      <c r="A101" s="475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476"/>
      <c r="R101" s="116">
        <v>1</v>
      </c>
    </row>
    <row r="102" spans="1:18" ht="21.2" customHeight="1">
      <c r="A102" s="475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476"/>
      <c r="R102" s="116">
        <v>1</v>
      </c>
    </row>
    <row r="103" spans="1:18" ht="21.2" customHeight="1">
      <c r="A103" s="475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476"/>
      <c r="R103" s="116">
        <v>1</v>
      </c>
    </row>
    <row r="104" spans="1:18" ht="21.2" customHeight="1">
      <c r="A104" s="475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476"/>
      <c r="R104" s="116">
        <v>1</v>
      </c>
    </row>
    <row r="105" spans="1:18" ht="21.2" customHeight="1">
      <c r="A105" s="475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476"/>
      <c r="R105" s="116">
        <v>1</v>
      </c>
    </row>
    <row r="106" spans="1:18" ht="21.2" customHeight="1">
      <c r="A106" s="482"/>
      <c r="B106" s="136"/>
      <c r="C106" s="136"/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483"/>
      <c r="R106" s="116">
        <v>1</v>
      </c>
    </row>
    <row r="107" spans="1:18" ht="21.2" customHeight="1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16">
        <v>1</v>
      </c>
    </row>
    <row r="108" spans="1:18" s="472" customFormat="1" ht="21.2" customHeight="1">
      <c r="A108" s="796" t="s">
        <v>817</v>
      </c>
      <c r="B108" s="796"/>
      <c r="C108" s="796"/>
      <c r="D108" s="796"/>
      <c r="E108" s="796"/>
      <c r="F108" s="796"/>
      <c r="G108" s="796"/>
      <c r="H108" s="796"/>
      <c r="I108" s="796"/>
      <c r="J108" s="796"/>
      <c r="K108" s="796"/>
      <c r="L108" s="796"/>
      <c r="M108" s="796"/>
      <c r="N108" s="796"/>
      <c r="O108" s="796"/>
      <c r="P108" s="796"/>
      <c r="Q108" s="796"/>
      <c r="R108" s="116">
        <v>1</v>
      </c>
    </row>
    <row r="109" spans="1:18" ht="21.2" customHeight="1">
      <c r="A109" s="473" t="s">
        <v>1437</v>
      </c>
      <c r="B109" s="142" t="s">
        <v>1526</v>
      </c>
      <c r="C109" s="125" t="s">
        <v>2</v>
      </c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474"/>
      <c r="R109" s="116">
        <v>1</v>
      </c>
    </row>
    <row r="110" spans="1:18" ht="21.2" customHeight="1">
      <c r="A110" s="475" t="s">
        <v>1100</v>
      </c>
      <c r="B110" s="118" t="s">
        <v>1526</v>
      </c>
      <c r="C110" s="800" t="s">
        <v>4026</v>
      </c>
      <c r="D110" s="800"/>
      <c r="E110" s="800"/>
      <c r="F110" s="800"/>
      <c r="G110" s="118" t="s">
        <v>1527</v>
      </c>
      <c r="H110" s="109" t="s">
        <v>1526</v>
      </c>
      <c r="I110" s="109" t="s">
        <v>1101</v>
      </c>
      <c r="J110" s="109"/>
      <c r="K110" s="109"/>
      <c r="L110" s="109"/>
      <c r="M110" s="109"/>
      <c r="N110" s="109"/>
      <c r="O110" s="109"/>
      <c r="P110" s="109"/>
      <c r="Q110" s="476"/>
      <c r="R110" s="116">
        <v>1</v>
      </c>
    </row>
    <row r="111" spans="1:18" ht="21.2" customHeight="1">
      <c r="A111" s="477">
        <f>A76+1</f>
        <v>4</v>
      </c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476"/>
      <c r="R111" s="116">
        <v>1</v>
      </c>
    </row>
    <row r="112" spans="1:18" ht="21.2" customHeight="1">
      <c r="A112" s="473" t="s">
        <v>1102</v>
      </c>
      <c r="B112" s="125"/>
      <c r="C112" s="125" t="s">
        <v>4024</v>
      </c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474"/>
      <c r="R112" s="116">
        <v>1</v>
      </c>
    </row>
    <row r="113" spans="1:18" ht="21.2" customHeight="1">
      <c r="A113" s="475" t="s">
        <v>1103</v>
      </c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476"/>
      <c r="R113" s="116">
        <v>1</v>
      </c>
    </row>
    <row r="114" spans="1:18" ht="21.2" customHeight="1">
      <c r="A114" s="475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476"/>
      <c r="R114" s="116">
        <v>1</v>
      </c>
    </row>
    <row r="115" spans="1:18" ht="21.2" customHeight="1">
      <c r="A115" s="473" t="s">
        <v>1104</v>
      </c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474"/>
      <c r="R115" s="116">
        <v>1</v>
      </c>
    </row>
    <row r="116" spans="1:18" ht="21.2" customHeight="1">
      <c r="A116" s="475" t="s">
        <v>1105</v>
      </c>
      <c r="B116" s="118" t="s">
        <v>1582</v>
      </c>
      <c r="C116" s="478">
        <v>0.2</v>
      </c>
      <c r="D116" s="109" t="s">
        <v>1106</v>
      </c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476"/>
      <c r="R116" s="116">
        <v>1</v>
      </c>
    </row>
    <row r="117" spans="1:18" ht="21.2" customHeight="1">
      <c r="A117" s="475" t="s">
        <v>1107</v>
      </c>
      <c r="B117" s="118" t="s">
        <v>1582</v>
      </c>
      <c r="C117" s="478">
        <v>1.1000000000000001</v>
      </c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476"/>
      <c r="R117" s="116">
        <v>1</v>
      </c>
    </row>
    <row r="118" spans="1:18" ht="21.2" customHeight="1">
      <c r="A118" s="475" t="s">
        <v>1108</v>
      </c>
      <c r="B118" s="118" t="s">
        <v>1582</v>
      </c>
      <c r="C118" s="478">
        <v>0.8</v>
      </c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476"/>
      <c r="R118" s="116">
        <v>1</v>
      </c>
    </row>
    <row r="119" spans="1:18" ht="21.2" customHeight="1">
      <c r="A119" s="475" t="s">
        <v>1109</v>
      </c>
      <c r="B119" s="118" t="s">
        <v>1582</v>
      </c>
      <c r="C119" s="478">
        <v>0.65</v>
      </c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476"/>
      <c r="R119" s="116">
        <v>1</v>
      </c>
    </row>
    <row r="120" spans="1:18" ht="21.2" customHeight="1">
      <c r="A120" s="475" t="s">
        <v>1583</v>
      </c>
      <c r="B120" s="118" t="s">
        <v>1582</v>
      </c>
      <c r="C120" s="478">
        <v>18</v>
      </c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476"/>
      <c r="R120" s="116">
        <v>1</v>
      </c>
    </row>
    <row r="121" spans="1:18" ht="21.2" customHeight="1">
      <c r="A121" s="475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476"/>
      <c r="R121" s="116">
        <v>1</v>
      </c>
    </row>
    <row r="122" spans="1:18" ht="21.2" customHeight="1">
      <c r="A122" s="473" t="s">
        <v>1110</v>
      </c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474"/>
      <c r="R122" s="116">
        <v>1</v>
      </c>
    </row>
    <row r="123" spans="1:18" ht="21.2" customHeight="1">
      <c r="A123" s="475" t="s">
        <v>1111</v>
      </c>
      <c r="B123" s="118" t="s">
        <v>1582</v>
      </c>
      <c r="C123" s="118">
        <v>3600</v>
      </c>
      <c r="D123" s="118" t="s">
        <v>86</v>
      </c>
      <c r="E123" s="118" t="s">
        <v>1105</v>
      </c>
      <c r="F123" s="118" t="s">
        <v>86</v>
      </c>
      <c r="G123" s="118" t="s">
        <v>1107</v>
      </c>
      <c r="H123" s="118" t="s">
        <v>86</v>
      </c>
      <c r="I123" s="118" t="s">
        <v>1108</v>
      </c>
      <c r="J123" s="118" t="s">
        <v>86</v>
      </c>
      <c r="K123" s="118" t="s">
        <v>1109</v>
      </c>
      <c r="L123" s="479" t="s">
        <v>1112</v>
      </c>
      <c r="M123" s="118" t="s">
        <v>1583</v>
      </c>
      <c r="N123" s="707" t="s">
        <v>4025</v>
      </c>
      <c r="O123" s="109"/>
      <c r="P123" s="109"/>
      <c r="Q123" s="476"/>
      <c r="R123" s="116">
        <v>1</v>
      </c>
    </row>
    <row r="124" spans="1:18" ht="21.2" customHeight="1">
      <c r="A124" s="475"/>
      <c r="B124" s="118" t="s">
        <v>1113</v>
      </c>
      <c r="C124" s="118">
        <f>C123</f>
        <v>3600</v>
      </c>
      <c r="D124" s="118" t="str">
        <f>D123</f>
        <v>*</v>
      </c>
      <c r="E124" s="275">
        <f>C116</f>
        <v>0.2</v>
      </c>
      <c r="F124" s="118" t="str">
        <f>F123</f>
        <v>*</v>
      </c>
      <c r="G124" s="275">
        <f>C117</f>
        <v>1.1000000000000001</v>
      </c>
      <c r="H124" s="118" t="str">
        <f>H123</f>
        <v>*</v>
      </c>
      <c r="I124" s="275">
        <f>C118</f>
        <v>0.8</v>
      </c>
      <c r="J124" s="118" t="str">
        <f>J123</f>
        <v>*</v>
      </c>
      <c r="K124" s="275">
        <f>C119</f>
        <v>0.65</v>
      </c>
      <c r="L124" s="118" t="str">
        <f>L123</f>
        <v>/</v>
      </c>
      <c r="M124" s="275">
        <f>C120</f>
        <v>18</v>
      </c>
      <c r="N124" s="118" t="s">
        <v>1582</v>
      </c>
      <c r="O124" s="134">
        <f>TRUNC((C124*E124*G124*I124*K124/M124),2)</f>
        <v>22.88</v>
      </c>
      <c r="P124" s="109"/>
      <c r="Q124" s="476"/>
      <c r="R124" s="116">
        <v>1</v>
      </c>
    </row>
    <row r="125" spans="1:18" ht="21.2" customHeight="1">
      <c r="A125" s="475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476"/>
      <c r="R125" s="116">
        <v>1</v>
      </c>
    </row>
    <row r="126" spans="1:18" ht="21.2" customHeight="1">
      <c r="A126" s="473" t="s">
        <v>1114</v>
      </c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474"/>
      <c r="R126" s="116">
        <v>1</v>
      </c>
    </row>
    <row r="127" spans="1:18" ht="21.2" customHeight="1">
      <c r="A127" s="475" t="s">
        <v>1436</v>
      </c>
      <c r="B127" s="109" t="s">
        <v>1582</v>
      </c>
      <c r="C127" s="480">
        <f>중기사용료!$M$81</f>
        <v>11251</v>
      </c>
      <c r="D127" s="479" t="s">
        <v>1112</v>
      </c>
      <c r="E127" s="118" t="s">
        <v>1111</v>
      </c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476"/>
      <c r="R127" s="116">
        <v>1</v>
      </c>
    </row>
    <row r="128" spans="1:18" ht="21.2" customHeight="1">
      <c r="A128" s="475"/>
      <c r="B128" s="118" t="s">
        <v>1113</v>
      </c>
      <c r="C128" s="480">
        <f>C127</f>
        <v>11251</v>
      </c>
      <c r="D128" s="118" t="str">
        <f>D127</f>
        <v>/</v>
      </c>
      <c r="E128" s="134">
        <f>O124</f>
        <v>22.88</v>
      </c>
      <c r="F128" s="109" t="s">
        <v>1582</v>
      </c>
      <c r="G128" s="481">
        <f>TRUNC(C128/E128)</f>
        <v>491</v>
      </c>
      <c r="H128" s="109"/>
      <c r="I128" s="109"/>
      <c r="J128" s="109"/>
      <c r="K128" s="109"/>
      <c r="L128" s="109"/>
      <c r="M128" s="109"/>
      <c r="N128" s="109"/>
      <c r="O128" s="109"/>
      <c r="P128" s="109"/>
      <c r="Q128" s="476"/>
      <c r="R128" s="116">
        <v>1</v>
      </c>
    </row>
    <row r="129" spans="1:18" ht="21.2" customHeight="1">
      <c r="A129" s="475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484"/>
      <c r="Q129" s="476"/>
      <c r="R129" s="116">
        <v>1</v>
      </c>
    </row>
    <row r="130" spans="1:18" ht="21.2" customHeight="1">
      <c r="A130" s="475" t="s">
        <v>1115</v>
      </c>
      <c r="B130" s="109" t="s">
        <v>1582</v>
      </c>
      <c r="C130" s="480">
        <f>중기사용료!$M$87</f>
        <v>27168</v>
      </c>
      <c r="D130" s="479" t="s">
        <v>1112</v>
      </c>
      <c r="E130" s="118" t="s">
        <v>1111</v>
      </c>
      <c r="F130" s="118"/>
      <c r="G130" s="118"/>
      <c r="H130" s="109"/>
      <c r="I130" s="109"/>
      <c r="J130" s="109"/>
      <c r="K130" s="109"/>
      <c r="L130" s="109"/>
      <c r="M130" s="109"/>
      <c r="N130" s="109"/>
      <c r="O130" s="109"/>
      <c r="P130" s="109"/>
      <c r="Q130" s="476"/>
      <c r="R130" s="116">
        <v>1</v>
      </c>
    </row>
    <row r="131" spans="1:18" ht="21.2" customHeight="1">
      <c r="A131" s="475"/>
      <c r="B131" s="118" t="s">
        <v>1113</v>
      </c>
      <c r="C131" s="480">
        <f>C130</f>
        <v>27168</v>
      </c>
      <c r="D131" s="479" t="str">
        <f>D130</f>
        <v>/</v>
      </c>
      <c r="E131" s="134">
        <f>O124</f>
        <v>22.88</v>
      </c>
      <c r="F131" s="118" t="s">
        <v>1582</v>
      </c>
      <c r="G131" s="481">
        <f>TRUNC(C131/E131)</f>
        <v>1187</v>
      </c>
      <c r="H131" s="109"/>
      <c r="I131" s="109"/>
      <c r="J131" s="109"/>
      <c r="K131" s="109"/>
      <c r="L131" s="109"/>
      <c r="M131" s="109"/>
      <c r="N131" s="109"/>
      <c r="O131" s="109"/>
      <c r="P131" s="109"/>
      <c r="Q131" s="476"/>
      <c r="R131" s="116">
        <v>1</v>
      </c>
    </row>
    <row r="132" spans="1:18" ht="21.2" customHeight="1">
      <c r="A132" s="475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476"/>
      <c r="R132" s="116">
        <v>1</v>
      </c>
    </row>
    <row r="133" spans="1:18" ht="21.2" customHeight="1">
      <c r="A133" s="475" t="s">
        <v>1116</v>
      </c>
      <c r="B133" s="118" t="s">
        <v>1582</v>
      </c>
      <c r="C133" s="480">
        <f>중기사용료!$M$93</f>
        <v>6745</v>
      </c>
      <c r="D133" s="479" t="s">
        <v>1112</v>
      </c>
      <c r="E133" s="118" t="s">
        <v>1111</v>
      </c>
      <c r="F133" s="118"/>
      <c r="G133" s="118"/>
      <c r="H133" s="109"/>
      <c r="I133" s="109"/>
      <c r="J133" s="109"/>
      <c r="K133" s="109"/>
      <c r="L133" s="109"/>
      <c r="M133" s="109"/>
      <c r="N133" s="109"/>
      <c r="O133" s="109"/>
      <c r="P133" s="109"/>
      <c r="Q133" s="476"/>
      <c r="R133" s="116">
        <v>1</v>
      </c>
    </row>
    <row r="134" spans="1:18" ht="21.2" customHeight="1">
      <c r="A134" s="475"/>
      <c r="B134" s="118" t="s">
        <v>1113</v>
      </c>
      <c r="C134" s="480">
        <f>C133</f>
        <v>6745</v>
      </c>
      <c r="D134" s="118" t="str">
        <f>D133</f>
        <v>/</v>
      </c>
      <c r="E134" s="134">
        <f>O124</f>
        <v>22.88</v>
      </c>
      <c r="F134" s="118" t="s">
        <v>1582</v>
      </c>
      <c r="G134" s="481">
        <f>TRUNC(C134/E134)</f>
        <v>294</v>
      </c>
      <c r="H134" s="109"/>
      <c r="I134" s="109"/>
      <c r="J134" s="109"/>
      <c r="K134" s="109"/>
      <c r="L134" s="109"/>
      <c r="M134" s="109"/>
      <c r="N134" s="109"/>
      <c r="O134" s="109"/>
      <c r="P134" s="109"/>
      <c r="Q134" s="476"/>
      <c r="R134" s="116">
        <v>1</v>
      </c>
    </row>
    <row r="135" spans="1:18" ht="21.2" customHeight="1">
      <c r="A135" s="475"/>
      <c r="B135" s="109"/>
      <c r="C135" s="109"/>
      <c r="D135" s="109"/>
      <c r="E135" s="109"/>
      <c r="F135" s="109"/>
      <c r="G135" s="109"/>
      <c r="H135" s="118" t="s">
        <v>1117</v>
      </c>
      <c r="I135" s="118" t="s">
        <v>1118</v>
      </c>
      <c r="J135" s="118" t="s">
        <v>1113</v>
      </c>
      <c r="K135" s="797">
        <f>G128+G131+G134</f>
        <v>1972</v>
      </c>
      <c r="L135" s="797"/>
      <c r="M135" s="797"/>
      <c r="N135" s="118" t="s">
        <v>1119</v>
      </c>
      <c r="O135" s="109"/>
      <c r="P135" s="109"/>
      <c r="Q135" s="476"/>
      <c r="R135" s="116">
        <v>1</v>
      </c>
    </row>
    <row r="136" spans="1:18" ht="21.2" customHeight="1">
      <c r="A136" s="475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476"/>
      <c r="R136" s="116">
        <v>1</v>
      </c>
    </row>
    <row r="137" spans="1:18" ht="21.2" customHeight="1">
      <c r="A137" s="475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476"/>
      <c r="R137" s="116">
        <v>1</v>
      </c>
    </row>
    <row r="138" spans="1:18" ht="21.2" customHeight="1">
      <c r="A138" s="475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476"/>
      <c r="R138" s="116">
        <v>1</v>
      </c>
    </row>
    <row r="139" spans="1:18" ht="21.2" customHeight="1">
      <c r="A139" s="475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476"/>
      <c r="R139" s="116">
        <v>1</v>
      </c>
    </row>
    <row r="140" spans="1:18" ht="21.2" customHeight="1">
      <c r="A140" s="475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476"/>
      <c r="R140" s="116">
        <v>1</v>
      </c>
    </row>
    <row r="141" spans="1:18" ht="21.2" customHeight="1">
      <c r="A141" s="482"/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483"/>
      <c r="R141" s="116">
        <v>1</v>
      </c>
    </row>
    <row r="142" spans="1:18" ht="21.2" customHeight="1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16">
        <v>1</v>
      </c>
    </row>
    <row r="143" spans="1:18" s="472" customFormat="1" ht="21.2" customHeight="1">
      <c r="A143" s="796" t="s">
        <v>817</v>
      </c>
      <c r="B143" s="796"/>
      <c r="C143" s="796"/>
      <c r="D143" s="796"/>
      <c r="E143" s="796"/>
      <c r="F143" s="796"/>
      <c r="G143" s="796"/>
      <c r="H143" s="796"/>
      <c r="I143" s="796"/>
      <c r="J143" s="796"/>
      <c r="K143" s="796"/>
      <c r="L143" s="796"/>
      <c r="M143" s="796"/>
      <c r="N143" s="796"/>
      <c r="O143" s="796"/>
      <c r="P143" s="796"/>
      <c r="Q143" s="796"/>
      <c r="R143" s="116">
        <v>1</v>
      </c>
    </row>
    <row r="144" spans="1:18" ht="21.2" customHeight="1">
      <c r="A144" s="473" t="s">
        <v>1437</v>
      </c>
      <c r="B144" s="142" t="s">
        <v>1526</v>
      </c>
      <c r="C144" s="125" t="s">
        <v>3</v>
      </c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474"/>
      <c r="R144" s="116">
        <v>1</v>
      </c>
    </row>
    <row r="145" spans="1:18" ht="21.2" customHeight="1">
      <c r="A145" s="475" t="s">
        <v>1100</v>
      </c>
      <c r="B145" s="118" t="s">
        <v>1526</v>
      </c>
      <c r="C145" s="800" t="s">
        <v>4026</v>
      </c>
      <c r="D145" s="800"/>
      <c r="E145" s="800"/>
      <c r="F145" s="800"/>
      <c r="G145" s="118" t="s">
        <v>1527</v>
      </c>
      <c r="H145" s="109" t="s">
        <v>1526</v>
      </c>
      <c r="I145" s="109" t="s">
        <v>1101</v>
      </c>
      <c r="J145" s="109"/>
      <c r="K145" s="109"/>
      <c r="L145" s="109"/>
      <c r="M145" s="109"/>
      <c r="N145" s="109"/>
      <c r="O145" s="109"/>
      <c r="P145" s="109"/>
      <c r="Q145" s="476"/>
      <c r="R145" s="116">
        <v>1</v>
      </c>
    </row>
    <row r="146" spans="1:18" ht="21.2" customHeight="1">
      <c r="A146" s="477">
        <f>A111+1</f>
        <v>5</v>
      </c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476"/>
      <c r="R146" s="116">
        <v>1</v>
      </c>
    </row>
    <row r="147" spans="1:18" ht="21.2" customHeight="1">
      <c r="A147" s="473" t="s">
        <v>1102</v>
      </c>
      <c r="B147" s="125"/>
      <c r="C147" s="125" t="s">
        <v>4024</v>
      </c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474"/>
      <c r="R147" s="116">
        <v>1</v>
      </c>
    </row>
    <row r="148" spans="1:18" ht="21.2" customHeight="1">
      <c r="A148" s="475" t="s">
        <v>1103</v>
      </c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476"/>
      <c r="R148" s="116">
        <v>1</v>
      </c>
    </row>
    <row r="149" spans="1:18" ht="21.2" customHeight="1">
      <c r="A149" s="475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476"/>
      <c r="R149" s="116">
        <v>1</v>
      </c>
    </row>
    <row r="150" spans="1:18" ht="21.2" customHeight="1">
      <c r="A150" s="473" t="s">
        <v>1104</v>
      </c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474"/>
      <c r="R150" s="116">
        <v>1</v>
      </c>
    </row>
    <row r="151" spans="1:18" ht="21.2" customHeight="1">
      <c r="A151" s="475" t="s">
        <v>1105</v>
      </c>
      <c r="B151" s="118" t="s">
        <v>1582</v>
      </c>
      <c r="C151" s="478">
        <v>0.2</v>
      </c>
      <c r="D151" s="109" t="s">
        <v>1106</v>
      </c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476"/>
      <c r="R151" s="116">
        <v>1</v>
      </c>
    </row>
    <row r="152" spans="1:18" ht="21.2" customHeight="1">
      <c r="A152" s="475" t="s">
        <v>1107</v>
      </c>
      <c r="B152" s="118" t="s">
        <v>1582</v>
      </c>
      <c r="C152" s="478">
        <v>0.7</v>
      </c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476"/>
      <c r="R152" s="116">
        <v>1</v>
      </c>
    </row>
    <row r="153" spans="1:18" ht="21.2" customHeight="1">
      <c r="A153" s="475" t="s">
        <v>1108</v>
      </c>
      <c r="B153" s="118" t="s">
        <v>1582</v>
      </c>
      <c r="C153" s="478">
        <v>0.71</v>
      </c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476"/>
      <c r="R153" s="116">
        <v>1</v>
      </c>
    </row>
    <row r="154" spans="1:18" ht="21.2" customHeight="1">
      <c r="A154" s="475" t="s">
        <v>1109</v>
      </c>
      <c r="B154" s="118" t="s">
        <v>1582</v>
      </c>
      <c r="C154" s="478">
        <v>0.45</v>
      </c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476"/>
      <c r="R154" s="116">
        <v>1</v>
      </c>
    </row>
    <row r="155" spans="1:18" ht="21.2" customHeight="1">
      <c r="A155" s="475" t="s">
        <v>1583</v>
      </c>
      <c r="B155" s="118" t="s">
        <v>1582</v>
      </c>
      <c r="C155" s="478">
        <v>18</v>
      </c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476"/>
      <c r="R155" s="116">
        <v>1</v>
      </c>
    </row>
    <row r="156" spans="1:18" ht="21.2" customHeight="1">
      <c r="A156" s="475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476"/>
      <c r="R156" s="116">
        <v>1</v>
      </c>
    </row>
    <row r="157" spans="1:18" ht="21.2" customHeight="1">
      <c r="A157" s="473" t="s">
        <v>1110</v>
      </c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474"/>
      <c r="R157" s="116">
        <v>1</v>
      </c>
    </row>
    <row r="158" spans="1:18" ht="21.2" customHeight="1">
      <c r="A158" s="475" t="s">
        <v>1111</v>
      </c>
      <c r="B158" s="118" t="s">
        <v>1582</v>
      </c>
      <c r="C158" s="118">
        <v>3600</v>
      </c>
      <c r="D158" s="118" t="s">
        <v>86</v>
      </c>
      <c r="E158" s="118" t="s">
        <v>1105</v>
      </c>
      <c r="F158" s="118" t="s">
        <v>86</v>
      </c>
      <c r="G158" s="118" t="s">
        <v>1107</v>
      </c>
      <c r="H158" s="118" t="s">
        <v>86</v>
      </c>
      <c r="I158" s="118" t="s">
        <v>1108</v>
      </c>
      <c r="J158" s="118" t="s">
        <v>86</v>
      </c>
      <c r="K158" s="118" t="s">
        <v>1109</v>
      </c>
      <c r="L158" s="479" t="s">
        <v>1112</v>
      </c>
      <c r="M158" s="118" t="s">
        <v>1583</v>
      </c>
      <c r="N158" s="707" t="s">
        <v>4025</v>
      </c>
      <c r="O158" s="109"/>
      <c r="P158" s="109"/>
      <c r="Q158" s="476"/>
      <c r="R158" s="116">
        <v>1</v>
      </c>
    </row>
    <row r="159" spans="1:18" ht="21.2" customHeight="1">
      <c r="A159" s="475"/>
      <c r="B159" s="118" t="s">
        <v>1113</v>
      </c>
      <c r="C159" s="118">
        <f>C158</f>
        <v>3600</v>
      </c>
      <c r="D159" s="118" t="str">
        <f>D158</f>
        <v>*</v>
      </c>
      <c r="E159" s="275">
        <f>C151</f>
        <v>0.2</v>
      </c>
      <c r="F159" s="118" t="str">
        <f>F158</f>
        <v>*</v>
      </c>
      <c r="G159" s="275">
        <f>C152</f>
        <v>0.7</v>
      </c>
      <c r="H159" s="118" t="str">
        <f>H158</f>
        <v>*</v>
      </c>
      <c r="I159" s="275">
        <f>C153</f>
        <v>0.71</v>
      </c>
      <c r="J159" s="118" t="str">
        <f>J158</f>
        <v>*</v>
      </c>
      <c r="K159" s="275">
        <f>C154</f>
        <v>0.45</v>
      </c>
      <c r="L159" s="118" t="str">
        <f>L158</f>
        <v>/</v>
      </c>
      <c r="M159" s="275">
        <f>C155</f>
        <v>18</v>
      </c>
      <c r="N159" s="118" t="s">
        <v>1582</v>
      </c>
      <c r="O159" s="134">
        <f>TRUNC((C159*E159*G159*I159*K159/M159),2)</f>
        <v>8.94</v>
      </c>
      <c r="P159" s="109"/>
      <c r="Q159" s="476"/>
      <c r="R159" s="116">
        <v>1</v>
      </c>
    </row>
    <row r="160" spans="1:18" ht="21.2" customHeight="1">
      <c r="A160" s="475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476"/>
      <c r="R160" s="116">
        <v>1</v>
      </c>
    </row>
    <row r="161" spans="1:18" ht="21.2" customHeight="1">
      <c r="A161" s="473" t="s">
        <v>1114</v>
      </c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474"/>
      <c r="R161" s="116">
        <v>1</v>
      </c>
    </row>
    <row r="162" spans="1:18" ht="21.2" customHeight="1">
      <c r="A162" s="475" t="s">
        <v>1436</v>
      </c>
      <c r="B162" s="109" t="s">
        <v>1582</v>
      </c>
      <c r="C162" s="480">
        <f>중기사용료!$M$81</f>
        <v>11251</v>
      </c>
      <c r="D162" s="479" t="s">
        <v>1112</v>
      </c>
      <c r="E162" s="118" t="s">
        <v>1111</v>
      </c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476"/>
      <c r="R162" s="116">
        <v>1</v>
      </c>
    </row>
    <row r="163" spans="1:18" ht="21.2" customHeight="1">
      <c r="A163" s="475"/>
      <c r="B163" s="118" t="s">
        <v>1113</v>
      </c>
      <c r="C163" s="480">
        <f>C162</f>
        <v>11251</v>
      </c>
      <c r="D163" s="118" t="str">
        <f>D162</f>
        <v>/</v>
      </c>
      <c r="E163" s="134">
        <f>O159</f>
        <v>8.94</v>
      </c>
      <c r="F163" s="109" t="s">
        <v>1582</v>
      </c>
      <c r="G163" s="481">
        <f>TRUNC(C163/E163)</f>
        <v>1258</v>
      </c>
      <c r="H163" s="109"/>
      <c r="I163" s="109"/>
      <c r="J163" s="109"/>
      <c r="K163" s="109"/>
      <c r="L163" s="109"/>
      <c r="M163" s="109"/>
      <c r="N163" s="109"/>
      <c r="O163" s="109"/>
      <c r="P163" s="109"/>
      <c r="Q163" s="476"/>
      <c r="R163" s="116">
        <v>1</v>
      </c>
    </row>
    <row r="164" spans="1:18" ht="21.2" customHeight="1">
      <c r="A164" s="475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476"/>
      <c r="R164" s="116">
        <v>1</v>
      </c>
    </row>
    <row r="165" spans="1:18" ht="21.2" customHeight="1">
      <c r="A165" s="475" t="s">
        <v>1115</v>
      </c>
      <c r="B165" s="109" t="s">
        <v>1582</v>
      </c>
      <c r="C165" s="480">
        <f>중기사용료!$M$87</f>
        <v>27168</v>
      </c>
      <c r="D165" s="479" t="s">
        <v>1112</v>
      </c>
      <c r="E165" s="118" t="s">
        <v>1111</v>
      </c>
      <c r="F165" s="118"/>
      <c r="G165" s="118"/>
      <c r="H165" s="109"/>
      <c r="I165" s="109"/>
      <c r="J165" s="109"/>
      <c r="K165" s="109"/>
      <c r="L165" s="109"/>
      <c r="M165" s="109"/>
      <c r="N165" s="109"/>
      <c r="O165" s="109"/>
      <c r="P165" s="109"/>
      <c r="Q165" s="476"/>
      <c r="R165" s="116">
        <v>1</v>
      </c>
    </row>
    <row r="166" spans="1:18" ht="21.2" customHeight="1">
      <c r="A166" s="475"/>
      <c r="B166" s="118" t="s">
        <v>1113</v>
      </c>
      <c r="C166" s="480">
        <f>C165</f>
        <v>27168</v>
      </c>
      <c r="D166" s="479" t="str">
        <f>D165</f>
        <v>/</v>
      </c>
      <c r="E166" s="134">
        <f>O159</f>
        <v>8.94</v>
      </c>
      <c r="F166" s="118" t="s">
        <v>1582</v>
      </c>
      <c r="G166" s="481">
        <f>TRUNC(C166/E166)</f>
        <v>3038</v>
      </c>
      <c r="H166" s="109"/>
      <c r="I166" s="109"/>
      <c r="J166" s="109"/>
      <c r="K166" s="109"/>
      <c r="L166" s="109"/>
      <c r="M166" s="109"/>
      <c r="N166" s="109"/>
      <c r="O166" s="109"/>
      <c r="P166" s="109"/>
      <c r="Q166" s="476"/>
      <c r="R166" s="116">
        <v>1</v>
      </c>
    </row>
    <row r="167" spans="1:18" ht="21.2" customHeight="1">
      <c r="A167" s="475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476"/>
      <c r="R167" s="116">
        <v>1</v>
      </c>
    </row>
    <row r="168" spans="1:18" ht="21.2" customHeight="1">
      <c r="A168" s="475" t="s">
        <v>1116</v>
      </c>
      <c r="B168" s="118" t="s">
        <v>1582</v>
      </c>
      <c r="C168" s="480">
        <f>중기사용료!$M$93</f>
        <v>6745</v>
      </c>
      <c r="D168" s="479" t="s">
        <v>1112</v>
      </c>
      <c r="E168" s="118" t="s">
        <v>1111</v>
      </c>
      <c r="F168" s="118"/>
      <c r="G168" s="118"/>
      <c r="H168" s="109"/>
      <c r="I168" s="109"/>
      <c r="J168" s="109"/>
      <c r="K168" s="109"/>
      <c r="L168" s="109"/>
      <c r="M168" s="109"/>
      <c r="N168" s="109"/>
      <c r="O168" s="109"/>
      <c r="P168" s="109"/>
      <c r="Q168" s="476"/>
      <c r="R168" s="116">
        <v>1</v>
      </c>
    </row>
    <row r="169" spans="1:18" ht="21.2" customHeight="1">
      <c r="A169" s="475"/>
      <c r="B169" s="118" t="s">
        <v>1113</v>
      </c>
      <c r="C169" s="480">
        <f>C168</f>
        <v>6745</v>
      </c>
      <c r="D169" s="118" t="str">
        <f>D168</f>
        <v>/</v>
      </c>
      <c r="E169" s="134">
        <f>O159</f>
        <v>8.94</v>
      </c>
      <c r="F169" s="118" t="s">
        <v>1582</v>
      </c>
      <c r="G169" s="481">
        <f>TRUNC(C169/E169)</f>
        <v>754</v>
      </c>
      <c r="H169" s="109"/>
      <c r="I169" s="109"/>
      <c r="J169" s="109"/>
      <c r="K169" s="109"/>
      <c r="L169" s="109"/>
      <c r="M169" s="109"/>
      <c r="N169" s="109"/>
      <c r="O169" s="109"/>
      <c r="P169" s="109"/>
      <c r="Q169" s="476"/>
      <c r="R169" s="116">
        <v>1</v>
      </c>
    </row>
    <row r="170" spans="1:18" ht="21.2" customHeight="1">
      <c r="A170" s="475"/>
      <c r="B170" s="109"/>
      <c r="C170" s="109"/>
      <c r="D170" s="109"/>
      <c r="E170" s="109"/>
      <c r="F170" s="109"/>
      <c r="G170" s="109"/>
      <c r="H170" s="118" t="s">
        <v>1117</v>
      </c>
      <c r="I170" s="118" t="s">
        <v>1118</v>
      </c>
      <c r="J170" s="118" t="s">
        <v>1113</v>
      </c>
      <c r="K170" s="797">
        <f>G163+G166+G169</f>
        <v>5050</v>
      </c>
      <c r="L170" s="797"/>
      <c r="M170" s="797"/>
      <c r="N170" s="118" t="s">
        <v>1119</v>
      </c>
      <c r="O170" s="109"/>
      <c r="P170" s="109"/>
      <c r="Q170" s="476"/>
      <c r="R170" s="116">
        <v>1</v>
      </c>
    </row>
    <row r="171" spans="1:18" ht="21.2" customHeight="1">
      <c r="A171" s="475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476"/>
      <c r="R171" s="116">
        <v>1</v>
      </c>
    </row>
    <row r="172" spans="1:18" ht="21.2" customHeight="1">
      <c r="A172" s="475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476"/>
      <c r="R172" s="116">
        <v>1</v>
      </c>
    </row>
    <row r="173" spans="1:18" ht="21.2" customHeight="1">
      <c r="A173" s="475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476"/>
      <c r="R173" s="116">
        <v>1</v>
      </c>
    </row>
    <row r="174" spans="1:18" ht="21.2" customHeight="1">
      <c r="A174" s="475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476"/>
      <c r="R174" s="116">
        <v>1</v>
      </c>
    </row>
    <row r="175" spans="1:18" ht="21.2" customHeight="1">
      <c r="A175" s="475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476"/>
      <c r="R175" s="116">
        <v>1</v>
      </c>
    </row>
    <row r="176" spans="1:18" ht="21.2" customHeight="1">
      <c r="A176" s="482"/>
      <c r="B176" s="136"/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483"/>
      <c r="R176" s="116">
        <v>1</v>
      </c>
    </row>
    <row r="177" spans="1:18" ht="21.2" customHeight="1">
      <c r="R177" s="116">
        <v>1</v>
      </c>
    </row>
    <row r="178" spans="1:18" s="472" customFormat="1" ht="21.2" customHeight="1">
      <c r="A178" s="796" t="s">
        <v>817</v>
      </c>
      <c r="B178" s="796"/>
      <c r="C178" s="796"/>
      <c r="D178" s="796"/>
      <c r="E178" s="796"/>
      <c r="F178" s="796"/>
      <c r="G178" s="796"/>
      <c r="H178" s="796"/>
      <c r="I178" s="796"/>
      <c r="J178" s="796"/>
      <c r="K178" s="796"/>
      <c r="L178" s="796"/>
      <c r="M178" s="796"/>
      <c r="N178" s="796"/>
      <c r="O178" s="796"/>
      <c r="P178" s="796"/>
      <c r="Q178" s="796"/>
      <c r="R178" s="116">
        <v>1</v>
      </c>
    </row>
    <row r="179" spans="1:18" ht="21.2" customHeight="1">
      <c r="A179" s="473" t="s">
        <v>1437</v>
      </c>
      <c r="B179" s="142" t="s">
        <v>1526</v>
      </c>
      <c r="C179" s="125" t="s">
        <v>2</v>
      </c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474"/>
      <c r="R179" s="116">
        <v>1</v>
      </c>
    </row>
    <row r="180" spans="1:18" ht="21.2" customHeight="1">
      <c r="A180" s="475" t="s">
        <v>1100</v>
      </c>
      <c r="B180" s="118" t="s">
        <v>1526</v>
      </c>
      <c r="C180" s="800" t="s">
        <v>4026</v>
      </c>
      <c r="D180" s="800"/>
      <c r="E180" s="800"/>
      <c r="F180" s="800"/>
      <c r="G180" s="118" t="s">
        <v>1527</v>
      </c>
      <c r="H180" s="109" t="s">
        <v>1526</v>
      </c>
      <c r="I180" s="109" t="s">
        <v>448</v>
      </c>
      <c r="J180" s="109"/>
      <c r="K180" s="109"/>
      <c r="L180" s="109"/>
      <c r="M180" s="109"/>
      <c r="N180" s="109"/>
      <c r="O180" s="109"/>
      <c r="P180" s="109"/>
      <c r="Q180" s="476"/>
      <c r="R180" s="116">
        <v>1</v>
      </c>
    </row>
    <row r="181" spans="1:18" ht="21.2" customHeight="1">
      <c r="A181" s="477">
        <f>A146+1</f>
        <v>6</v>
      </c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476"/>
      <c r="R181" s="116">
        <v>1</v>
      </c>
    </row>
    <row r="182" spans="1:18" ht="21.2" customHeight="1">
      <c r="A182" s="473" t="s">
        <v>1102</v>
      </c>
      <c r="B182" s="125"/>
      <c r="C182" s="125" t="s">
        <v>4024</v>
      </c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474"/>
      <c r="R182" s="116">
        <v>1</v>
      </c>
    </row>
    <row r="183" spans="1:18" ht="21.2" customHeight="1">
      <c r="A183" s="475" t="s">
        <v>1103</v>
      </c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476"/>
      <c r="R183" s="116">
        <v>1</v>
      </c>
    </row>
    <row r="184" spans="1:18" ht="21.2" customHeight="1">
      <c r="A184" s="475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476"/>
      <c r="R184" s="116">
        <v>1</v>
      </c>
    </row>
    <row r="185" spans="1:18" ht="21.2" customHeight="1">
      <c r="A185" s="473" t="s">
        <v>1104</v>
      </c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474"/>
      <c r="R185" s="116">
        <v>1</v>
      </c>
    </row>
    <row r="186" spans="1:18" ht="21.2" customHeight="1">
      <c r="A186" s="475" t="s">
        <v>1105</v>
      </c>
      <c r="B186" s="118" t="s">
        <v>1582</v>
      </c>
      <c r="C186" s="478">
        <v>0.4</v>
      </c>
      <c r="D186" s="109" t="s">
        <v>1106</v>
      </c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476"/>
      <c r="R186" s="116">
        <v>1</v>
      </c>
    </row>
    <row r="187" spans="1:18" ht="21.2" customHeight="1">
      <c r="A187" s="475" t="s">
        <v>1107</v>
      </c>
      <c r="B187" s="118" t="s">
        <v>1582</v>
      </c>
      <c r="C187" s="478">
        <v>1.1000000000000001</v>
      </c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476"/>
      <c r="R187" s="116">
        <v>1</v>
      </c>
    </row>
    <row r="188" spans="1:18" ht="21.2" customHeight="1">
      <c r="A188" s="475" t="s">
        <v>1108</v>
      </c>
      <c r="B188" s="118" t="s">
        <v>1582</v>
      </c>
      <c r="C188" s="478">
        <v>0.8</v>
      </c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476"/>
      <c r="R188" s="116">
        <v>1</v>
      </c>
    </row>
    <row r="189" spans="1:18" ht="21.2" customHeight="1">
      <c r="A189" s="475" t="s">
        <v>1109</v>
      </c>
      <c r="B189" s="118" t="s">
        <v>1582</v>
      </c>
      <c r="C189" s="478">
        <v>0.65</v>
      </c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476"/>
      <c r="R189" s="116">
        <v>1</v>
      </c>
    </row>
    <row r="190" spans="1:18" ht="21.2" customHeight="1">
      <c r="A190" s="475" t="s">
        <v>1583</v>
      </c>
      <c r="B190" s="118" t="s">
        <v>1582</v>
      </c>
      <c r="C190" s="478">
        <v>18</v>
      </c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476"/>
      <c r="R190" s="116">
        <v>1</v>
      </c>
    </row>
    <row r="191" spans="1:18" ht="21.2" customHeight="1">
      <c r="A191" s="475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476"/>
      <c r="R191" s="116">
        <v>1</v>
      </c>
    </row>
    <row r="192" spans="1:18" ht="21.2" customHeight="1">
      <c r="A192" s="473" t="s">
        <v>1110</v>
      </c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474"/>
      <c r="R192" s="116">
        <v>1</v>
      </c>
    </row>
    <row r="193" spans="1:18" ht="21.2" customHeight="1">
      <c r="A193" s="475" t="s">
        <v>1111</v>
      </c>
      <c r="B193" s="118" t="s">
        <v>1582</v>
      </c>
      <c r="C193" s="118">
        <v>3600</v>
      </c>
      <c r="D193" s="118" t="s">
        <v>86</v>
      </c>
      <c r="E193" s="118" t="s">
        <v>1105</v>
      </c>
      <c r="F193" s="118" t="s">
        <v>86</v>
      </c>
      <c r="G193" s="118" t="s">
        <v>1107</v>
      </c>
      <c r="H193" s="118" t="s">
        <v>86</v>
      </c>
      <c r="I193" s="118" t="s">
        <v>1108</v>
      </c>
      <c r="J193" s="118" t="s">
        <v>86</v>
      </c>
      <c r="K193" s="118" t="s">
        <v>1109</v>
      </c>
      <c r="L193" s="479" t="s">
        <v>1112</v>
      </c>
      <c r="M193" s="118" t="s">
        <v>1583</v>
      </c>
      <c r="N193" s="707" t="s">
        <v>4025</v>
      </c>
      <c r="O193" s="109"/>
      <c r="P193" s="109"/>
      <c r="Q193" s="476"/>
      <c r="R193" s="116">
        <v>1</v>
      </c>
    </row>
    <row r="194" spans="1:18" ht="21.2" customHeight="1">
      <c r="A194" s="475"/>
      <c r="B194" s="118" t="s">
        <v>1113</v>
      </c>
      <c r="C194" s="118">
        <f>C193</f>
        <v>3600</v>
      </c>
      <c r="D194" s="118" t="str">
        <f>D193</f>
        <v>*</v>
      </c>
      <c r="E194" s="275">
        <f>C186</f>
        <v>0.4</v>
      </c>
      <c r="F194" s="118" t="str">
        <f>F193</f>
        <v>*</v>
      </c>
      <c r="G194" s="275">
        <f>C187</f>
        <v>1.1000000000000001</v>
      </c>
      <c r="H194" s="118" t="str">
        <f>H193</f>
        <v>*</v>
      </c>
      <c r="I194" s="275">
        <f>C188</f>
        <v>0.8</v>
      </c>
      <c r="J194" s="118" t="str">
        <f>J193</f>
        <v>*</v>
      </c>
      <c r="K194" s="275">
        <f>C189</f>
        <v>0.65</v>
      </c>
      <c r="L194" s="118" t="str">
        <f>L193</f>
        <v>/</v>
      </c>
      <c r="M194" s="275">
        <f>C190</f>
        <v>18</v>
      </c>
      <c r="N194" s="118" t="s">
        <v>1582</v>
      </c>
      <c r="O194" s="134">
        <f>TRUNC((C194*E194*G194*I194*K194/M194),2)</f>
        <v>45.76</v>
      </c>
      <c r="P194" s="109"/>
      <c r="Q194" s="476"/>
      <c r="R194" s="116">
        <v>1</v>
      </c>
    </row>
    <row r="195" spans="1:18" ht="21.2" customHeight="1">
      <c r="A195" s="475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476"/>
      <c r="R195" s="116">
        <v>1</v>
      </c>
    </row>
    <row r="196" spans="1:18" ht="21.2" customHeight="1">
      <c r="A196" s="473" t="s">
        <v>1114</v>
      </c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474"/>
      <c r="R196" s="116">
        <v>1</v>
      </c>
    </row>
    <row r="197" spans="1:18" ht="21.2" customHeight="1">
      <c r="A197" s="475" t="s">
        <v>1436</v>
      </c>
      <c r="B197" s="109" t="s">
        <v>1582</v>
      </c>
      <c r="C197" s="480">
        <f>중기사용료!$M$100</f>
        <v>12514</v>
      </c>
      <c r="D197" s="479" t="s">
        <v>1112</v>
      </c>
      <c r="E197" s="118" t="s">
        <v>1111</v>
      </c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476"/>
      <c r="R197" s="116">
        <v>1</v>
      </c>
    </row>
    <row r="198" spans="1:18" ht="21.2" customHeight="1">
      <c r="A198" s="475"/>
      <c r="B198" s="118" t="s">
        <v>1113</v>
      </c>
      <c r="C198" s="480">
        <f>C197</f>
        <v>12514</v>
      </c>
      <c r="D198" s="118" t="str">
        <f>D197</f>
        <v>/</v>
      </c>
      <c r="E198" s="134">
        <f>O194</f>
        <v>45.76</v>
      </c>
      <c r="F198" s="109" t="s">
        <v>1582</v>
      </c>
      <c r="G198" s="481">
        <f>TRUNC(C198/E198)</f>
        <v>273</v>
      </c>
      <c r="H198" s="109"/>
      <c r="I198" s="109"/>
      <c r="J198" s="109"/>
      <c r="K198" s="109"/>
      <c r="L198" s="109"/>
      <c r="M198" s="109"/>
      <c r="N198" s="109"/>
      <c r="O198" s="109"/>
      <c r="P198" s="109"/>
      <c r="Q198" s="476"/>
      <c r="R198" s="116">
        <v>1</v>
      </c>
    </row>
    <row r="199" spans="1:18" ht="21.2" customHeight="1">
      <c r="A199" s="475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476"/>
      <c r="R199" s="116">
        <v>1</v>
      </c>
    </row>
    <row r="200" spans="1:18" ht="21.2" customHeight="1">
      <c r="A200" s="475" t="s">
        <v>1115</v>
      </c>
      <c r="B200" s="109" t="s">
        <v>1582</v>
      </c>
      <c r="C200" s="480">
        <f>중기사용료!$M$106</f>
        <v>27168</v>
      </c>
      <c r="D200" s="479" t="s">
        <v>1112</v>
      </c>
      <c r="E200" s="118" t="s">
        <v>1111</v>
      </c>
      <c r="F200" s="118"/>
      <c r="G200" s="118"/>
      <c r="H200" s="109"/>
      <c r="I200" s="109"/>
      <c r="J200" s="109"/>
      <c r="K200" s="109"/>
      <c r="L200" s="109"/>
      <c r="M200" s="109"/>
      <c r="N200" s="109"/>
      <c r="O200" s="109"/>
      <c r="P200" s="109"/>
      <c r="Q200" s="476"/>
      <c r="R200" s="116">
        <v>1</v>
      </c>
    </row>
    <row r="201" spans="1:18" ht="21.2" customHeight="1">
      <c r="A201" s="475"/>
      <c r="B201" s="118" t="s">
        <v>1113</v>
      </c>
      <c r="C201" s="480">
        <f>C200</f>
        <v>27168</v>
      </c>
      <c r="D201" s="479" t="str">
        <f>D200</f>
        <v>/</v>
      </c>
      <c r="E201" s="134">
        <f>O194</f>
        <v>45.76</v>
      </c>
      <c r="F201" s="118" t="s">
        <v>1582</v>
      </c>
      <c r="G201" s="481">
        <f>TRUNC(C201/E201)</f>
        <v>593</v>
      </c>
      <c r="H201" s="109"/>
      <c r="I201" s="109"/>
      <c r="J201" s="109"/>
      <c r="K201" s="109"/>
      <c r="L201" s="109"/>
      <c r="M201" s="109"/>
      <c r="N201" s="109"/>
      <c r="O201" s="109"/>
      <c r="P201" s="109"/>
      <c r="Q201" s="476"/>
      <c r="R201" s="116">
        <v>1</v>
      </c>
    </row>
    <row r="202" spans="1:18" ht="21.2" customHeight="1">
      <c r="A202" s="475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476"/>
      <c r="R202" s="116">
        <v>1</v>
      </c>
    </row>
    <row r="203" spans="1:18" ht="21.2" customHeight="1">
      <c r="A203" s="475" t="s">
        <v>1116</v>
      </c>
      <c r="B203" s="118" t="s">
        <v>1582</v>
      </c>
      <c r="C203" s="480">
        <f>중기사용료!$M$112</f>
        <v>13465</v>
      </c>
      <c r="D203" s="479" t="s">
        <v>1112</v>
      </c>
      <c r="E203" s="118" t="s">
        <v>1111</v>
      </c>
      <c r="F203" s="118"/>
      <c r="G203" s="118"/>
      <c r="H203" s="109"/>
      <c r="I203" s="109"/>
      <c r="J203" s="109"/>
      <c r="K203" s="109"/>
      <c r="L203" s="109"/>
      <c r="M203" s="109"/>
      <c r="N203" s="109"/>
      <c r="O203" s="109"/>
      <c r="P203" s="109"/>
      <c r="Q203" s="476"/>
      <c r="R203" s="116">
        <v>1</v>
      </c>
    </row>
    <row r="204" spans="1:18" ht="21.2" customHeight="1">
      <c r="A204" s="475"/>
      <c r="B204" s="118" t="s">
        <v>1113</v>
      </c>
      <c r="C204" s="480">
        <f>C203</f>
        <v>13465</v>
      </c>
      <c r="D204" s="118" t="str">
        <f>D203</f>
        <v>/</v>
      </c>
      <c r="E204" s="134">
        <f>O194</f>
        <v>45.76</v>
      </c>
      <c r="F204" s="118" t="s">
        <v>1582</v>
      </c>
      <c r="G204" s="481">
        <f>TRUNC(C204/E204)</f>
        <v>294</v>
      </c>
      <c r="H204" s="109"/>
      <c r="I204" s="109"/>
      <c r="J204" s="109"/>
      <c r="K204" s="109"/>
      <c r="L204" s="109"/>
      <c r="M204" s="109"/>
      <c r="N204" s="109"/>
      <c r="O204" s="109"/>
      <c r="P204" s="109"/>
      <c r="Q204" s="476"/>
      <c r="R204" s="116">
        <v>1</v>
      </c>
    </row>
    <row r="205" spans="1:18" ht="21.2" customHeight="1">
      <c r="A205" s="475"/>
      <c r="B205" s="109"/>
      <c r="C205" s="109"/>
      <c r="D205" s="109"/>
      <c r="E205" s="109"/>
      <c r="F205" s="109"/>
      <c r="G205" s="109"/>
      <c r="H205" s="118" t="s">
        <v>1117</v>
      </c>
      <c r="I205" s="118" t="s">
        <v>1118</v>
      </c>
      <c r="J205" s="118" t="s">
        <v>1113</v>
      </c>
      <c r="K205" s="797">
        <f>G198+G201+G204</f>
        <v>1160</v>
      </c>
      <c r="L205" s="797"/>
      <c r="M205" s="797"/>
      <c r="N205" s="118" t="s">
        <v>1119</v>
      </c>
      <c r="O205" s="109"/>
      <c r="P205" s="109"/>
      <c r="Q205" s="476"/>
      <c r="R205" s="116">
        <v>1</v>
      </c>
    </row>
    <row r="206" spans="1:18" ht="21.2" customHeight="1">
      <c r="A206" s="475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476"/>
      <c r="R206" s="116">
        <v>1</v>
      </c>
    </row>
    <row r="207" spans="1:18" ht="21.2" customHeight="1">
      <c r="A207" s="475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476"/>
      <c r="R207" s="116">
        <v>1</v>
      </c>
    </row>
    <row r="208" spans="1:18" ht="21.2" customHeight="1">
      <c r="A208" s="475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476"/>
      <c r="R208" s="116">
        <v>1</v>
      </c>
    </row>
    <row r="209" spans="1:18" ht="21.2" customHeight="1">
      <c r="A209" s="475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476"/>
      <c r="R209" s="116">
        <v>1</v>
      </c>
    </row>
    <row r="210" spans="1:18" ht="21.2" customHeight="1">
      <c r="A210" s="475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476"/>
      <c r="R210" s="116">
        <v>1</v>
      </c>
    </row>
    <row r="211" spans="1:18" ht="21.2" customHeight="1">
      <c r="A211" s="482"/>
      <c r="B211" s="136"/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6"/>
      <c r="O211" s="136"/>
      <c r="P211" s="136"/>
      <c r="Q211" s="483"/>
      <c r="R211" s="116">
        <v>1</v>
      </c>
    </row>
    <row r="212" spans="1:18" ht="21.2" customHeight="1">
      <c r="R212" s="116">
        <v>1</v>
      </c>
    </row>
    <row r="213" spans="1:18" s="472" customFormat="1" ht="21.2" customHeight="1">
      <c r="A213" s="796" t="s">
        <v>817</v>
      </c>
      <c r="B213" s="796"/>
      <c r="C213" s="796"/>
      <c r="D213" s="796"/>
      <c r="E213" s="796"/>
      <c r="F213" s="796"/>
      <c r="G213" s="796"/>
      <c r="H213" s="796"/>
      <c r="I213" s="796"/>
      <c r="J213" s="796"/>
      <c r="K213" s="796"/>
      <c r="L213" s="796"/>
      <c r="M213" s="796"/>
      <c r="N213" s="796"/>
      <c r="O213" s="796"/>
      <c r="P213" s="796"/>
      <c r="Q213" s="796"/>
      <c r="R213" s="116">
        <v>1</v>
      </c>
    </row>
    <row r="214" spans="1:18" ht="21.2" customHeight="1">
      <c r="A214" s="473" t="s">
        <v>1437</v>
      </c>
      <c r="B214" s="142" t="s">
        <v>1526</v>
      </c>
      <c r="C214" s="125" t="s">
        <v>3</v>
      </c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474"/>
      <c r="R214" s="116">
        <v>1</v>
      </c>
    </row>
    <row r="215" spans="1:18" ht="21.2" customHeight="1">
      <c r="A215" s="475" t="s">
        <v>1100</v>
      </c>
      <c r="B215" s="118" t="s">
        <v>1526</v>
      </c>
      <c r="C215" s="800" t="s">
        <v>4026</v>
      </c>
      <c r="D215" s="800"/>
      <c r="E215" s="800"/>
      <c r="F215" s="800"/>
      <c r="G215" s="118" t="s">
        <v>1527</v>
      </c>
      <c r="H215" s="109" t="s">
        <v>1526</v>
      </c>
      <c r="I215" s="109" t="s">
        <v>448</v>
      </c>
      <c r="J215" s="109"/>
      <c r="K215" s="109"/>
      <c r="L215" s="109"/>
      <c r="M215" s="109"/>
      <c r="N215" s="109"/>
      <c r="O215" s="109"/>
      <c r="P215" s="109"/>
      <c r="Q215" s="476"/>
      <c r="R215" s="116">
        <v>1</v>
      </c>
    </row>
    <row r="216" spans="1:18" ht="21.2" customHeight="1">
      <c r="A216" s="477">
        <f>A181+1</f>
        <v>7</v>
      </c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476"/>
      <c r="R216" s="116">
        <v>1</v>
      </c>
    </row>
    <row r="217" spans="1:18" ht="21.2" customHeight="1">
      <c r="A217" s="473" t="s">
        <v>1102</v>
      </c>
      <c r="B217" s="125"/>
      <c r="C217" s="125" t="s">
        <v>4024</v>
      </c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474"/>
      <c r="R217" s="116">
        <v>1</v>
      </c>
    </row>
    <row r="218" spans="1:18" ht="21.2" customHeight="1">
      <c r="A218" s="475" t="s">
        <v>1103</v>
      </c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476"/>
      <c r="R218" s="116">
        <v>1</v>
      </c>
    </row>
    <row r="219" spans="1:18" ht="21.2" customHeight="1">
      <c r="A219" s="475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476"/>
      <c r="R219" s="116">
        <v>1</v>
      </c>
    </row>
    <row r="220" spans="1:18" ht="21.2" customHeight="1">
      <c r="A220" s="473" t="s">
        <v>1104</v>
      </c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474"/>
      <c r="R220" s="116">
        <v>1</v>
      </c>
    </row>
    <row r="221" spans="1:18" ht="21.2" customHeight="1">
      <c r="A221" s="475" t="s">
        <v>1105</v>
      </c>
      <c r="B221" s="118" t="s">
        <v>1582</v>
      </c>
      <c r="C221" s="478">
        <v>0.4</v>
      </c>
      <c r="D221" s="109" t="s">
        <v>1106</v>
      </c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476"/>
      <c r="R221" s="116">
        <v>1</v>
      </c>
    </row>
    <row r="222" spans="1:18" ht="21.2" customHeight="1">
      <c r="A222" s="475" t="s">
        <v>1107</v>
      </c>
      <c r="B222" s="118" t="s">
        <v>1582</v>
      </c>
      <c r="C222" s="478">
        <v>0.7</v>
      </c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476"/>
      <c r="R222" s="116">
        <v>1</v>
      </c>
    </row>
    <row r="223" spans="1:18" ht="21.2" customHeight="1">
      <c r="A223" s="475" t="s">
        <v>1108</v>
      </c>
      <c r="B223" s="118" t="s">
        <v>1582</v>
      </c>
      <c r="C223" s="478">
        <v>0.71</v>
      </c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476"/>
      <c r="R223" s="116">
        <v>1</v>
      </c>
    </row>
    <row r="224" spans="1:18" ht="21.2" customHeight="1">
      <c r="A224" s="475" t="s">
        <v>1109</v>
      </c>
      <c r="B224" s="118" t="s">
        <v>1582</v>
      </c>
      <c r="C224" s="478">
        <v>0.45</v>
      </c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476"/>
      <c r="R224" s="116">
        <v>1</v>
      </c>
    </row>
    <row r="225" spans="1:18" ht="21.2" customHeight="1">
      <c r="A225" s="475" t="s">
        <v>1583</v>
      </c>
      <c r="B225" s="118" t="s">
        <v>1582</v>
      </c>
      <c r="C225" s="478">
        <v>18</v>
      </c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476"/>
      <c r="R225" s="116">
        <v>1</v>
      </c>
    </row>
    <row r="226" spans="1:18" ht="21.2" customHeight="1">
      <c r="A226" s="475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476"/>
      <c r="R226" s="116">
        <v>1</v>
      </c>
    </row>
    <row r="227" spans="1:18" ht="21.2" customHeight="1">
      <c r="A227" s="473" t="s">
        <v>1110</v>
      </c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474"/>
      <c r="R227" s="116">
        <v>1</v>
      </c>
    </row>
    <row r="228" spans="1:18" ht="21.2" customHeight="1">
      <c r="A228" s="475" t="s">
        <v>1111</v>
      </c>
      <c r="B228" s="118" t="s">
        <v>1582</v>
      </c>
      <c r="C228" s="118">
        <v>3600</v>
      </c>
      <c r="D228" s="118" t="s">
        <v>86</v>
      </c>
      <c r="E228" s="118" t="s">
        <v>1105</v>
      </c>
      <c r="F228" s="118" t="s">
        <v>86</v>
      </c>
      <c r="G228" s="118" t="s">
        <v>1107</v>
      </c>
      <c r="H228" s="118" t="s">
        <v>86</v>
      </c>
      <c r="I228" s="118" t="s">
        <v>1108</v>
      </c>
      <c r="J228" s="118" t="s">
        <v>86</v>
      </c>
      <c r="K228" s="118" t="s">
        <v>1109</v>
      </c>
      <c r="L228" s="479" t="s">
        <v>1112</v>
      </c>
      <c r="M228" s="118" t="s">
        <v>1583</v>
      </c>
      <c r="N228" s="707" t="s">
        <v>4025</v>
      </c>
      <c r="O228" s="109"/>
      <c r="P228" s="109"/>
      <c r="Q228" s="476"/>
      <c r="R228" s="116">
        <v>1</v>
      </c>
    </row>
    <row r="229" spans="1:18" ht="21.2" customHeight="1">
      <c r="A229" s="475"/>
      <c r="B229" s="118" t="s">
        <v>1113</v>
      </c>
      <c r="C229" s="118">
        <f>C228</f>
        <v>3600</v>
      </c>
      <c r="D229" s="118" t="str">
        <f>D228</f>
        <v>*</v>
      </c>
      <c r="E229" s="275">
        <f>C221</f>
        <v>0.4</v>
      </c>
      <c r="F229" s="118" t="str">
        <f>F228</f>
        <v>*</v>
      </c>
      <c r="G229" s="275">
        <f>C222</f>
        <v>0.7</v>
      </c>
      <c r="H229" s="118" t="str">
        <f>H228</f>
        <v>*</v>
      </c>
      <c r="I229" s="275">
        <f>C223</f>
        <v>0.71</v>
      </c>
      <c r="J229" s="118" t="str">
        <f>J228</f>
        <v>*</v>
      </c>
      <c r="K229" s="275">
        <f>C224</f>
        <v>0.45</v>
      </c>
      <c r="L229" s="118" t="str">
        <f>L228</f>
        <v>/</v>
      </c>
      <c r="M229" s="275">
        <f>C225</f>
        <v>18</v>
      </c>
      <c r="N229" s="118" t="s">
        <v>1582</v>
      </c>
      <c r="O229" s="134">
        <f>TRUNC((C229*E229*G229*I229*K229/M229),2)</f>
        <v>17.89</v>
      </c>
      <c r="P229" s="109"/>
      <c r="Q229" s="476"/>
      <c r="R229" s="116">
        <v>1</v>
      </c>
    </row>
    <row r="230" spans="1:18" ht="21.2" customHeight="1">
      <c r="A230" s="475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476"/>
      <c r="R230" s="116">
        <v>1</v>
      </c>
    </row>
    <row r="231" spans="1:18" ht="21.2" customHeight="1">
      <c r="A231" s="473" t="s">
        <v>1114</v>
      </c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474"/>
      <c r="R231" s="116">
        <v>1</v>
      </c>
    </row>
    <row r="232" spans="1:18" ht="21.2" customHeight="1">
      <c r="A232" s="475" t="s">
        <v>1436</v>
      </c>
      <c r="B232" s="109" t="s">
        <v>1582</v>
      </c>
      <c r="C232" s="480">
        <f>중기사용료!$M$100</f>
        <v>12514</v>
      </c>
      <c r="D232" s="479" t="s">
        <v>1112</v>
      </c>
      <c r="E232" s="118" t="s">
        <v>1111</v>
      </c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476"/>
      <c r="R232" s="116">
        <v>1</v>
      </c>
    </row>
    <row r="233" spans="1:18" ht="21.2" customHeight="1">
      <c r="A233" s="475"/>
      <c r="B233" s="118" t="s">
        <v>1113</v>
      </c>
      <c r="C233" s="480">
        <f>C232</f>
        <v>12514</v>
      </c>
      <c r="D233" s="118" t="str">
        <f>D232</f>
        <v>/</v>
      </c>
      <c r="E233" s="134">
        <f>O229</f>
        <v>17.89</v>
      </c>
      <c r="F233" s="109" t="s">
        <v>1582</v>
      </c>
      <c r="G233" s="481">
        <f>TRUNC(C233/E233)</f>
        <v>699</v>
      </c>
      <c r="H233" s="109"/>
      <c r="I233" s="109"/>
      <c r="J233" s="109"/>
      <c r="K233" s="109"/>
      <c r="L233" s="109"/>
      <c r="M233" s="109"/>
      <c r="N233" s="109"/>
      <c r="O233" s="109"/>
      <c r="P233" s="109"/>
      <c r="Q233" s="476"/>
      <c r="R233" s="116">
        <v>1</v>
      </c>
    </row>
    <row r="234" spans="1:18" ht="21.2" customHeight="1">
      <c r="A234" s="475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476"/>
      <c r="R234" s="116">
        <v>1</v>
      </c>
    </row>
    <row r="235" spans="1:18" ht="21.2" customHeight="1">
      <c r="A235" s="475" t="s">
        <v>1115</v>
      </c>
      <c r="B235" s="109" t="s">
        <v>1582</v>
      </c>
      <c r="C235" s="480">
        <f>중기사용료!$M$106</f>
        <v>27168</v>
      </c>
      <c r="D235" s="479" t="s">
        <v>1112</v>
      </c>
      <c r="E235" s="118" t="s">
        <v>1111</v>
      </c>
      <c r="F235" s="118"/>
      <c r="G235" s="118"/>
      <c r="H235" s="109"/>
      <c r="I235" s="109"/>
      <c r="J235" s="109"/>
      <c r="K235" s="109"/>
      <c r="L235" s="109"/>
      <c r="M235" s="109"/>
      <c r="N235" s="109"/>
      <c r="O235" s="109"/>
      <c r="P235" s="109"/>
      <c r="Q235" s="476"/>
      <c r="R235" s="116">
        <v>1</v>
      </c>
    </row>
    <row r="236" spans="1:18" ht="21.2" customHeight="1">
      <c r="A236" s="475"/>
      <c r="B236" s="118" t="s">
        <v>1113</v>
      </c>
      <c r="C236" s="480">
        <f>C235</f>
        <v>27168</v>
      </c>
      <c r="D236" s="479" t="str">
        <f>D235</f>
        <v>/</v>
      </c>
      <c r="E236" s="134">
        <f>O229</f>
        <v>17.89</v>
      </c>
      <c r="F236" s="118" t="s">
        <v>1582</v>
      </c>
      <c r="G236" s="481">
        <f>TRUNC(C236/E236)</f>
        <v>1518</v>
      </c>
      <c r="H236" s="109"/>
      <c r="I236" s="109"/>
      <c r="J236" s="109"/>
      <c r="K236" s="109"/>
      <c r="L236" s="109"/>
      <c r="M236" s="109"/>
      <c r="N236" s="109"/>
      <c r="O236" s="109"/>
      <c r="P236" s="109"/>
      <c r="Q236" s="476"/>
      <c r="R236" s="116">
        <v>1</v>
      </c>
    </row>
    <row r="237" spans="1:18" ht="21.2" customHeight="1">
      <c r="A237" s="475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476"/>
      <c r="R237" s="116">
        <v>1</v>
      </c>
    </row>
    <row r="238" spans="1:18" ht="21.2" customHeight="1">
      <c r="A238" s="475" t="s">
        <v>1116</v>
      </c>
      <c r="B238" s="118" t="s">
        <v>1582</v>
      </c>
      <c r="C238" s="480">
        <f>중기사용료!$M$112</f>
        <v>13465</v>
      </c>
      <c r="D238" s="479" t="s">
        <v>1112</v>
      </c>
      <c r="E238" s="118" t="s">
        <v>1111</v>
      </c>
      <c r="F238" s="118"/>
      <c r="G238" s="118"/>
      <c r="H238" s="109"/>
      <c r="I238" s="109"/>
      <c r="J238" s="109"/>
      <c r="K238" s="109"/>
      <c r="L238" s="109"/>
      <c r="M238" s="109"/>
      <c r="N238" s="109"/>
      <c r="O238" s="109"/>
      <c r="P238" s="109"/>
      <c r="Q238" s="476"/>
      <c r="R238" s="116">
        <v>1</v>
      </c>
    </row>
    <row r="239" spans="1:18" ht="21.2" customHeight="1">
      <c r="A239" s="475"/>
      <c r="B239" s="118" t="s">
        <v>1113</v>
      </c>
      <c r="C239" s="480">
        <f>C238</f>
        <v>13465</v>
      </c>
      <c r="D239" s="118" t="str">
        <f>D238</f>
        <v>/</v>
      </c>
      <c r="E239" s="134">
        <f>O229</f>
        <v>17.89</v>
      </c>
      <c r="F239" s="118" t="s">
        <v>1582</v>
      </c>
      <c r="G239" s="481">
        <f>TRUNC(C239/E239)</f>
        <v>752</v>
      </c>
      <c r="H239" s="109"/>
      <c r="I239" s="109"/>
      <c r="J239" s="109"/>
      <c r="K239" s="109"/>
      <c r="L239" s="109"/>
      <c r="M239" s="109"/>
      <c r="N239" s="109"/>
      <c r="O239" s="109"/>
      <c r="P239" s="109"/>
      <c r="Q239" s="476"/>
      <c r="R239" s="116">
        <v>1</v>
      </c>
    </row>
    <row r="240" spans="1:18" ht="21.2" customHeight="1">
      <c r="A240" s="475"/>
      <c r="B240" s="109"/>
      <c r="C240" s="109"/>
      <c r="D240" s="109"/>
      <c r="E240" s="109"/>
      <c r="F240" s="109"/>
      <c r="G240" s="109"/>
      <c r="H240" s="118" t="s">
        <v>1117</v>
      </c>
      <c r="I240" s="118" t="s">
        <v>1118</v>
      </c>
      <c r="J240" s="118" t="s">
        <v>1113</v>
      </c>
      <c r="K240" s="797">
        <f>G233+G236+G239</f>
        <v>2969</v>
      </c>
      <c r="L240" s="797"/>
      <c r="M240" s="797"/>
      <c r="N240" s="118" t="s">
        <v>1119</v>
      </c>
      <c r="O240" s="109"/>
      <c r="P240" s="109"/>
      <c r="Q240" s="476"/>
      <c r="R240" s="116">
        <v>1</v>
      </c>
    </row>
    <row r="241" spans="1:18" ht="21.2" customHeight="1">
      <c r="A241" s="475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476"/>
      <c r="R241" s="116">
        <v>1</v>
      </c>
    </row>
    <row r="242" spans="1:18" ht="21.2" customHeight="1">
      <c r="A242" s="475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476"/>
      <c r="R242" s="116">
        <v>1</v>
      </c>
    </row>
    <row r="243" spans="1:18" ht="21.2" customHeight="1">
      <c r="A243" s="475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476"/>
      <c r="R243" s="116">
        <v>1</v>
      </c>
    </row>
    <row r="244" spans="1:18" ht="21.2" customHeight="1">
      <c r="A244" s="475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476"/>
      <c r="R244" s="116">
        <v>1</v>
      </c>
    </row>
    <row r="245" spans="1:18" ht="21.2" customHeight="1">
      <c r="A245" s="475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476"/>
      <c r="R245" s="116">
        <v>1</v>
      </c>
    </row>
    <row r="246" spans="1:18" ht="21.2" customHeight="1">
      <c r="A246" s="482"/>
      <c r="B246" s="136"/>
      <c r="C246" s="136"/>
      <c r="D246" s="136"/>
      <c r="E246" s="136"/>
      <c r="F246" s="136"/>
      <c r="G246" s="136"/>
      <c r="H246" s="136"/>
      <c r="I246" s="136"/>
      <c r="J246" s="136"/>
      <c r="K246" s="136"/>
      <c r="L246" s="136"/>
      <c r="M246" s="136"/>
      <c r="N246" s="136"/>
      <c r="O246" s="136"/>
      <c r="P246" s="136"/>
      <c r="Q246" s="483"/>
      <c r="R246" s="116">
        <v>1</v>
      </c>
    </row>
    <row r="247" spans="1:18" ht="21.2" customHeight="1">
      <c r="R247" s="116">
        <v>1</v>
      </c>
    </row>
    <row r="248" spans="1:18" s="472" customFormat="1" ht="21.2" customHeight="1">
      <c r="A248" s="796" t="s">
        <v>817</v>
      </c>
      <c r="B248" s="796"/>
      <c r="C248" s="796"/>
      <c r="D248" s="796"/>
      <c r="E248" s="796"/>
      <c r="F248" s="796"/>
      <c r="G248" s="796"/>
      <c r="H248" s="796"/>
      <c r="I248" s="796"/>
      <c r="J248" s="796"/>
      <c r="K248" s="796"/>
      <c r="L248" s="796"/>
      <c r="M248" s="796"/>
      <c r="N248" s="796"/>
      <c r="O248" s="796"/>
      <c r="P248" s="796"/>
      <c r="Q248" s="796"/>
      <c r="R248" s="116">
        <v>1</v>
      </c>
    </row>
    <row r="249" spans="1:18" ht="21.2" customHeight="1">
      <c r="A249" s="473" t="s">
        <v>1437</v>
      </c>
      <c r="B249" s="142" t="s">
        <v>1526</v>
      </c>
      <c r="C249" s="125" t="s">
        <v>2</v>
      </c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474"/>
      <c r="R249" s="116">
        <v>1</v>
      </c>
    </row>
    <row r="250" spans="1:18" ht="21.2" customHeight="1">
      <c r="A250" s="475" t="s">
        <v>1100</v>
      </c>
      <c r="B250" s="118" t="s">
        <v>1526</v>
      </c>
      <c r="C250" s="800" t="s">
        <v>4026</v>
      </c>
      <c r="D250" s="800"/>
      <c r="E250" s="800"/>
      <c r="F250" s="800"/>
      <c r="G250" s="118" t="s">
        <v>1527</v>
      </c>
      <c r="H250" s="109" t="s">
        <v>1526</v>
      </c>
      <c r="I250" s="754" t="s">
        <v>841</v>
      </c>
      <c r="J250" s="109" t="s">
        <v>3222</v>
      </c>
      <c r="K250" s="109"/>
      <c r="L250" s="109"/>
      <c r="M250" s="109"/>
      <c r="N250" s="109"/>
      <c r="O250" s="109"/>
      <c r="P250" s="109"/>
      <c r="Q250" s="476"/>
      <c r="R250" s="116">
        <v>1</v>
      </c>
    </row>
    <row r="251" spans="1:18" ht="21.2" customHeight="1">
      <c r="A251" s="477">
        <f>A216+1</f>
        <v>8</v>
      </c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476"/>
      <c r="R251" s="116">
        <v>1</v>
      </c>
    </row>
    <row r="252" spans="1:18" ht="21.2" customHeight="1">
      <c r="A252" s="473" t="s">
        <v>1102</v>
      </c>
      <c r="B252" s="125"/>
      <c r="C252" s="125" t="s">
        <v>4024</v>
      </c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474"/>
      <c r="R252" s="116">
        <v>1</v>
      </c>
    </row>
    <row r="253" spans="1:18" ht="21.2" customHeight="1">
      <c r="A253" s="475" t="s">
        <v>1103</v>
      </c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476"/>
      <c r="R253" s="116">
        <v>1</v>
      </c>
    </row>
    <row r="254" spans="1:18" ht="21.2" customHeight="1">
      <c r="A254" s="475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476"/>
      <c r="R254" s="116">
        <v>1</v>
      </c>
    </row>
    <row r="255" spans="1:18" ht="21.2" customHeight="1">
      <c r="A255" s="473" t="s">
        <v>1104</v>
      </c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474"/>
      <c r="R255" s="116">
        <v>1</v>
      </c>
    </row>
    <row r="256" spans="1:18" ht="21.2" customHeight="1">
      <c r="A256" s="475" t="s">
        <v>1105</v>
      </c>
      <c r="B256" s="118" t="s">
        <v>1582</v>
      </c>
      <c r="C256" s="478">
        <v>0.7</v>
      </c>
      <c r="D256" s="109" t="s">
        <v>1106</v>
      </c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476"/>
      <c r="R256" s="116">
        <v>1</v>
      </c>
    </row>
    <row r="257" spans="1:18" ht="21.2" customHeight="1">
      <c r="A257" s="475" t="s">
        <v>1107</v>
      </c>
      <c r="B257" s="118" t="s">
        <v>1582</v>
      </c>
      <c r="C257" s="478">
        <v>1.1000000000000001</v>
      </c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476"/>
      <c r="R257" s="116">
        <v>1</v>
      </c>
    </row>
    <row r="258" spans="1:18" ht="21.2" customHeight="1">
      <c r="A258" s="475" t="s">
        <v>1108</v>
      </c>
      <c r="B258" s="118" t="s">
        <v>1582</v>
      </c>
      <c r="C258" s="478">
        <v>0.8</v>
      </c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476"/>
      <c r="R258" s="116">
        <v>1</v>
      </c>
    </row>
    <row r="259" spans="1:18" ht="21.2" customHeight="1">
      <c r="A259" s="475" t="s">
        <v>1109</v>
      </c>
      <c r="B259" s="118" t="s">
        <v>1582</v>
      </c>
      <c r="C259" s="478">
        <v>0.65</v>
      </c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476"/>
      <c r="R259" s="116">
        <v>1</v>
      </c>
    </row>
    <row r="260" spans="1:18" ht="21.2" customHeight="1">
      <c r="A260" s="475" t="s">
        <v>1583</v>
      </c>
      <c r="B260" s="118" t="s">
        <v>1582</v>
      </c>
      <c r="C260" s="478">
        <v>20</v>
      </c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476"/>
      <c r="R260" s="116">
        <v>1</v>
      </c>
    </row>
    <row r="261" spans="1:18" ht="21.2" customHeight="1">
      <c r="A261" s="475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476"/>
      <c r="R261" s="116">
        <v>1</v>
      </c>
    </row>
    <row r="262" spans="1:18" ht="21.2" customHeight="1">
      <c r="A262" s="473" t="s">
        <v>1110</v>
      </c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474"/>
      <c r="R262" s="116">
        <v>1</v>
      </c>
    </row>
    <row r="263" spans="1:18" ht="21.2" customHeight="1">
      <c r="A263" s="475" t="s">
        <v>1111</v>
      </c>
      <c r="B263" s="118" t="s">
        <v>1582</v>
      </c>
      <c r="C263" s="118">
        <v>3600</v>
      </c>
      <c r="D263" s="118" t="s">
        <v>86</v>
      </c>
      <c r="E263" s="118" t="s">
        <v>1105</v>
      </c>
      <c r="F263" s="118" t="s">
        <v>86</v>
      </c>
      <c r="G263" s="118" t="s">
        <v>1107</v>
      </c>
      <c r="H263" s="118" t="s">
        <v>86</v>
      </c>
      <c r="I263" s="118" t="s">
        <v>1108</v>
      </c>
      <c r="J263" s="118" t="s">
        <v>86</v>
      </c>
      <c r="K263" s="118" t="s">
        <v>1109</v>
      </c>
      <c r="L263" s="479" t="s">
        <v>1112</v>
      </c>
      <c r="M263" s="118" t="s">
        <v>1583</v>
      </c>
      <c r="N263" s="707" t="s">
        <v>4025</v>
      </c>
      <c r="O263" s="109"/>
      <c r="P263" s="109"/>
      <c r="Q263" s="476"/>
      <c r="R263" s="116">
        <v>1</v>
      </c>
    </row>
    <row r="264" spans="1:18" ht="21.2" customHeight="1">
      <c r="A264" s="475"/>
      <c r="B264" s="118" t="s">
        <v>1113</v>
      </c>
      <c r="C264" s="118">
        <f>C263</f>
        <v>3600</v>
      </c>
      <c r="D264" s="118" t="str">
        <f>D263</f>
        <v>*</v>
      </c>
      <c r="E264" s="275">
        <f>C256</f>
        <v>0.7</v>
      </c>
      <c r="F264" s="118" t="str">
        <f>F263</f>
        <v>*</v>
      </c>
      <c r="G264" s="275">
        <f>C257</f>
        <v>1.1000000000000001</v>
      </c>
      <c r="H264" s="118" t="str">
        <f>H263</f>
        <v>*</v>
      </c>
      <c r="I264" s="275">
        <f>C258</f>
        <v>0.8</v>
      </c>
      <c r="J264" s="118" t="str">
        <f>J263</f>
        <v>*</v>
      </c>
      <c r="K264" s="275">
        <f>C259</f>
        <v>0.65</v>
      </c>
      <c r="L264" s="118" t="str">
        <f>L263</f>
        <v>/</v>
      </c>
      <c r="M264" s="275">
        <f>C260</f>
        <v>20</v>
      </c>
      <c r="N264" s="118" t="s">
        <v>1582</v>
      </c>
      <c r="O264" s="134">
        <f>TRUNC((C264*E264*G264*I264*K264/M264),2)</f>
        <v>72.069999999999993</v>
      </c>
      <c r="P264" s="109"/>
      <c r="Q264" s="476"/>
      <c r="R264" s="116">
        <v>1</v>
      </c>
    </row>
    <row r="265" spans="1:18" ht="21.2" customHeight="1">
      <c r="A265" s="475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476"/>
      <c r="R265" s="116">
        <v>1</v>
      </c>
    </row>
    <row r="266" spans="1:18" ht="21.2" customHeight="1">
      <c r="A266" s="473" t="s">
        <v>1114</v>
      </c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474"/>
      <c r="R266" s="116">
        <v>1</v>
      </c>
    </row>
    <row r="267" spans="1:18" ht="21.2" customHeight="1">
      <c r="A267" s="475" t="s">
        <v>1436</v>
      </c>
      <c r="B267" s="109" t="s">
        <v>1582</v>
      </c>
      <c r="C267" s="480">
        <f>중기사용료!$M$195</f>
        <v>21622</v>
      </c>
      <c r="D267" s="479" t="s">
        <v>1112</v>
      </c>
      <c r="E267" s="118" t="s">
        <v>1111</v>
      </c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476"/>
      <c r="R267" s="116">
        <v>1</v>
      </c>
    </row>
    <row r="268" spans="1:18" ht="21.2" customHeight="1">
      <c r="A268" s="475"/>
      <c r="B268" s="118" t="s">
        <v>1113</v>
      </c>
      <c r="C268" s="480">
        <f>C267</f>
        <v>21622</v>
      </c>
      <c r="D268" s="118" t="str">
        <f>D267</f>
        <v>/</v>
      </c>
      <c r="E268" s="134">
        <f>O264</f>
        <v>72.069999999999993</v>
      </c>
      <c r="F268" s="109" t="s">
        <v>1582</v>
      </c>
      <c r="G268" s="481">
        <f>TRUNC(C268/E268)</f>
        <v>300</v>
      </c>
      <c r="H268" s="109"/>
      <c r="I268" s="109"/>
      <c r="J268" s="109"/>
      <c r="K268" s="109"/>
      <c r="L268" s="109"/>
      <c r="M268" s="109"/>
      <c r="N268" s="109"/>
      <c r="O268" s="109"/>
      <c r="P268" s="109"/>
      <c r="Q268" s="476"/>
      <c r="R268" s="116">
        <v>1</v>
      </c>
    </row>
    <row r="269" spans="1:18" ht="21.2" customHeight="1">
      <c r="A269" s="475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476"/>
      <c r="R269" s="116">
        <v>1</v>
      </c>
    </row>
    <row r="270" spans="1:18" ht="21.2" customHeight="1">
      <c r="A270" s="475" t="s">
        <v>1115</v>
      </c>
      <c r="B270" s="109" t="s">
        <v>1582</v>
      </c>
      <c r="C270" s="480">
        <f>중기사용료!$M$201</f>
        <v>27168</v>
      </c>
      <c r="D270" s="479" t="s">
        <v>1112</v>
      </c>
      <c r="E270" s="118" t="s">
        <v>1111</v>
      </c>
      <c r="F270" s="118"/>
      <c r="G270" s="118"/>
      <c r="H270" s="109"/>
      <c r="I270" s="109"/>
      <c r="J270" s="109"/>
      <c r="K270" s="109"/>
      <c r="L270" s="109"/>
      <c r="M270" s="109"/>
      <c r="N270" s="109"/>
      <c r="O270" s="109"/>
      <c r="P270" s="109"/>
      <c r="Q270" s="476"/>
      <c r="R270" s="116">
        <v>1</v>
      </c>
    </row>
    <row r="271" spans="1:18" ht="21.2" customHeight="1">
      <c r="A271" s="475"/>
      <c r="B271" s="118" t="s">
        <v>1113</v>
      </c>
      <c r="C271" s="480">
        <f>C270</f>
        <v>27168</v>
      </c>
      <c r="D271" s="479" t="str">
        <f>D270</f>
        <v>/</v>
      </c>
      <c r="E271" s="134">
        <f>O264</f>
        <v>72.069999999999993</v>
      </c>
      <c r="F271" s="118" t="s">
        <v>1582</v>
      </c>
      <c r="G271" s="481">
        <f>TRUNC(C271/E271)</f>
        <v>376</v>
      </c>
      <c r="H271" s="109"/>
      <c r="I271" s="109"/>
      <c r="J271" s="109"/>
      <c r="K271" s="109"/>
      <c r="L271" s="109"/>
      <c r="M271" s="109"/>
      <c r="N271" s="109"/>
      <c r="O271" s="109"/>
      <c r="P271" s="109"/>
      <c r="Q271" s="476"/>
      <c r="R271" s="116">
        <v>1</v>
      </c>
    </row>
    <row r="272" spans="1:18" ht="21.2" customHeight="1">
      <c r="A272" s="475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476"/>
      <c r="R272" s="116">
        <v>1</v>
      </c>
    </row>
    <row r="273" spans="1:18" ht="21.2" customHeight="1">
      <c r="A273" s="475" t="s">
        <v>1116</v>
      </c>
      <c r="B273" s="118" t="s">
        <v>1582</v>
      </c>
      <c r="C273" s="480">
        <f>중기사용료!$M$207</f>
        <v>16036</v>
      </c>
      <c r="D273" s="479" t="s">
        <v>1112</v>
      </c>
      <c r="E273" s="118" t="s">
        <v>1111</v>
      </c>
      <c r="F273" s="118"/>
      <c r="G273" s="118"/>
      <c r="H273" s="109"/>
      <c r="I273" s="109"/>
      <c r="J273" s="109"/>
      <c r="K273" s="109"/>
      <c r="L273" s="109"/>
      <c r="M273" s="109"/>
      <c r="N273" s="109"/>
      <c r="O273" s="109"/>
      <c r="P273" s="109"/>
      <c r="Q273" s="476"/>
      <c r="R273" s="116">
        <v>1</v>
      </c>
    </row>
    <row r="274" spans="1:18" ht="21.2" customHeight="1">
      <c r="A274" s="475"/>
      <c r="B274" s="118" t="s">
        <v>1113</v>
      </c>
      <c r="C274" s="480">
        <f>C273</f>
        <v>16036</v>
      </c>
      <c r="D274" s="118" t="str">
        <f>D273</f>
        <v>/</v>
      </c>
      <c r="E274" s="134">
        <f>O264</f>
        <v>72.069999999999993</v>
      </c>
      <c r="F274" s="118" t="s">
        <v>1582</v>
      </c>
      <c r="G274" s="481">
        <f>TRUNC(C274/E274)</f>
        <v>222</v>
      </c>
      <c r="H274" s="109"/>
      <c r="I274" s="109"/>
      <c r="J274" s="109"/>
      <c r="K274" s="109"/>
      <c r="L274" s="109"/>
      <c r="M274" s="109"/>
      <c r="N274" s="109"/>
      <c r="O274" s="109"/>
      <c r="P274" s="109"/>
      <c r="Q274" s="476"/>
      <c r="R274" s="116">
        <v>1</v>
      </c>
    </row>
    <row r="275" spans="1:18" ht="21.2" customHeight="1">
      <c r="A275" s="475"/>
      <c r="B275" s="109"/>
      <c r="C275" s="109"/>
      <c r="D275" s="109"/>
      <c r="E275" s="109"/>
      <c r="F275" s="109"/>
      <c r="G275" s="109"/>
      <c r="H275" s="118" t="s">
        <v>1117</v>
      </c>
      <c r="I275" s="118" t="s">
        <v>1118</v>
      </c>
      <c r="J275" s="118" t="s">
        <v>1113</v>
      </c>
      <c r="K275" s="797">
        <f>G268+G271+G274</f>
        <v>898</v>
      </c>
      <c r="L275" s="797"/>
      <c r="M275" s="797"/>
      <c r="N275" s="118" t="s">
        <v>1119</v>
      </c>
      <c r="O275" s="109"/>
      <c r="P275" s="109"/>
      <c r="Q275" s="476"/>
      <c r="R275" s="116">
        <v>1</v>
      </c>
    </row>
    <row r="276" spans="1:18" ht="21.2" customHeight="1">
      <c r="A276" s="475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476"/>
      <c r="R276" s="116">
        <v>1</v>
      </c>
    </row>
    <row r="277" spans="1:18" ht="21.2" customHeight="1">
      <c r="A277" s="475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476"/>
      <c r="R277" s="116">
        <v>1</v>
      </c>
    </row>
    <row r="278" spans="1:18" ht="21.2" customHeight="1">
      <c r="A278" s="475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476"/>
      <c r="R278" s="116">
        <v>1</v>
      </c>
    </row>
    <row r="279" spans="1:18" ht="21.2" customHeight="1">
      <c r="A279" s="475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476"/>
      <c r="R279" s="116">
        <v>1</v>
      </c>
    </row>
    <row r="280" spans="1:18" ht="21.2" customHeight="1">
      <c r="A280" s="475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476"/>
      <c r="R280" s="116">
        <v>1</v>
      </c>
    </row>
    <row r="281" spans="1:18" ht="21.2" customHeight="1">
      <c r="A281" s="482"/>
      <c r="B281" s="136"/>
      <c r="C281" s="136"/>
      <c r="D281" s="136"/>
      <c r="E281" s="136"/>
      <c r="F281" s="136"/>
      <c r="G281" s="136"/>
      <c r="H281" s="136"/>
      <c r="I281" s="136"/>
      <c r="J281" s="136"/>
      <c r="K281" s="136"/>
      <c r="L281" s="136"/>
      <c r="M281" s="136"/>
      <c r="N281" s="136"/>
      <c r="O281" s="136"/>
      <c r="P281" s="136"/>
      <c r="Q281" s="483"/>
      <c r="R281" s="116">
        <v>1</v>
      </c>
    </row>
    <row r="282" spans="1:18" ht="21.2" customHeight="1">
      <c r="R282" s="116">
        <v>1</v>
      </c>
    </row>
    <row r="283" spans="1:18" s="472" customFormat="1" ht="21.2" customHeight="1">
      <c r="A283" s="796" t="s">
        <v>817</v>
      </c>
      <c r="B283" s="796"/>
      <c r="C283" s="796"/>
      <c r="D283" s="796"/>
      <c r="E283" s="796"/>
      <c r="F283" s="796"/>
      <c r="G283" s="796"/>
      <c r="H283" s="796"/>
      <c r="I283" s="796"/>
      <c r="J283" s="796"/>
      <c r="K283" s="796"/>
      <c r="L283" s="796"/>
      <c r="M283" s="796"/>
      <c r="N283" s="796"/>
      <c r="O283" s="796"/>
      <c r="P283" s="796"/>
      <c r="Q283" s="796"/>
      <c r="R283" s="116">
        <v>1</v>
      </c>
    </row>
    <row r="284" spans="1:18" ht="21.2" customHeight="1">
      <c r="A284" s="473" t="s">
        <v>1437</v>
      </c>
      <c r="B284" s="142" t="s">
        <v>1526</v>
      </c>
      <c r="C284" s="125" t="s">
        <v>3</v>
      </c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474"/>
      <c r="R284" s="116">
        <v>1</v>
      </c>
    </row>
    <row r="285" spans="1:18" ht="21.2" customHeight="1">
      <c r="A285" s="475" t="s">
        <v>1100</v>
      </c>
      <c r="B285" s="118" t="s">
        <v>1526</v>
      </c>
      <c r="C285" s="800" t="s">
        <v>4026</v>
      </c>
      <c r="D285" s="800"/>
      <c r="E285" s="800"/>
      <c r="F285" s="800"/>
      <c r="G285" s="118" t="s">
        <v>1527</v>
      </c>
      <c r="H285" s="109" t="s">
        <v>1526</v>
      </c>
      <c r="I285" s="754" t="s">
        <v>841</v>
      </c>
      <c r="J285" s="109" t="s">
        <v>3222</v>
      </c>
      <c r="K285" s="109"/>
      <c r="L285" s="109"/>
      <c r="M285" s="109"/>
      <c r="N285" s="109"/>
      <c r="O285" s="109"/>
      <c r="P285" s="109"/>
      <c r="Q285" s="476"/>
      <c r="R285" s="116">
        <v>1</v>
      </c>
    </row>
    <row r="286" spans="1:18" ht="21.2" customHeight="1">
      <c r="A286" s="477">
        <f>A251+1</f>
        <v>9</v>
      </c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476"/>
      <c r="R286" s="116">
        <v>1</v>
      </c>
    </row>
    <row r="287" spans="1:18" ht="21.2" customHeight="1">
      <c r="A287" s="473" t="s">
        <v>1102</v>
      </c>
      <c r="B287" s="125"/>
      <c r="C287" s="125" t="s">
        <v>4024</v>
      </c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474"/>
      <c r="R287" s="116">
        <v>1</v>
      </c>
    </row>
    <row r="288" spans="1:18" ht="21.2" customHeight="1">
      <c r="A288" s="475" t="s">
        <v>1103</v>
      </c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476"/>
      <c r="R288" s="116">
        <v>1</v>
      </c>
    </row>
    <row r="289" spans="1:18" ht="21.2" customHeight="1">
      <c r="A289" s="475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476"/>
      <c r="R289" s="116">
        <v>1</v>
      </c>
    </row>
    <row r="290" spans="1:18" ht="21.2" customHeight="1">
      <c r="A290" s="473" t="s">
        <v>1104</v>
      </c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474"/>
      <c r="R290" s="116">
        <v>1</v>
      </c>
    </row>
    <row r="291" spans="1:18" ht="21.2" customHeight="1">
      <c r="A291" s="475" t="s">
        <v>1105</v>
      </c>
      <c r="B291" s="118" t="s">
        <v>1582</v>
      </c>
      <c r="C291" s="478">
        <v>0.7</v>
      </c>
      <c r="D291" s="109" t="s">
        <v>1106</v>
      </c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476"/>
      <c r="R291" s="116">
        <v>1</v>
      </c>
    </row>
    <row r="292" spans="1:18" ht="21.2" customHeight="1">
      <c r="A292" s="475" t="s">
        <v>1107</v>
      </c>
      <c r="B292" s="118" t="s">
        <v>1582</v>
      </c>
      <c r="C292" s="478">
        <v>0.7</v>
      </c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476"/>
      <c r="R292" s="116">
        <v>1</v>
      </c>
    </row>
    <row r="293" spans="1:18" ht="21.2" customHeight="1">
      <c r="A293" s="475" t="s">
        <v>1108</v>
      </c>
      <c r="B293" s="118" t="s">
        <v>1582</v>
      </c>
      <c r="C293" s="478">
        <v>0.71</v>
      </c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476"/>
      <c r="R293" s="116">
        <v>1</v>
      </c>
    </row>
    <row r="294" spans="1:18" ht="21.2" customHeight="1">
      <c r="A294" s="475" t="s">
        <v>1109</v>
      </c>
      <c r="B294" s="118" t="s">
        <v>1582</v>
      </c>
      <c r="C294" s="478">
        <v>0.45</v>
      </c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476"/>
      <c r="R294" s="116">
        <v>1</v>
      </c>
    </row>
    <row r="295" spans="1:18" ht="21.2" customHeight="1">
      <c r="A295" s="475" t="s">
        <v>1583</v>
      </c>
      <c r="B295" s="118" t="s">
        <v>1582</v>
      </c>
      <c r="C295" s="478">
        <v>20</v>
      </c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476"/>
      <c r="R295" s="116">
        <v>1</v>
      </c>
    </row>
    <row r="296" spans="1:18" ht="21.2" customHeight="1">
      <c r="A296" s="475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476"/>
      <c r="R296" s="116">
        <v>1</v>
      </c>
    </row>
    <row r="297" spans="1:18" ht="21.2" customHeight="1">
      <c r="A297" s="473" t="s">
        <v>1110</v>
      </c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474"/>
      <c r="R297" s="116">
        <v>1</v>
      </c>
    </row>
    <row r="298" spans="1:18" ht="21.2" customHeight="1">
      <c r="A298" s="475" t="s">
        <v>1111</v>
      </c>
      <c r="B298" s="118" t="s">
        <v>1582</v>
      </c>
      <c r="C298" s="118">
        <v>3600</v>
      </c>
      <c r="D298" s="118" t="s">
        <v>86</v>
      </c>
      <c r="E298" s="118" t="s">
        <v>1105</v>
      </c>
      <c r="F298" s="118" t="s">
        <v>86</v>
      </c>
      <c r="G298" s="118" t="s">
        <v>1107</v>
      </c>
      <c r="H298" s="118" t="s">
        <v>86</v>
      </c>
      <c r="I298" s="118" t="s">
        <v>1108</v>
      </c>
      <c r="J298" s="118" t="s">
        <v>86</v>
      </c>
      <c r="K298" s="118" t="s">
        <v>1109</v>
      </c>
      <c r="L298" s="479" t="s">
        <v>1112</v>
      </c>
      <c r="M298" s="118" t="s">
        <v>1583</v>
      </c>
      <c r="N298" s="707" t="s">
        <v>4025</v>
      </c>
      <c r="O298" s="109"/>
      <c r="P298" s="109"/>
      <c r="Q298" s="476"/>
      <c r="R298" s="116">
        <v>1</v>
      </c>
    </row>
    <row r="299" spans="1:18" ht="21.2" customHeight="1">
      <c r="A299" s="475"/>
      <c r="B299" s="118" t="s">
        <v>1113</v>
      </c>
      <c r="C299" s="118">
        <f>C298</f>
        <v>3600</v>
      </c>
      <c r="D299" s="118" t="str">
        <f>D298</f>
        <v>*</v>
      </c>
      <c r="E299" s="275">
        <f>C291</f>
        <v>0.7</v>
      </c>
      <c r="F299" s="118" t="str">
        <f>F298</f>
        <v>*</v>
      </c>
      <c r="G299" s="275">
        <f>C292</f>
        <v>0.7</v>
      </c>
      <c r="H299" s="118" t="str">
        <f>H298</f>
        <v>*</v>
      </c>
      <c r="I299" s="275">
        <f>C293</f>
        <v>0.71</v>
      </c>
      <c r="J299" s="118" t="str">
        <f>J298</f>
        <v>*</v>
      </c>
      <c r="K299" s="275">
        <f>C294</f>
        <v>0.45</v>
      </c>
      <c r="L299" s="118" t="str">
        <f>L298</f>
        <v>/</v>
      </c>
      <c r="M299" s="275">
        <f>C295</f>
        <v>20</v>
      </c>
      <c r="N299" s="118" t="s">
        <v>1582</v>
      </c>
      <c r="O299" s="134">
        <f>TRUNC((C299*E299*G299*I299*K299/M299),2)</f>
        <v>28.17</v>
      </c>
      <c r="P299" s="109"/>
      <c r="Q299" s="476"/>
      <c r="R299" s="116">
        <v>1</v>
      </c>
    </row>
    <row r="300" spans="1:18" ht="21.2" customHeight="1">
      <c r="A300" s="475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476"/>
      <c r="R300" s="116">
        <v>1</v>
      </c>
    </row>
    <row r="301" spans="1:18" ht="21.2" customHeight="1">
      <c r="A301" s="473" t="s">
        <v>1114</v>
      </c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474"/>
      <c r="R301" s="116">
        <v>1</v>
      </c>
    </row>
    <row r="302" spans="1:18" ht="21.2" customHeight="1">
      <c r="A302" s="475" t="s">
        <v>1436</v>
      </c>
      <c r="B302" s="109" t="s">
        <v>1582</v>
      </c>
      <c r="C302" s="480">
        <f>중기사용료!$M$195</f>
        <v>21622</v>
      </c>
      <c r="D302" s="479" t="s">
        <v>1112</v>
      </c>
      <c r="E302" s="118" t="s">
        <v>1111</v>
      </c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476"/>
      <c r="R302" s="116">
        <v>1</v>
      </c>
    </row>
    <row r="303" spans="1:18" ht="21.2" customHeight="1">
      <c r="A303" s="475"/>
      <c r="B303" s="118" t="s">
        <v>1113</v>
      </c>
      <c r="C303" s="480">
        <f>C302</f>
        <v>21622</v>
      </c>
      <c r="D303" s="118" t="str">
        <f>D302</f>
        <v>/</v>
      </c>
      <c r="E303" s="134">
        <f>O299</f>
        <v>28.17</v>
      </c>
      <c r="F303" s="109" t="s">
        <v>1582</v>
      </c>
      <c r="G303" s="481">
        <f>TRUNC(C303/E303)</f>
        <v>767</v>
      </c>
      <c r="H303" s="109"/>
      <c r="I303" s="109"/>
      <c r="J303" s="109"/>
      <c r="K303" s="109"/>
      <c r="L303" s="109"/>
      <c r="M303" s="109"/>
      <c r="N303" s="109"/>
      <c r="O303" s="109"/>
      <c r="P303" s="109"/>
      <c r="Q303" s="476"/>
      <c r="R303" s="116">
        <v>1</v>
      </c>
    </row>
    <row r="304" spans="1:18" ht="21.2" customHeight="1">
      <c r="A304" s="475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476"/>
      <c r="R304" s="116">
        <v>1</v>
      </c>
    </row>
    <row r="305" spans="1:18" ht="21.2" customHeight="1">
      <c r="A305" s="475" t="s">
        <v>1115</v>
      </c>
      <c r="B305" s="109" t="s">
        <v>1582</v>
      </c>
      <c r="C305" s="480">
        <f>중기사용료!$M$201</f>
        <v>27168</v>
      </c>
      <c r="D305" s="479" t="s">
        <v>1112</v>
      </c>
      <c r="E305" s="118" t="s">
        <v>1111</v>
      </c>
      <c r="F305" s="118"/>
      <c r="G305" s="118"/>
      <c r="H305" s="109"/>
      <c r="I305" s="109"/>
      <c r="J305" s="109"/>
      <c r="K305" s="109"/>
      <c r="L305" s="109"/>
      <c r="M305" s="109"/>
      <c r="N305" s="109"/>
      <c r="O305" s="109"/>
      <c r="P305" s="109"/>
      <c r="Q305" s="476"/>
      <c r="R305" s="116">
        <v>1</v>
      </c>
    </row>
    <row r="306" spans="1:18" ht="21.2" customHeight="1">
      <c r="A306" s="475"/>
      <c r="B306" s="118" t="s">
        <v>1113</v>
      </c>
      <c r="C306" s="480">
        <f>C305</f>
        <v>27168</v>
      </c>
      <c r="D306" s="479" t="str">
        <f>D305</f>
        <v>/</v>
      </c>
      <c r="E306" s="134">
        <f>O299</f>
        <v>28.17</v>
      </c>
      <c r="F306" s="118" t="s">
        <v>1582</v>
      </c>
      <c r="G306" s="481">
        <f>TRUNC(C306/E306)</f>
        <v>964</v>
      </c>
      <c r="H306" s="109"/>
      <c r="I306" s="109"/>
      <c r="J306" s="109"/>
      <c r="K306" s="109"/>
      <c r="L306" s="109"/>
      <c r="M306" s="109"/>
      <c r="N306" s="109"/>
      <c r="O306" s="109"/>
      <c r="P306" s="109"/>
      <c r="Q306" s="476"/>
      <c r="R306" s="116">
        <v>1</v>
      </c>
    </row>
    <row r="307" spans="1:18" ht="21.2" customHeight="1">
      <c r="A307" s="475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476"/>
      <c r="R307" s="116">
        <v>1</v>
      </c>
    </row>
    <row r="308" spans="1:18" ht="21.2" customHeight="1">
      <c r="A308" s="475" t="s">
        <v>1116</v>
      </c>
      <c r="B308" s="118" t="s">
        <v>1582</v>
      </c>
      <c r="C308" s="480">
        <f>중기사용료!$M$207</f>
        <v>16036</v>
      </c>
      <c r="D308" s="479" t="s">
        <v>1112</v>
      </c>
      <c r="E308" s="118" t="s">
        <v>1111</v>
      </c>
      <c r="F308" s="118"/>
      <c r="G308" s="118"/>
      <c r="H308" s="109"/>
      <c r="I308" s="109"/>
      <c r="J308" s="109"/>
      <c r="K308" s="109"/>
      <c r="L308" s="109"/>
      <c r="M308" s="109"/>
      <c r="N308" s="109"/>
      <c r="O308" s="109"/>
      <c r="P308" s="109"/>
      <c r="Q308" s="476"/>
      <c r="R308" s="116">
        <v>1</v>
      </c>
    </row>
    <row r="309" spans="1:18" ht="21.2" customHeight="1">
      <c r="A309" s="475"/>
      <c r="B309" s="118" t="s">
        <v>1113</v>
      </c>
      <c r="C309" s="480">
        <f>C308</f>
        <v>16036</v>
      </c>
      <c r="D309" s="118" t="str">
        <f>D308</f>
        <v>/</v>
      </c>
      <c r="E309" s="134">
        <f>O299</f>
        <v>28.17</v>
      </c>
      <c r="F309" s="118" t="s">
        <v>1582</v>
      </c>
      <c r="G309" s="481">
        <f>TRUNC(C309/E309)</f>
        <v>569</v>
      </c>
      <c r="H309" s="109"/>
      <c r="I309" s="109"/>
      <c r="J309" s="109"/>
      <c r="K309" s="109"/>
      <c r="L309" s="109"/>
      <c r="M309" s="109"/>
      <c r="N309" s="109"/>
      <c r="O309" s="109"/>
      <c r="P309" s="109"/>
      <c r="Q309" s="476"/>
      <c r="R309" s="116">
        <v>1</v>
      </c>
    </row>
    <row r="310" spans="1:18" ht="21.2" customHeight="1">
      <c r="A310" s="475"/>
      <c r="B310" s="109"/>
      <c r="C310" s="109"/>
      <c r="D310" s="109"/>
      <c r="E310" s="109"/>
      <c r="F310" s="109"/>
      <c r="G310" s="109"/>
      <c r="H310" s="118" t="s">
        <v>1117</v>
      </c>
      <c r="I310" s="118" t="s">
        <v>1118</v>
      </c>
      <c r="J310" s="118" t="s">
        <v>1113</v>
      </c>
      <c r="K310" s="797">
        <f>G303+G306+G309</f>
        <v>2300</v>
      </c>
      <c r="L310" s="797"/>
      <c r="M310" s="797"/>
      <c r="N310" s="118" t="s">
        <v>1119</v>
      </c>
      <c r="O310" s="109"/>
      <c r="P310" s="109"/>
      <c r="Q310" s="476"/>
      <c r="R310" s="116">
        <v>1</v>
      </c>
    </row>
    <row r="311" spans="1:18" ht="21.2" customHeight="1">
      <c r="A311" s="475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476"/>
      <c r="R311" s="116">
        <v>1</v>
      </c>
    </row>
    <row r="312" spans="1:18" ht="21.2" customHeight="1">
      <c r="A312" s="475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476"/>
      <c r="R312" s="116">
        <v>1</v>
      </c>
    </row>
    <row r="313" spans="1:18" ht="21.2" customHeight="1">
      <c r="A313" s="475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476"/>
      <c r="R313" s="116">
        <v>1</v>
      </c>
    </row>
    <row r="314" spans="1:18" ht="21.2" customHeight="1">
      <c r="A314" s="475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476"/>
      <c r="R314" s="116">
        <v>1</v>
      </c>
    </row>
    <row r="315" spans="1:18" ht="21.2" customHeight="1">
      <c r="A315" s="475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476"/>
      <c r="R315" s="116">
        <v>1</v>
      </c>
    </row>
    <row r="316" spans="1:18" ht="21.2" customHeight="1">
      <c r="A316" s="482"/>
      <c r="B316" s="136"/>
      <c r="C316" s="136"/>
      <c r="D316" s="136"/>
      <c r="E316" s="136"/>
      <c r="F316" s="136"/>
      <c r="G316" s="136"/>
      <c r="H316" s="136"/>
      <c r="I316" s="136"/>
      <c r="J316" s="136"/>
      <c r="K316" s="136"/>
      <c r="L316" s="136"/>
      <c r="M316" s="136"/>
      <c r="N316" s="136"/>
      <c r="O316" s="136"/>
      <c r="P316" s="136"/>
      <c r="Q316" s="483"/>
      <c r="R316" s="116">
        <v>1</v>
      </c>
    </row>
    <row r="317" spans="1:18" ht="21.2" customHeight="1">
      <c r="R317" s="116">
        <v>1</v>
      </c>
    </row>
    <row r="318" spans="1:18" s="472" customFormat="1" ht="21.2" customHeight="1">
      <c r="A318" s="796" t="s">
        <v>817</v>
      </c>
      <c r="B318" s="796"/>
      <c r="C318" s="796"/>
      <c r="D318" s="796"/>
      <c r="E318" s="796"/>
      <c r="F318" s="796"/>
      <c r="G318" s="796"/>
      <c r="H318" s="796"/>
      <c r="I318" s="796"/>
      <c r="J318" s="796"/>
      <c r="K318" s="796"/>
      <c r="L318" s="796"/>
      <c r="M318" s="796"/>
      <c r="N318" s="796"/>
      <c r="O318" s="796"/>
      <c r="P318" s="796"/>
      <c r="Q318" s="796"/>
      <c r="R318" s="116">
        <v>1</v>
      </c>
    </row>
    <row r="319" spans="1:18" ht="21.2" customHeight="1">
      <c r="A319" s="473" t="s">
        <v>1437</v>
      </c>
      <c r="B319" s="142" t="s">
        <v>1526</v>
      </c>
      <c r="C319" s="125" t="s">
        <v>1</v>
      </c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474"/>
      <c r="R319" s="116">
        <v>1</v>
      </c>
    </row>
    <row r="320" spans="1:18" ht="21.2" customHeight="1">
      <c r="A320" s="475" t="s">
        <v>1100</v>
      </c>
      <c r="B320" s="118" t="s">
        <v>1526</v>
      </c>
      <c r="C320" s="800" t="s">
        <v>4020</v>
      </c>
      <c r="D320" s="800"/>
      <c r="E320" s="800"/>
      <c r="F320" s="800"/>
      <c r="G320" s="118" t="s">
        <v>1527</v>
      </c>
      <c r="H320" s="109" t="s">
        <v>1526</v>
      </c>
      <c r="I320" s="109" t="s">
        <v>1101</v>
      </c>
      <c r="J320" s="109"/>
      <c r="K320" s="109"/>
      <c r="L320" s="109"/>
      <c r="M320" s="109"/>
      <c r="N320" s="109"/>
      <c r="O320" s="109"/>
      <c r="P320" s="109"/>
      <c r="Q320" s="476"/>
      <c r="R320" s="116">
        <v>1</v>
      </c>
    </row>
    <row r="321" spans="1:18" ht="21.2" customHeight="1">
      <c r="A321" s="477">
        <f>A286+1</f>
        <v>10</v>
      </c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476"/>
      <c r="R321" s="116">
        <v>1</v>
      </c>
    </row>
    <row r="322" spans="1:18" ht="21.2" customHeight="1">
      <c r="A322" s="473" t="s">
        <v>1102</v>
      </c>
      <c r="B322" s="125"/>
      <c r="C322" s="125" t="s">
        <v>4024</v>
      </c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474"/>
      <c r="R322" s="116">
        <v>1</v>
      </c>
    </row>
    <row r="323" spans="1:18" ht="21.2" customHeight="1">
      <c r="A323" s="475" t="s">
        <v>1103</v>
      </c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476"/>
      <c r="R323" s="116">
        <v>1</v>
      </c>
    </row>
    <row r="324" spans="1:18" ht="21.2" customHeight="1">
      <c r="A324" s="475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476"/>
      <c r="R324" s="116">
        <v>1</v>
      </c>
    </row>
    <row r="325" spans="1:18" ht="21.2" customHeight="1">
      <c r="A325" s="473" t="s">
        <v>1104</v>
      </c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474"/>
      <c r="R325" s="116">
        <v>1</v>
      </c>
    </row>
    <row r="326" spans="1:18" ht="21.2" customHeight="1">
      <c r="A326" s="475" t="s">
        <v>1105</v>
      </c>
      <c r="B326" s="118" t="s">
        <v>1582</v>
      </c>
      <c r="C326" s="478">
        <v>0.2</v>
      </c>
      <c r="D326" s="109" t="s">
        <v>1106</v>
      </c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476"/>
      <c r="R326" s="116">
        <v>1</v>
      </c>
    </row>
    <row r="327" spans="1:18" ht="21.2" customHeight="1">
      <c r="A327" s="475" t="s">
        <v>1107</v>
      </c>
      <c r="B327" s="118" t="s">
        <v>1582</v>
      </c>
      <c r="C327" s="478">
        <v>1.1000000000000001</v>
      </c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476"/>
      <c r="R327" s="116">
        <v>1</v>
      </c>
    </row>
    <row r="328" spans="1:18" ht="21.2" customHeight="1">
      <c r="A328" s="475" t="s">
        <v>1108</v>
      </c>
      <c r="B328" s="118" t="s">
        <v>1582</v>
      </c>
      <c r="C328" s="478">
        <v>1</v>
      </c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476"/>
      <c r="R328" s="116">
        <v>1</v>
      </c>
    </row>
    <row r="329" spans="1:18" ht="21.2" customHeight="1">
      <c r="A329" s="475" t="s">
        <v>1109</v>
      </c>
      <c r="B329" s="118" t="s">
        <v>1582</v>
      </c>
      <c r="C329" s="478">
        <v>0.65</v>
      </c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476"/>
      <c r="R329" s="116">
        <v>1</v>
      </c>
    </row>
    <row r="330" spans="1:18" ht="21.2" customHeight="1">
      <c r="A330" s="475" t="s">
        <v>1583</v>
      </c>
      <c r="B330" s="118" t="s">
        <v>1582</v>
      </c>
      <c r="C330" s="478">
        <v>18</v>
      </c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476"/>
      <c r="R330" s="116">
        <v>1</v>
      </c>
    </row>
    <row r="331" spans="1:18" ht="21.2" customHeight="1">
      <c r="A331" s="475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476"/>
      <c r="R331" s="116">
        <v>1</v>
      </c>
    </row>
    <row r="332" spans="1:18" ht="21.2" customHeight="1">
      <c r="A332" s="473" t="s">
        <v>1110</v>
      </c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474"/>
      <c r="R332" s="116">
        <v>1</v>
      </c>
    </row>
    <row r="333" spans="1:18" ht="21.2" customHeight="1">
      <c r="A333" s="475" t="s">
        <v>1111</v>
      </c>
      <c r="B333" s="118" t="s">
        <v>1582</v>
      </c>
      <c r="C333" s="118">
        <v>3600</v>
      </c>
      <c r="D333" s="118" t="s">
        <v>86</v>
      </c>
      <c r="E333" s="118" t="s">
        <v>1105</v>
      </c>
      <c r="F333" s="118" t="s">
        <v>86</v>
      </c>
      <c r="G333" s="118" t="s">
        <v>1107</v>
      </c>
      <c r="H333" s="118" t="s">
        <v>86</v>
      </c>
      <c r="I333" s="118" t="s">
        <v>1108</v>
      </c>
      <c r="J333" s="118" t="s">
        <v>86</v>
      </c>
      <c r="K333" s="118" t="s">
        <v>1109</v>
      </c>
      <c r="L333" s="479" t="s">
        <v>1112</v>
      </c>
      <c r="M333" s="118" t="s">
        <v>1583</v>
      </c>
      <c r="N333" s="707" t="s">
        <v>4025</v>
      </c>
      <c r="O333" s="109"/>
      <c r="P333" s="109"/>
      <c r="Q333" s="476"/>
      <c r="R333" s="116">
        <v>1</v>
      </c>
    </row>
    <row r="334" spans="1:18" ht="21.2" customHeight="1">
      <c r="A334" s="475"/>
      <c r="B334" s="118" t="s">
        <v>1113</v>
      </c>
      <c r="C334" s="118">
        <f>C333</f>
        <v>3600</v>
      </c>
      <c r="D334" s="118" t="str">
        <f>D333</f>
        <v>*</v>
      </c>
      <c r="E334" s="275">
        <f>C326</f>
        <v>0.2</v>
      </c>
      <c r="F334" s="118" t="str">
        <f>F333</f>
        <v>*</v>
      </c>
      <c r="G334" s="275">
        <f>C327</f>
        <v>1.1000000000000001</v>
      </c>
      <c r="H334" s="118" t="str">
        <f>H333</f>
        <v>*</v>
      </c>
      <c r="I334" s="275">
        <f>C328</f>
        <v>1</v>
      </c>
      <c r="J334" s="118" t="str">
        <f>J333</f>
        <v>*</v>
      </c>
      <c r="K334" s="275">
        <f>C329</f>
        <v>0.65</v>
      </c>
      <c r="L334" s="118" t="str">
        <f>L333</f>
        <v>/</v>
      </c>
      <c r="M334" s="275">
        <f>C330</f>
        <v>18</v>
      </c>
      <c r="N334" s="118" t="s">
        <v>1582</v>
      </c>
      <c r="O334" s="134">
        <f>TRUNC((C334*E334*G334*I334*K334/M334),2)</f>
        <v>28.6</v>
      </c>
      <c r="P334" s="109"/>
      <c r="Q334" s="476"/>
      <c r="R334" s="116">
        <v>1</v>
      </c>
    </row>
    <row r="335" spans="1:18" ht="21.2" customHeight="1">
      <c r="A335" s="475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476"/>
      <c r="R335" s="116">
        <v>1</v>
      </c>
    </row>
    <row r="336" spans="1:18" ht="21.2" customHeight="1">
      <c r="A336" s="473" t="s">
        <v>1114</v>
      </c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474"/>
      <c r="R336" s="116">
        <v>1</v>
      </c>
    </row>
    <row r="337" spans="1:18" ht="21.2" customHeight="1">
      <c r="A337" s="475" t="s">
        <v>1436</v>
      </c>
      <c r="B337" s="109" t="s">
        <v>1582</v>
      </c>
      <c r="C337" s="480">
        <f>중기사용료!$M$81</f>
        <v>11251</v>
      </c>
      <c r="D337" s="479" t="s">
        <v>1112</v>
      </c>
      <c r="E337" s="118" t="s">
        <v>1111</v>
      </c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476"/>
      <c r="R337" s="116">
        <v>1</v>
      </c>
    </row>
    <row r="338" spans="1:18" ht="21.2" customHeight="1">
      <c r="A338" s="475"/>
      <c r="B338" s="118" t="s">
        <v>1113</v>
      </c>
      <c r="C338" s="480">
        <f>C337</f>
        <v>11251</v>
      </c>
      <c r="D338" s="118" t="str">
        <f>D337</f>
        <v>/</v>
      </c>
      <c r="E338" s="134">
        <f>O334</f>
        <v>28.6</v>
      </c>
      <c r="F338" s="109" t="s">
        <v>1582</v>
      </c>
      <c r="G338" s="481">
        <f>TRUNC(C338/E338)</f>
        <v>393</v>
      </c>
      <c r="H338" s="109"/>
      <c r="I338" s="109"/>
      <c r="J338" s="109"/>
      <c r="K338" s="109"/>
      <c r="L338" s="109"/>
      <c r="M338" s="109"/>
      <c r="N338" s="109"/>
      <c r="O338" s="109"/>
      <c r="P338" s="109"/>
      <c r="Q338" s="476"/>
      <c r="R338" s="116">
        <v>1</v>
      </c>
    </row>
    <row r="339" spans="1:18" ht="21.2" customHeight="1">
      <c r="A339" s="475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476"/>
      <c r="R339" s="116">
        <v>1</v>
      </c>
    </row>
    <row r="340" spans="1:18" ht="21.2" customHeight="1">
      <c r="A340" s="475" t="s">
        <v>1115</v>
      </c>
      <c r="B340" s="109" t="s">
        <v>1582</v>
      </c>
      <c r="C340" s="480">
        <f>중기사용료!$M$87</f>
        <v>27168</v>
      </c>
      <c r="D340" s="479" t="s">
        <v>1112</v>
      </c>
      <c r="E340" s="118" t="s">
        <v>1111</v>
      </c>
      <c r="F340" s="118"/>
      <c r="G340" s="118"/>
      <c r="H340" s="109"/>
      <c r="I340" s="109"/>
      <c r="J340" s="109"/>
      <c r="K340" s="109"/>
      <c r="L340" s="109"/>
      <c r="M340" s="109"/>
      <c r="N340" s="109"/>
      <c r="O340" s="109"/>
      <c r="P340" s="109"/>
      <c r="Q340" s="476"/>
      <c r="R340" s="116">
        <v>1</v>
      </c>
    </row>
    <row r="341" spans="1:18" ht="21.2" customHeight="1">
      <c r="A341" s="475"/>
      <c r="B341" s="118" t="s">
        <v>1113</v>
      </c>
      <c r="C341" s="480">
        <f>C340</f>
        <v>27168</v>
      </c>
      <c r="D341" s="479" t="str">
        <f>D340</f>
        <v>/</v>
      </c>
      <c r="E341" s="134">
        <f>O334</f>
        <v>28.6</v>
      </c>
      <c r="F341" s="118" t="s">
        <v>1582</v>
      </c>
      <c r="G341" s="481">
        <f>TRUNC(C341/E341)</f>
        <v>949</v>
      </c>
      <c r="H341" s="109"/>
      <c r="I341" s="109"/>
      <c r="J341" s="109"/>
      <c r="K341" s="109"/>
      <c r="L341" s="109"/>
      <c r="M341" s="109"/>
      <c r="N341" s="109"/>
      <c r="O341" s="109"/>
      <c r="P341" s="109"/>
      <c r="Q341" s="476"/>
      <c r="R341" s="116">
        <v>1</v>
      </c>
    </row>
    <row r="342" spans="1:18" ht="21.2" customHeight="1">
      <c r="A342" s="475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476"/>
      <c r="R342" s="116">
        <v>1</v>
      </c>
    </row>
    <row r="343" spans="1:18" ht="21.2" customHeight="1">
      <c r="A343" s="475" t="s">
        <v>1116</v>
      </c>
      <c r="B343" s="118" t="s">
        <v>1582</v>
      </c>
      <c r="C343" s="480">
        <f>중기사용료!$M$93</f>
        <v>6745</v>
      </c>
      <c r="D343" s="479" t="s">
        <v>1112</v>
      </c>
      <c r="E343" s="118" t="s">
        <v>1111</v>
      </c>
      <c r="F343" s="118"/>
      <c r="G343" s="118"/>
      <c r="H343" s="109"/>
      <c r="I343" s="109"/>
      <c r="J343" s="109"/>
      <c r="K343" s="109"/>
      <c r="L343" s="109"/>
      <c r="M343" s="109"/>
      <c r="N343" s="109"/>
      <c r="O343" s="109"/>
      <c r="P343" s="109"/>
      <c r="Q343" s="476"/>
      <c r="R343" s="116">
        <v>1</v>
      </c>
    </row>
    <row r="344" spans="1:18" ht="21.2" customHeight="1">
      <c r="A344" s="475"/>
      <c r="B344" s="118" t="s">
        <v>1113</v>
      </c>
      <c r="C344" s="480">
        <f>C343</f>
        <v>6745</v>
      </c>
      <c r="D344" s="118" t="str">
        <f>D343</f>
        <v>/</v>
      </c>
      <c r="E344" s="134">
        <f>O334</f>
        <v>28.6</v>
      </c>
      <c r="F344" s="118" t="s">
        <v>1582</v>
      </c>
      <c r="G344" s="481">
        <f>TRUNC(C344/E344)</f>
        <v>235</v>
      </c>
      <c r="H344" s="109"/>
      <c r="I344" s="109"/>
      <c r="J344" s="109"/>
      <c r="K344" s="109"/>
      <c r="L344" s="109"/>
      <c r="M344" s="109"/>
      <c r="N344" s="109"/>
      <c r="O344" s="109"/>
      <c r="P344" s="109"/>
      <c r="Q344" s="476"/>
      <c r="R344" s="116">
        <v>1</v>
      </c>
    </row>
    <row r="345" spans="1:18" ht="21.2" customHeight="1">
      <c r="A345" s="475"/>
      <c r="B345" s="109"/>
      <c r="C345" s="109"/>
      <c r="D345" s="109"/>
      <c r="E345" s="109"/>
      <c r="F345" s="109"/>
      <c r="G345" s="109"/>
      <c r="H345" s="118" t="s">
        <v>1117</v>
      </c>
      <c r="I345" s="118" t="s">
        <v>1118</v>
      </c>
      <c r="J345" s="118" t="s">
        <v>1113</v>
      </c>
      <c r="K345" s="797">
        <f>G338+G341+G344</f>
        <v>1577</v>
      </c>
      <c r="L345" s="797"/>
      <c r="M345" s="797"/>
      <c r="N345" s="118" t="s">
        <v>1119</v>
      </c>
      <c r="O345" s="109"/>
      <c r="P345" s="109"/>
      <c r="Q345" s="476"/>
      <c r="R345" s="116">
        <v>1</v>
      </c>
    </row>
    <row r="346" spans="1:18" ht="21.2" customHeight="1">
      <c r="A346" s="475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476"/>
      <c r="R346" s="116">
        <v>1</v>
      </c>
    </row>
    <row r="347" spans="1:18" ht="21.2" customHeight="1">
      <c r="A347" s="475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476"/>
      <c r="R347" s="116">
        <v>1</v>
      </c>
    </row>
    <row r="348" spans="1:18" ht="21.2" customHeight="1">
      <c r="A348" s="475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476"/>
      <c r="R348" s="116">
        <v>1</v>
      </c>
    </row>
    <row r="349" spans="1:18" ht="21.2" customHeight="1">
      <c r="A349" s="475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476"/>
      <c r="R349" s="116">
        <v>1</v>
      </c>
    </row>
    <row r="350" spans="1:18" ht="21.2" customHeight="1">
      <c r="A350" s="475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476"/>
      <c r="R350" s="116">
        <v>1</v>
      </c>
    </row>
    <row r="351" spans="1:18" ht="21.2" customHeight="1">
      <c r="A351" s="482"/>
      <c r="B351" s="136"/>
      <c r="C351" s="136"/>
      <c r="D351" s="136"/>
      <c r="E351" s="136"/>
      <c r="F351" s="136"/>
      <c r="G351" s="136"/>
      <c r="H351" s="136"/>
      <c r="I351" s="136"/>
      <c r="J351" s="136"/>
      <c r="K351" s="136"/>
      <c r="L351" s="136"/>
      <c r="M351" s="136"/>
      <c r="N351" s="136"/>
      <c r="O351" s="136"/>
      <c r="P351" s="136"/>
      <c r="Q351" s="483"/>
      <c r="R351" s="116">
        <v>1</v>
      </c>
    </row>
    <row r="352" spans="1:18" ht="21.2" customHeight="1">
      <c r="R352" s="116">
        <v>1</v>
      </c>
    </row>
    <row r="353" spans="1:18" s="472" customFormat="1" ht="21.2" customHeight="1">
      <c r="A353" s="796" t="s">
        <v>817</v>
      </c>
      <c r="B353" s="796"/>
      <c r="C353" s="796"/>
      <c r="D353" s="796"/>
      <c r="E353" s="796"/>
      <c r="F353" s="796"/>
      <c r="G353" s="796"/>
      <c r="H353" s="796"/>
      <c r="I353" s="796"/>
      <c r="J353" s="796"/>
      <c r="K353" s="796"/>
      <c r="L353" s="796"/>
      <c r="M353" s="796"/>
      <c r="N353" s="796"/>
      <c r="O353" s="796"/>
      <c r="P353" s="796"/>
      <c r="Q353" s="796"/>
      <c r="R353" s="116">
        <v>1</v>
      </c>
    </row>
    <row r="354" spans="1:18" ht="21.2" customHeight="1">
      <c r="A354" s="473" t="s">
        <v>1437</v>
      </c>
      <c r="B354" s="142" t="s">
        <v>1526</v>
      </c>
      <c r="C354" s="125" t="s">
        <v>1</v>
      </c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  <c r="Q354" s="474"/>
      <c r="R354" s="116">
        <v>1</v>
      </c>
    </row>
    <row r="355" spans="1:18" ht="21.2" customHeight="1">
      <c r="A355" s="475" t="s">
        <v>1100</v>
      </c>
      <c r="B355" s="118" t="s">
        <v>1526</v>
      </c>
      <c r="C355" s="800" t="s">
        <v>4020</v>
      </c>
      <c r="D355" s="800"/>
      <c r="E355" s="800"/>
      <c r="F355" s="800"/>
      <c r="G355" s="109" t="s">
        <v>1527</v>
      </c>
      <c r="H355" s="109" t="s">
        <v>1526</v>
      </c>
      <c r="I355" s="109" t="s">
        <v>448</v>
      </c>
      <c r="J355" s="109"/>
      <c r="K355" s="109"/>
      <c r="L355" s="109"/>
      <c r="M355" s="109"/>
      <c r="N355" s="109"/>
      <c r="O355" s="109"/>
      <c r="P355" s="109"/>
      <c r="Q355" s="476"/>
      <c r="R355" s="116">
        <v>1</v>
      </c>
    </row>
    <row r="356" spans="1:18" ht="21.2" customHeight="1">
      <c r="A356" s="477">
        <f>A321+1</f>
        <v>11</v>
      </c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476"/>
      <c r="R356" s="116">
        <v>1</v>
      </c>
    </row>
    <row r="357" spans="1:18" ht="21.2" customHeight="1">
      <c r="A357" s="473" t="s">
        <v>1102</v>
      </c>
      <c r="B357" s="125"/>
      <c r="C357" s="125" t="s">
        <v>4024</v>
      </c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474"/>
      <c r="R357" s="116">
        <v>1</v>
      </c>
    </row>
    <row r="358" spans="1:18" ht="21.2" customHeight="1">
      <c r="A358" s="475" t="s">
        <v>1103</v>
      </c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476"/>
      <c r="R358" s="116">
        <v>1</v>
      </c>
    </row>
    <row r="359" spans="1:18" ht="21.2" customHeight="1">
      <c r="A359" s="475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476"/>
      <c r="R359" s="116">
        <v>1</v>
      </c>
    </row>
    <row r="360" spans="1:18" ht="21.2" customHeight="1">
      <c r="A360" s="473" t="s">
        <v>1104</v>
      </c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  <c r="Q360" s="474"/>
      <c r="R360" s="116">
        <v>1</v>
      </c>
    </row>
    <row r="361" spans="1:18" ht="21.2" customHeight="1">
      <c r="A361" s="475" t="s">
        <v>1105</v>
      </c>
      <c r="B361" s="118" t="s">
        <v>1582</v>
      </c>
      <c r="C361" s="478">
        <v>0.4</v>
      </c>
      <c r="D361" s="109" t="s">
        <v>1106</v>
      </c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476"/>
      <c r="R361" s="116">
        <v>1</v>
      </c>
    </row>
    <row r="362" spans="1:18" ht="21.2" customHeight="1">
      <c r="A362" s="475" t="s">
        <v>1107</v>
      </c>
      <c r="B362" s="118" t="s">
        <v>1582</v>
      </c>
      <c r="C362" s="478">
        <v>1.1000000000000001</v>
      </c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476"/>
      <c r="R362" s="116">
        <v>1</v>
      </c>
    </row>
    <row r="363" spans="1:18" ht="21.2" customHeight="1">
      <c r="A363" s="475" t="s">
        <v>1108</v>
      </c>
      <c r="B363" s="118" t="s">
        <v>1582</v>
      </c>
      <c r="C363" s="478">
        <v>1</v>
      </c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476"/>
      <c r="R363" s="116">
        <v>1</v>
      </c>
    </row>
    <row r="364" spans="1:18" ht="21.2" customHeight="1">
      <c r="A364" s="475" t="s">
        <v>1109</v>
      </c>
      <c r="B364" s="118" t="s">
        <v>1582</v>
      </c>
      <c r="C364" s="478">
        <v>0.65</v>
      </c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476"/>
      <c r="R364" s="116">
        <v>1</v>
      </c>
    </row>
    <row r="365" spans="1:18" ht="21.2" customHeight="1">
      <c r="A365" s="475" t="s">
        <v>1583</v>
      </c>
      <c r="B365" s="118" t="s">
        <v>1582</v>
      </c>
      <c r="C365" s="478">
        <v>18</v>
      </c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476"/>
      <c r="R365" s="116">
        <v>1</v>
      </c>
    </row>
    <row r="366" spans="1:18" ht="21.2" customHeight="1">
      <c r="A366" s="475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476"/>
      <c r="R366" s="116">
        <v>1</v>
      </c>
    </row>
    <row r="367" spans="1:18" ht="21.2" customHeight="1">
      <c r="A367" s="473" t="s">
        <v>1110</v>
      </c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474"/>
      <c r="R367" s="116">
        <v>1</v>
      </c>
    </row>
    <row r="368" spans="1:18" ht="21.2" customHeight="1">
      <c r="A368" s="475" t="s">
        <v>1111</v>
      </c>
      <c r="B368" s="118" t="s">
        <v>1582</v>
      </c>
      <c r="C368" s="118">
        <v>3600</v>
      </c>
      <c r="D368" s="118" t="s">
        <v>86</v>
      </c>
      <c r="E368" s="118" t="s">
        <v>1105</v>
      </c>
      <c r="F368" s="118" t="s">
        <v>86</v>
      </c>
      <c r="G368" s="118" t="s">
        <v>1107</v>
      </c>
      <c r="H368" s="118" t="s">
        <v>86</v>
      </c>
      <c r="I368" s="118" t="s">
        <v>1108</v>
      </c>
      <c r="J368" s="118" t="s">
        <v>86</v>
      </c>
      <c r="K368" s="118" t="s">
        <v>1109</v>
      </c>
      <c r="L368" s="479" t="s">
        <v>1112</v>
      </c>
      <c r="M368" s="118" t="s">
        <v>1583</v>
      </c>
      <c r="N368" s="707" t="s">
        <v>4025</v>
      </c>
      <c r="O368" s="109"/>
      <c r="P368" s="109"/>
      <c r="Q368" s="476"/>
      <c r="R368" s="116">
        <v>1</v>
      </c>
    </row>
    <row r="369" spans="1:18" ht="21.2" customHeight="1">
      <c r="A369" s="475"/>
      <c r="B369" s="118" t="s">
        <v>1113</v>
      </c>
      <c r="C369" s="118">
        <f>C368</f>
        <v>3600</v>
      </c>
      <c r="D369" s="118" t="str">
        <f>D368</f>
        <v>*</v>
      </c>
      <c r="E369" s="275">
        <f>C361</f>
        <v>0.4</v>
      </c>
      <c r="F369" s="118" t="str">
        <f>F368</f>
        <v>*</v>
      </c>
      <c r="G369" s="275">
        <f>C362</f>
        <v>1.1000000000000001</v>
      </c>
      <c r="H369" s="118" t="str">
        <f>H368</f>
        <v>*</v>
      </c>
      <c r="I369" s="275">
        <f>C363</f>
        <v>1</v>
      </c>
      <c r="J369" s="118" t="str">
        <f>J368</f>
        <v>*</v>
      </c>
      <c r="K369" s="275">
        <f>C364</f>
        <v>0.65</v>
      </c>
      <c r="L369" s="118" t="str">
        <f>L368</f>
        <v>/</v>
      </c>
      <c r="M369" s="275">
        <f>C365</f>
        <v>18</v>
      </c>
      <c r="N369" s="118" t="s">
        <v>1582</v>
      </c>
      <c r="O369" s="134">
        <f>TRUNC((C369*E369*G369*I369*K369/M369),2)</f>
        <v>57.2</v>
      </c>
      <c r="P369" s="109"/>
      <c r="Q369" s="476"/>
      <c r="R369" s="116">
        <v>1</v>
      </c>
    </row>
    <row r="370" spans="1:18" ht="21.2" customHeight="1">
      <c r="A370" s="475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476"/>
      <c r="R370" s="116">
        <v>1</v>
      </c>
    </row>
    <row r="371" spans="1:18" ht="21.2" customHeight="1">
      <c r="A371" s="473" t="s">
        <v>1114</v>
      </c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474"/>
      <c r="R371" s="116">
        <v>1</v>
      </c>
    </row>
    <row r="372" spans="1:18" ht="21.2" customHeight="1">
      <c r="A372" s="475" t="s">
        <v>1436</v>
      </c>
      <c r="B372" s="109" t="s">
        <v>1582</v>
      </c>
      <c r="C372" s="480">
        <f>중기사용료!$M$100</f>
        <v>12514</v>
      </c>
      <c r="D372" s="479" t="s">
        <v>1112</v>
      </c>
      <c r="E372" s="118" t="s">
        <v>1111</v>
      </c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476"/>
      <c r="R372" s="116">
        <v>1</v>
      </c>
    </row>
    <row r="373" spans="1:18" ht="21.2" customHeight="1">
      <c r="A373" s="475"/>
      <c r="B373" s="118" t="s">
        <v>1113</v>
      </c>
      <c r="C373" s="480">
        <f>C372</f>
        <v>12514</v>
      </c>
      <c r="D373" s="118" t="str">
        <f>D372</f>
        <v>/</v>
      </c>
      <c r="E373" s="134">
        <f>O369</f>
        <v>57.2</v>
      </c>
      <c r="F373" s="109" t="s">
        <v>1582</v>
      </c>
      <c r="G373" s="481">
        <f>TRUNC(C373/E373)</f>
        <v>218</v>
      </c>
      <c r="H373" s="109"/>
      <c r="I373" s="109"/>
      <c r="J373" s="109"/>
      <c r="K373" s="109"/>
      <c r="L373" s="109"/>
      <c r="M373" s="109"/>
      <c r="N373" s="109"/>
      <c r="O373" s="109"/>
      <c r="P373" s="109"/>
      <c r="Q373" s="476"/>
      <c r="R373" s="116">
        <v>1</v>
      </c>
    </row>
    <row r="374" spans="1:18" ht="21.2" customHeight="1">
      <c r="A374" s="475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476"/>
      <c r="R374" s="116">
        <v>1</v>
      </c>
    </row>
    <row r="375" spans="1:18" ht="21.2" customHeight="1">
      <c r="A375" s="475" t="s">
        <v>1115</v>
      </c>
      <c r="B375" s="109" t="s">
        <v>1582</v>
      </c>
      <c r="C375" s="480">
        <f>중기사용료!$M$106</f>
        <v>27168</v>
      </c>
      <c r="D375" s="479" t="s">
        <v>1112</v>
      </c>
      <c r="E375" s="118" t="s">
        <v>1111</v>
      </c>
      <c r="F375" s="118"/>
      <c r="G375" s="118"/>
      <c r="H375" s="109"/>
      <c r="I375" s="109"/>
      <c r="J375" s="109"/>
      <c r="K375" s="109"/>
      <c r="L375" s="109"/>
      <c r="M375" s="109"/>
      <c r="N375" s="109"/>
      <c r="O375" s="109"/>
      <c r="P375" s="109"/>
      <c r="Q375" s="476"/>
      <c r="R375" s="116">
        <v>1</v>
      </c>
    </row>
    <row r="376" spans="1:18" ht="21.2" customHeight="1">
      <c r="A376" s="475"/>
      <c r="B376" s="118" t="s">
        <v>1113</v>
      </c>
      <c r="C376" s="480">
        <f>C375</f>
        <v>27168</v>
      </c>
      <c r="D376" s="479" t="str">
        <f>D375</f>
        <v>/</v>
      </c>
      <c r="E376" s="134">
        <f>O369</f>
        <v>57.2</v>
      </c>
      <c r="F376" s="118" t="s">
        <v>1582</v>
      </c>
      <c r="G376" s="481">
        <f>TRUNC(C376/E376)</f>
        <v>474</v>
      </c>
      <c r="H376" s="109"/>
      <c r="I376" s="109"/>
      <c r="J376" s="109"/>
      <c r="K376" s="109"/>
      <c r="L376" s="109"/>
      <c r="M376" s="109"/>
      <c r="N376" s="109"/>
      <c r="O376" s="109"/>
      <c r="P376" s="109"/>
      <c r="Q376" s="476"/>
      <c r="R376" s="116">
        <v>1</v>
      </c>
    </row>
    <row r="377" spans="1:18" ht="21.2" customHeight="1">
      <c r="A377" s="475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476"/>
      <c r="R377" s="116">
        <v>1</v>
      </c>
    </row>
    <row r="378" spans="1:18" ht="21.2" customHeight="1">
      <c r="A378" s="475" t="s">
        <v>1116</v>
      </c>
      <c r="B378" s="118" t="s">
        <v>1582</v>
      </c>
      <c r="C378" s="480">
        <f>중기사용료!$M$112</f>
        <v>13465</v>
      </c>
      <c r="D378" s="479" t="s">
        <v>1112</v>
      </c>
      <c r="E378" s="118" t="s">
        <v>1111</v>
      </c>
      <c r="F378" s="118"/>
      <c r="G378" s="118"/>
      <c r="H378" s="109"/>
      <c r="I378" s="109"/>
      <c r="J378" s="109"/>
      <c r="K378" s="109"/>
      <c r="L378" s="109"/>
      <c r="M378" s="109"/>
      <c r="N378" s="109"/>
      <c r="O378" s="109"/>
      <c r="P378" s="109"/>
      <c r="Q378" s="476"/>
      <c r="R378" s="116">
        <v>1</v>
      </c>
    </row>
    <row r="379" spans="1:18" ht="21.2" customHeight="1">
      <c r="A379" s="475"/>
      <c r="B379" s="118" t="s">
        <v>1113</v>
      </c>
      <c r="C379" s="480">
        <f>C378</f>
        <v>13465</v>
      </c>
      <c r="D379" s="118" t="str">
        <f>D378</f>
        <v>/</v>
      </c>
      <c r="E379" s="134">
        <f>O369</f>
        <v>57.2</v>
      </c>
      <c r="F379" s="118" t="s">
        <v>1582</v>
      </c>
      <c r="G379" s="481">
        <f>TRUNC(C379/E379)</f>
        <v>235</v>
      </c>
      <c r="H379" s="109"/>
      <c r="I379" s="109"/>
      <c r="J379" s="109"/>
      <c r="K379" s="109"/>
      <c r="L379" s="109"/>
      <c r="M379" s="109"/>
      <c r="N379" s="109"/>
      <c r="O379" s="109"/>
      <c r="P379" s="109"/>
      <c r="Q379" s="476"/>
      <c r="R379" s="116">
        <v>1</v>
      </c>
    </row>
    <row r="380" spans="1:18" ht="21.2" customHeight="1">
      <c r="A380" s="475"/>
      <c r="B380" s="109"/>
      <c r="C380" s="109"/>
      <c r="D380" s="109"/>
      <c r="E380" s="109"/>
      <c r="F380" s="109"/>
      <c r="G380" s="109"/>
      <c r="H380" s="118" t="s">
        <v>1117</v>
      </c>
      <c r="I380" s="118" t="s">
        <v>1118</v>
      </c>
      <c r="J380" s="118" t="s">
        <v>1113</v>
      </c>
      <c r="K380" s="797">
        <f>G373+G376+G379</f>
        <v>927</v>
      </c>
      <c r="L380" s="797"/>
      <c r="M380" s="797"/>
      <c r="N380" s="118" t="s">
        <v>1119</v>
      </c>
      <c r="O380" s="109"/>
      <c r="P380" s="109"/>
      <c r="Q380" s="476"/>
      <c r="R380" s="116">
        <v>1</v>
      </c>
    </row>
    <row r="381" spans="1:18" ht="21.2" customHeight="1">
      <c r="A381" s="475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476"/>
      <c r="R381" s="116">
        <v>1</v>
      </c>
    </row>
    <row r="382" spans="1:18" ht="21.2" customHeight="1">
      <c r="A382" s="475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476"/>
      <c r="R382" s="116">
        <v>1</v>
      </c>
    </row>
    <row r="383" spans="1:18" ht="21.2" customHeight="1">
      <c r="A383" s="475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476"/>
      <c r="R383" s="116">
        <v>1</v>
      </c>
    </row>
    <row r="384" spans="1:18" ht="21.2" customHeight="1">
      <c r="A384" s="475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476"/>
      <c r="R384" s="116">
        <v>1</v>
      </c>
    </row>
    <row r="385" spans="1:18" ht="21.2" customHeight="1">
      <c r="A385" s="475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476"/>
      <c r="R385" s="116">
        <v>1</v>
      </c>
    </row>
    <row r="386" spans="1:18" ht="21.2" customHeight="1">
      <c r="A386" s="482"/>
      <c r="B386" s="136"/>
      <c r="C386" s="136"/>
      <c r="D386" s="136"/>
      <c r="E386" s="136"/>
      <c r="F386" s="136"/>
      <c r="G386" s="136"/>
      <c r="H386" s="136"/>
      <c r="I386" s="136"/>
      <c r="J386" s="136"/>
      <c r="K386" s="136"/>
      <c r="L386" s="136"/>
      <c r="M386" s="136"/>
      <c r="N386" s="136"/>
      <c r="O386" s="136"/>
      <c r="P386" s="136"/>
      <c r="Q386" s="483"/>
      <c r="R386" s="116">
        <v>1</v>
      </c>
    </row>
    <row r="387" spans="1:18" ht="21.2" customHeight="1">
      <c r="R387" s="116">
        <v>1</v>
      </c>
    </row>
    <row r="388" spans="1:18" s="472" customFormat="1" ht="21.2" customHeight="1">
      <c r="A388" s="796" t="s">
        <v>817</v>
      </c>
      <c r="B388" s="796"/>
      <c r="C388" s="796"/>
      <c r="D388" s="796"/>
      <c r="E388" s="796"/>
      <c r="F388" s="796"/>
      <c r="G388" s="796"/>
      <c r="H388" s="796"/>
      <c r="I388" s="796"/>
      <c r="J388" s="796"/>
      <c r="K388" s="796"/>
      <c r="L388" s="796"/>
      <c r="M388" s="796"/>
      <c r="N388" s="796"/>
      <c r="O388" s="796"/>
      <c r="P388" s="796"/>
      <c r="Q388" s="796"/>
      <c r="R388" s="116">
        <v>1</v>
      </c>
    </row>
    <row r="389" spans="1:18" ht="21.2" customHeight="1">
      <c r="A389" s="473" t="s">
        <v>1437</v>
      </c>
      <c r="B389" s="142" t="s">
        <v>1526</v>
      </c>
      <c r="C389" s="125" t="s">
        <v>1</v>
      </c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474"/>
      <c r="R389" s="116">
        <v>1</v>
      </c>
    </row>
    <row r="390" spans="1:18" ht="21.2" customHeight="1">
      <c r="A390" s="475" t="s">
        <v>1100</v>
      </c>
      <c r="B390" s="118" t="s">
        <v>1526</v>
      </c>
      <c r="C390" s="800" t="s">
        <v>4020</v>
      </c>
      <c r="D390" s="800"/>
      <c r="E390" s="800"/>
      <c r="F390" s="800"/>
      <c r="G390" s="109" t="s">
        <v>1527</v>
      </c>
      <c r="H390" s="109" t="s">
        <v>1526</v>
      </c>
      <c r="I390" s="754" t="s">
        <v>841</v>
      </c>
      <c r="J390" s="109" t="s">
        <v>3222</v>
      </c>
      <c r="K390" s="109"/>
      <c r="L390" s="109"/>
      <c r="M390" s="109"/>
      <c r="N390" s="109"/>
      <c r="O390" s="109"/>
      <c r="P390" s="109"/>
      <c r="Q390" s="476"/>
      <c r="R390" s="116">
        <v>1</v>
      </c>
    </row>
    <row r="391" spans="1:18" ht="21.2" customHeight="1">
      <c r="A391" s="477">
        <f>A356+1</f>
        <v>12</v>
      </c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476"/>
      <c r="R391" s="116">
        <v>1</v>
      </c>
    </row>
    <row r="392" spans="1:18" ht="21.2" customHeight="1">
      <c r="A392" s="473" t="s">
        <v>1102</v>
      </c>
      <c r="B392" s="125"/>
      <c r="C392" s="125" t="s">
        <v>4024</v>
      </c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474"/>
      <c r="R392" s="116">
        <v>1</v>
      </c>
    </row>
    <row r="393" spans="1:18" ht="21.2" customHeight="1">
      <c r="A393" s="475" t="s">
        <v>1103</v>
      </c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476"/>
      <c r="R393" s="116">
        <v>1</v>
      </c>
    </row>
    <row r="394" spans="1:18" ht="21.2" customHeight="1">
      <c r="A394" s="475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476"/>
      <c r="R394" s="116">
        <v>1</v>
      </c>
    </row>
    <row r="395" spans="1:18" ht="21.2" customHeight="1">
      <c r="A395" s="473" t="s">
        <v>1104</v>
      </c>
      <c r="B395" s="125"/>
      <c r="C395" s="125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474"/>
      <c r="R395" s="116">
        <v>1</v>
      </c>
    </row>
    <row r="396" spans="1:18" ht="21.2" customHeight="1">
      <c r="A396" s="475" t="s">
        <v>1105</v>
      </c>
      <c r="B396" s="118" t="s">
        <v>1582</v>
      </c>
      <c r="C396" s="478">
        <v>0.7</v>
      </c>
      <c r="D396" s="109" t="s">
        <v>1106</v>
      </c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476"/>
      <c r="R396" s="116">
        <v>1</v>
      </c>
    </row>
    <row r="397" spans="1:18" ht="21.2" customHeight="1">
      <c r="A397" s="475" t="s">
        <v>1107</v>
      </c>
      <c r="B397" s="118" t="s">
        <v>1582</v>
      </c>
      <c r="C397" s="478">
        <v>1.1000000000000001</v>
      </c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476"/>
      <c r="R397" s="116">
        <v>1</v>
      </c>
    </row>
    <row r="398" spans="1:18" ht="21.2" customHeight="1">
      <c r="A398" s="475" t="s">
        <v>1108</v>
      </c>
      <c r="B398" s="118" t="s">
        <v>1582</v>
      </c>
      <c r="C398" s="478">
        <v>1</v>
      </c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476"/>
      <c r="R398" s="116">
        <v>1</v>
      </c>
    </row>
    <row r="399" spans="1:18" ht="21.2" customHeight="1">
      <c r="A399" s="475" t="s">
        <v>1109</v>
      </c>
      <c r="B399" s="118" t="s">
        <v>1582</v>
      </c>
      <c r="C399" s="478">
        <v>0.65</v>
      </c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476"/>
      <c r="R399" s="116">
        <v>1</v>
      </c>
    </row>
    <row r="400" spans="1:18" ht="21.2" customHeight="1">
      <c r="A400" s="475" t="s">
        <v>1583</v>
      </c>
      <c r="B400" s="118" t="s">
        <v>1582</v>
      </c>
      <c r="C400" s="478">
        <v>20</v>
      </c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476"/>
      <c r="R400" s="116">
        <v>1</v>
      </c>
    </row>
    <row r="401" spans="1:18" ht="21.2" customHeight="1">
      <c r="A401" s="475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476"/>
      <c r="R401" s="116">
        <v>1</v>
      </c>
    </row>
    <row r="402" spans="1:18" ht="21.2" customHeight="1">
      <c r="A402" s="473" t="s">
        <v>1110</v>
      </c>
      <c r="B402" s="125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474"/>
      <c r="R402" s="116">
        <v>1</v>
      </c>
    </row>
    <row r="403" spans="1:18" ht="21.2" customHeight="1">
      <c r="A403" s="475" t="s">
        <v>1111</v>
      </c>
      <c r="B403" s="118" t="s">
        <v>1582</v>
      </c>
      <c r="C403" s="118">
        <v>3600</v>
      </c>
      <c r="D403" s="118" t="s">
        <v>86</v>
      </c>
      <c r="E403" s="118" t="s">
        <v>1105</v>
      </c>
      <c r="F403" s="118" t="s">
        <v>86</v>
      </c>
      <c r="G403" s="118" t="s">
        <v>1107</v>
      </c>
      <c r="H403" s="118" t="s">
        <v>86</v>
      </c>
      <c r="I403" s="118" t="s">
        <v>1108</v>
      </c>
      <c r="J403" s="118" t="s">
        <v>86</v>
      </c>
      <c r="K403" s="118" t="s">
        <v>1109</v>
      </c>
      <c r="L403" s="479" t="s">
        <v>1112</v>
      </c>
      <c r="M403" s="118" t="s">
        <v>1583</v>
      </c>
      <c r="N403" s="707" t="s">
        <v>4025</v>
      </c>
      <c r="O403" s="109"/>
      <c r="P403" s="109"/>
      <c r="Q403" s="476"/>
      <c r="R403" s="116">
        <v>1</v>
      </c>
    </row>
    <row r="404" spans="1:18" ht="21.2" customHeight="1">
      <c r="A404" s="475"/>
      <c r="B404" s="118" t="s">
        <v>1113</v>
      </c>
      <c r="C404" s="118">
        <f>C403</f>
        <v>3600</v>
      </c>
      <c r="D404" s="118" t="str">
        <f>D403</f>
        <v>*</v>
      </c>
      <c r="E404" s="275">
        <f>C396</f>
        <v>0.7</v>
      </c>
      <c r="F404" s="118" t="str">
        <f>F403</f>
        <v>*</v>
      </c>
      <c r="G404" s="275">
        <f>C397</f>
        <v>1.1000000000000001</v>
      </c>
      <c r="H404" s="118" t="str">
        <f>H403</f>
        <v>*</v>
      </c>
      <c r="I404" s="275">
        <f>C398</f>
        <v>1</v>
      </c>
      <c r="J404" s="118" t="str">
        <f>J403</f>
        <v>*</v>
      </c>
      <c r="K404" s="275">
        <f>C399</f>
        <v>0.65</v>
      </c>
      <c r="L404" s="118" t="str">
        <f>L403</f>
        <v>/</v>
      </c>
      <c r="M404" s="275">
        <f>C400</f>
        <v>20</v>
      </c>
      <c r="N404" s="118" t="s">
        <v>1582</v>
      </c>
      <c r="O404" s="134">
        <f>TRUNC((C404*E404*G404*I404*K404/M404),2)</f>
        <v>90.09</v>
      </c>
      <c r="P404" s="109"/>
      <c r="Q404" s="476"/>
      <c r="R404" s="116">
        <v>1</v>
      </c>
    </row>
    <row r="405" spans="1:18" ht="21.2" customHeight="1">
      <c r="A405" s="475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476"/>
      <c r="R405" s="116">
        <v>1</v>
      </c>
    </row>
    <row r="406" spans="1:18" ht="21.2" customHeight="1">
      <c r="A406" s="473" t="s">
        <v>1114</v>
      </c>
      <c r="B406" s="125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474"/>
      <c r="R406" s="116">
        <v>1</v>
      </c>
    </row>
    <row r="407" spans="1:18" ht="21.2" customHeight="1">
      <c r="A407" s="475" t="s">
        <v>1436</v>
      </c>
      <c r="B407" s="109" t="s">
        <v>1582</v>
      </c>
      <c r="C407" s="480">
        <f>중기사용료!$M$195</f>
        <v>21622</v>
      </c>
      <c r="D407" s="479" t="s">
        <v>1112</v>
      </c>
      <c r="E407" s="118" t="s">
        <v>1111</v>
      </c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476"/>
      <c r="R407" s="116">
        <v>1</v>
      </c>
    </row>
    <row r="408" spans="1:18" ht="21.2" customHeight="1">
      <c r="A408" s="475"/>
      <c r="B408" s="118" t="s">
        <v>1113</v>
      </c>
      <c r="C408" s="480">
        <f>C407</f>
        <v>21622</v>
      </c>
      <c r="D408" s="118" t="str">
        <f>D407</f>
        <v>/</v>
      </c>
      <c r="E408" s="134">
        <f>O404</f>
        <v>90.09</v>
      </c>
      <c r="F408" s="109" t="s">
        <v>1582</v>
      </c>
      <c r="G408" s="481">
        <f>TRUNC(C408/E408)</f>
        <v>240</v>
      </c>
      <c r="H408" s="109"/>
      <c r="I408" s="109"/>
      <c r="J408" s="109"/>
      <c r="K408" s="109"/>
      <c r="L408" s="109"/>
      <c r="M408" s="109"/>
      <c r="N408" s="109"/>
      <c r="O408" s="109"/>
      <c r="P408" s="109"/>
      <c r="Q408" s="476"/>
      <c r="R408" s="116">
        <v>1</v>
      </c>
    </row>
    <row r="409" spans="1:18" ht="21.2" customHeight="1">
      <c r="A409" s="475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476"/>
      <c r="R409" s="116">
        <v>1</v>
      </c>
    </row>
    <row r="410" spans="1:18" ht="21.2" customHeight="1">
      <c r="A410" s="475" t="s">
        <v>1115</v>
      </c>
      <c r="B410" s="109" t="s">
        <v>1582</v>
      </c>
      <c r="C410" s="480">
        <f>중기사용료!$M$201</f>
        <v>27168</v>
      </c>
      <c r="D410" s="479" t="s">
        <v>1112</v>
      </c>
      <c r="E410" s="118" t="s">
        <v>1111</v>
      </c>
      <c r="F410" s="118"/>
      <c r="G410" s="118"/>
      <c r="H410" s="109"/>
      <c r="I410" s="109"/>
      <c r="J410" s="109"/>
      <c r="K410" s="109"/>
      <c r="L410" s="109"/>
      <c r="M410" s="109"/>
      <c r="N410" s="109"/>
      <c r="O410" s="109"/>
      <c r="P410" s="109"/>
      <c r="Q410" s="476"/>
      <c r="R410" s="116">
        <v>1</v>
      </c>
    </row>
    <row r="411" spans="1:18" ht="21.2" customHeight="1">
      <c r="A411" s="475"/>
      <c r="B411" s="118" t="s">
        <v>1113</v>
      </c>
      <c r="C411" s="480">
        <f>C410</f>
        <v>27168</v>
      </c>
      <c r="D411" s="479" t="str">
        <f>D410</f>
        <v>/</v>
      </c>
      <c r="E411" s="134">
        <f>O404</f>
        <v>90.09</v>
      </c>
      <c r="F411" s="118" t="s">
        <v>1582</v>
      </c>
      <c r="G411" s="481">
        <f>TRUNC(C411/E411)</f>
        <v>301</v>
      </c>
      <c r="H411" s="109"/>
      <c r="I411" s="109"/>
      <c r="J411" s="109"/>
      <c r="K411" s="109"/>
      <c r="L411" s="109"/>
      <c r="M411" s="109"/>
      <c r="N411" s="109"/>
      <c r="O411" s="109"/>
      <c r="P411" s="109"/>
      <c r="Q411" s="476"/>
      <c r="R411" s="116">
        <v>1</v>
      </c>
    </row>
    <row r="412" spans="1:18" ht="21.2" customHeight="1">
      <c r="A412" s="475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476"/>
      <c r="R412" s="116">
        <v>1</v>
      </c>
    </row>
    <row r="413" spans="1:18" ht="21.2" customHeight="1">
      <c r="A413" s="475" t="s">
        <v>1116</v>
      </c>
      <c r="B413" s="118" t="s">
        <v>1582</v>
      </c>
      <c r="C413" s="480">
        <f>중기사용료!$M$207</f>
        <v>16036</v>
      </c>
      <c r="D413" s="479" t="s">
        <v>1112</v>
      </c>
      <c r="E413" s="118" t="s">
        <v>1111</v>
      </c>
      <c r="F413" s="118"/>
      <c r="G413" s="118"/>
      <c r="H413" s="109"/>
      <c r="I413" s="109"/>
      <c r="J413" s="109"/>
      <c r="K413" s="109"/>
      <c r="L413" s="109"/>
      <c r="M413" s="109"/>
      <c r="N413" s="109"/>
      <c r="O413" s="109"/>
      <c r="P413" s="109"/>
      <c r="Q413" s="476"/>
      <c r="R413" s="116">
        <v>1</v>
      </c>
    </row>
    <row r="414" spans="1:18" ht="21.2" customHeight="1">
      <c r="A414" s="475"/>
      <c r="B414" s="118" t="s">
        <v>1113</v>
      </c>
      <c r="C414" s="480">
        <f>C413</f>
        <v>16036</v>
      </c>
      <c r="D414" s="118" t="str">
        <f>D413</f>
        <v>/</v>
      </c>
      <c r="E414" s="134">
        <f>O404</f>
        <v>90.09</v>
      </c>
      <c r="F414" s="118" t="s">
        <v>1582</v>
      </c>
      <c r="G414" s="481">
        <f>TRUNC(C414/E414)</f>
        <v>177</v>
      </c>
      <c r="H414" s="109"/>
      <c r="I414" s="109"/>
      <c r="J414" s="109"/>
      <c r="K414" s="109"/>
      <c r="L414" s="109"/>
      <c r="M414" s="109"/>
      <c r="N414" s="109"/>
      <c r="O414" s="109"/>
      <c r="P414" s="109"/>
      <c r="Q414" s="476"/>
      <c r="R414" s="116">
        <v>1</v>
      </c>
    </row>
    <row r="415" spans="1:18" ht="21.2" customHeight="1">
      <c r="A415" s="475"/>
      <c r="B415" s="109"/>
      <c r="C415" s="109"/>
      <c r="D415" s="109"/>
      <c r="E415" s="109"/>
      <c r="F415" s="109"/>
      <c r="G415" s="109"/>
      <c r="H415" s="118" t="s">
        <v>1117</v>
      </c>
      <c r="I415" s="118" t="s">
        <v>1118</v>
      </c>
      <c r="J415" s="118" t="s">
        <v>1113</v>
      </c>
      <c r="K415" s="797">
        <f>G408+G411+G414</f>
        <v>718</v>
      </c>
      <c r="L415" s="797"/>
      <c r="M415" s="797"/>
      <c r="N415" s="118" t="s">
        <v>1119</v>
      </c>
      <c r="O415" s="109"/>
      <c r="P415" s="109"/>
      <c r="Q415" s="476"/>
      <c r="R415" s="116">
        <v>1</v>
      </c>
    </row>
    <row r="416" spans="1:18" ht="21.2" customHeight="1">
      <c r="A416" s="475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476"/>
      <c r="R416" s="116">
        <v>1</v>
      </c>
    </row>
    <row r="417" spans="1:18" ht="21.2" customHeight="1">
      <c r="A417" s="475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476"/>
      <c r="R417" s="116">
        <v>1</v>
      </c>
    </row>
    <row r="418" spans="1:18" ht="21.2" customHeight="1">
      <c r="A418" s="475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476"/>
      <c r="R418" s="116">
        <v>1</v>
      </c>
    </row>
    <row r="419" spans="1:18" ht="21.2" customHeight="1">
      <c r="A419" s="475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476"/>
      <c r="R419" s="116">
        <v>1</v>
      </c>
    </row>
    <row r="420" spans="1:18" ht="21.2" customHeight="1">
      <c r="A420" s="475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476"/>
      <c r="R420" s="116">
        <v>1</v>
      </c>
    </row>
    <row r="421" spans="1:18" ht="21.2" customHeight="1">
      <c r="A421" s="482"/>
      <c r="B421" s="136"/>
      <c r="C421" s="136"/>
      <c r="D421" s="136"/>
      <c r="E421" s="136"/>
      <c r="F421" s="136"/>
      <c r="G421" s="136"/>
      <c r="H421" s="136"/>
      <c r="I421" s="136"/>
      <c r="J421" s="136"/>
      <c r="K421" s="136"/>
      <c r="L421" s="136"/>
      <c r="M421" s="136"/>
      <c r="N421" s="136"/>
      <c r="O421" s="136"/>
      <c r="P421" s="136"/>
      <c r="Q421" s="483"/>
      <c r="R421" s="116">
        <v>1</v>
      </c>
    </row>
    <row r="422" spans="1:18" ht="21.2" customHeight="1">
      <c r="R422" s="116">
        <v>1</v>
      </c>
    </row>
    <row r="423" spans="1:18" s="472" customFormat="1" ht="21.2" customHeight="1">
      <c r="A423" s="796" t="s">
        <v>817</v>
      </c>
      <c r="B423" s="796"/>
      <c r="C423" s="796"/>
      <c r="D423" s="796"/>
      <c r="E423" s="796"/>
      <c r="F423" s="796"/>
      <c r="G423" s="796"/>
      <c r="H423" s="796"/>
      <c r="I423" s="796"/>
      <c r="J423" s="796"/>
      <c r="K423" s="796"/>
      <c r="L423" s="796"/>
      <c r="M423" s="796"/>
      <c r="N423" s="796"/>
      <c r="O423" s="796"/>
      <c r="P423" s="796"/>
      <c r="Q423" s="796"/>
      <c r="R423" s="116">
        <v>1</v>
      </c>
    </row>
    <row r="424" spans="1:18" ht="21.2" customHeight="1">
      <c r="A424" s="473" t="s">
        <v>1437</v>
      </c>
      <c r="B424" s="142" t="s">
        <v>1526</v>
      </c>
      <c r="C424" s="125" t="s">
        <v>4</v>
      </c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474"/>
      <c r="R424" s="116">
        <v>1</v>
      </c>
    </row>
    <row r="425" spans="1:18" ht="21.2" customHeight="1">
      <c r="A425" s="475" t="s">
        <v>1100</v>
      </c>
      <c r="B425" s="118" t="s">
        <v>1526</v>
      </c>
      <c r="C425" s="800" t="s">
        <v>4023</v>
      </c>
      <c r="D425" s="800"/>
      <c r="E425" s="800"/>
      <c r="F425" s="800"/>
      <c r="G425" s="118" t="s">
        <v>1527</v>
      </c>
      <c r="H425" s="109" t="s">
        <v>1526</v>
      </c>
      <c r="I425" s="109" t="s">
        <v>1101</v>
      </c>
      <c r="J425" s="109"/>
      <c r="K425" s="109"/>
      <c r="L425" s="109"/>
      <c r="M425" s="109"/>
      <c r="N425" s="109"/>
      <c r="O425" s="109"/>
      <c r="P425" s="109"/>
      <c r="Q425" s="476"/>
      <c r="R425" s="116">
        <v>1</v>
      </c>
    </row>
    <row r="426" spans="1:18" ht="21.2" customHeight="1">
      <c r="A426" s="477">
        <f>A391+1</f>
        <v>13</v>
      </c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476"/>
      <c r="R426" s="116">
        <v>1</v>
      </c>
    </row>
    <row r="427" spans="1:18" ht="21.2" customHeight="1">
      <c r="A427" s="473" t="s">
        <v>1102</v>
      </c>
      <c r="B427" s="125"/>
      <c r="C427" s="125" t="s">
        <v>4024</v>
      </c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474"/>
      <c r="R427" s="116">
        <v>1</v>
      </c>
    </row>
    <row r="428" spans="1:18" ht="21.2" customHeight="1">
      <c r="A428" s="475" t="s">
        <v>1103</v>
      </c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476"/>
      <c r="R428" s="116">
        <v>1</v>
      </c>
    </row>
    <row r="429" spans="1:18" ht="21.2" customHeight="1">
      <c r="A429" s="475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476"/>
      <c r="R429" s="116">
        <v>1</v>
      </c>
    </row>
    <row r="430" spans="1:18" ht="21.2" customHeight="1">
      <c r="A430" s="473" t="s">
        <v>1104</v>
      </c>
      <c r="B430" s="125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474"/>
      <c r="R430" s="116">
        <v>1</v>
      </c>
    </row>
    <row r="431" spans="1:18" ht="21.2" customHeight="1">
      <c r="A431" s="475" t="s">
        <v>1105</v>
      </c>
      <c r="B431" s="118" t="s">
        <v>1582</v>
      </c>
      <c r="C431" s="478">
        <v>0.2</v>
      </c>
      <c r="D431" s="109" t="s">
        <v>1106</v>
      </c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476"/>
      <c r="R431" s="116">
        <v>1</v>
      </c>
    </row>
    <row r="432" spans="1:18" ht="21.2" customHeight="1">
      <c r="A432" s="475" t="s">
        <v>1107</v>
      </c>
      <c r="B432" s="118" t="s">
        <v>1582</v>
      </c>
      <c r="C432" s="478">
        <v>0.9</v>
      </c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476"/>
      <c r="R432" s="116">
        <v>1</v>
      </c>
    </row>
    <row r="433" spans="1:18" ht="21.2" customHeight="1">
      <c r="A433" s="475" t="s">
        <v>1108</v>
      </c>
      <c r="B433" s="118" t="s">
        <v>1582</v>
      </c>
      <c r="C433" s="478">
        <v>0.8</v>
      </c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476"/>
      <c r="R433" s="116">
        <v>1</v>
      </c>
    </row>
    <row r="434" spans="1:18" ht="21.2" customHeight="1">
      <c r="A434" s="475" t="s">
        <v>1109</v>
      </c>
      <c r="B434" s="118" t="s">
        <v>1582</v>
      </c>
      <c r="C434" s="478">
        <v>0.65</v>
      </c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476"/>
      <c r="R434" s="116">
        <v>1</v>
      </c>
    </row>
    <row r="435" spans="1:18" ht="21.2" customHeight="1">
      <c r="A435" s="475" t="s">
        <v>1583</v>
      </c>
      <c r="B435" s="118" t="s">
        <v>1582</v>
      </c>
      <c r="C435" s="478">
        <v>18</v>
      </c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476"/>
      <c r="R435" s="116">
        <v>1</v>
      </c>
    </row>
    <row r="436" spans="1:18" ht="21.2" customHeight="1">
      <c r="A436" s="475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476"/>
      <c r="R436" s="116">
        <v>1</v>
      </c>
    </row>
    <row r="437" spans="1:18" ht="21.2" customHeight="1">
      <c r="A437" s="473" t="s">
        <v>1110</v>
      </c>
      <c r="B437" s="125"/>
      <c r="C437" s="125"/>
      <c r="D437" s="125"/>
      <c r="E437" s="125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474"/>
      <c r="R437" s="116">
        <v>1</v>
      </c>
    </row>
    <row r="438" spans="1:18" ht="21.2" customHeight="1">
      <c r="A438" s="475" t="s">
        <v>1111</v>
      </c>
      <c r="B438" s="118" t="s">
        <v>1582</v>
      </c>
      <c r="C438" s="118">
        <v>3600</v>
      </c>
      <c r="D438" s="118" t="s">
        <v>86</v>
      </c>
      <c r="E438" s="118" t="s">
        <v>1105</v>
      </c>
      <c r="F438" s="118" t="s">
        <v>86</v>
      </c>
      <c r="G438" s="118" t="s">
        <v>1107</v>
      </c>
      <c r="H438" s="118" t="s">
        <v>86</v>
      </c>
      <c r="I438" s="118" t="s">
        <v>1108</v>
      </c>
      <c r="J438" s="118" t="s">
        <v>86</v>
      </c>
      <c r="K438" s="118" t="s">
        <v>1109</v>
      </c>
      <c r="L438" s="479" t="s">
        <v>1112</v>
      </c>
      <c r="M438" s="118" t="s">
        <v>1583</v>
      </c>
      <c r="N438" s="707" t="s">
        <v>4025</v>
      </c>
      <c r="O438" s="109"/>
      <c r="P438" s="109"/>
      <c r="Q438" s="476"/>
      <c r="R438" s="116">
        <v>1</v>
      </c>
    </row>
    <row r="439" spans="1:18" ht="21.2" customHeight="1">
      <c r="A439" s="475"/>
      <c r="B439" s="118" t="s">
        <v>1113</v>
      </c>
      <c r="C439" s="118">
        <f>C438</f>
        <v>3600</v>
      </c>
      <c r="D439" s="118" t="str">
        <f>D438</f>
        <v>*</v>
      </c>
      <c r="E439" s="275">
        <f>C431</f>
        <v>0.2</v>
      </c>
      <c r="F439" s="118" t="str">
        <f>F438</f>
        <v>*</v>
      </c>
      <c r="G439" s="275">
        <f>C432</f>
        <v>0.9</v>
      </c>
      <c r="H439" s="118" t="str">
        <f>H438</f>
        <v>*</v>
      </c>
      <c r="I439" s="275">
        <f>C433</f>
        <v>0.8</v>
      </c>
      <c r="J439" s="118" t="str">
        <f>J438</f>
        <v>*</v>
      </c>
      <c r="K439" s="275">
        <f>C434</f>
        <v>0.65</v>
      </c>
      <c r="L439" s="118" t="str">
        <f>L438</f>
        <v>/</v>
      </c>
      <c r="M439" s="275">
        <f>C435</f>
        <v>18</v>
      </c>
      <c r="N439" s="118" t="s">
        <v>1582</v>
      </c>
      <c r="O439" s="134">
        <f>TRUNC((C439*E439*G439*I439*K439/M439),2)</f>
        <v>18.72</v>
      </c>
      <c r="P439" s="109"/>
      <c r="Q439" s="476"/>
      <c r="R439" s="116">
        <v>1</v>
      </c>
    </row>
    <row r="440" spans="1:18" ht="21.2" customHeight="1">
      <c r="A440" s="475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476"/>
      <c r="R440" s="116">
        <v>1</v>
      </c>
    </row>
    <row r="441" spans="1:18" ht="21.2" customHeight="1">
      <c r="A441" s="473" t="s">
        <v>1114</v>
      </c>
      <c r="B441" s="125"/>
      <c r="C441" s="125"/>
      <c r="D441" s="125"/>
      <c r="E441" s="125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474"/>
      <c r="R441" s="116">
        <v>1</v>
      </c>
    </row>
    <row r="442" spans="1:18" ht="21.2" customHeight="1">
      <c r="A442" s="475" t="s">
        <v>1436</v>
      </c>
      <c r="B442" s="109" t="s">
        <v>1582</v>
      </c>
      <c r="C442" s="480">
        <f>중기사용료!$M$81</f>
        <v>11251</v>
      </c>
      <c r="D442" s="479" t="s">
        <v>1112</v>
      </c>
      <c r="E442" s="118" t="s">
        <v>1111</v>
      </c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476"/>
      <c r="R442" s="116">
        <v>1</v>
      </c>
    </row>
    <row r="443" spans="1:18" ht="21.2" customHeight="1">
      <c r="A443" s="475"/>
      <c r="B443" s="118" t="s">
        <v>1113</v>
      </c>
      <c r="C443" s="480">
        <f>C442</f>
        <v>11251</v>
      </c>
      <c r="D443" s="118" t="str">
        <f>D442</f>
        <v>/</v>
      </c>
      <c r="E443" s="134">
        <f>O439</f>
        <v>18.72</v>
      </c>
      <c r="F443" s="109" t="s">
        <v>1582</v>
      </c>
      <c r="G443" s="481">
        <f>TRUNC(C443/E443)</f>
        <v>601</v>
      </c>
      <c r="H443" s="109"/>
      <c r="I443" s="109"/>
      <c r="J443" s="109"/>
      <c r="K443" s="109"/>
      <c r="L443" s="109"/>
      <c r="M443" s="109"/>
      <c r="N443" s="109"/>
      <c r="O443" s="109"/>
      <c r="P443" s="109"/>
      <c r="Q443" s="476"/>
      <c r="R443" s="116">
        <v>1</v>
      </c>
    </row>
    <row r="444" spans="1:18" ht="21.2" customHeight="1">
      <c r="A444" s="475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476"/>
      <c r="R444" s="116">
        <v>1</v>
      </c>
    </row>
    <row r="445" spans="1:18" ht="21.2" customHeight="1">
      <c r="A445" s="475" t="s">
        <v>1115</v>
      </c>
      <c r="B445" s="109" t="s">
        <v>1582</v>
      </c>
      <c r="C445" s="480">
        <f>중기사용료!$M$87</f>
        <v>27168</v>
      </c>
      <c r="D445" s="479" t="s">
        <v>1112</v>
      </c>
      <c r="E445" s="118" t="s">
        <v>1111</v>
      </c>
      <c r="F445" s="118"/>
      <c r="G445" s="118"/>
      <c r="H445" s="109"/>
      <c r="I445" s="109"/>
      <c r="J445" s="109"/>
      <c r="K445" s="109"/>
      <c r="L445" s="109"/>
      <c r="M445" s="109"/>
      <c r="N445" s="109"/>
      <c r="O445" s="109"/>
      <c r="P445" s="109"/>
      <c r="Q445" s="476"/>
      <c r="R445" s="116">
        <v>1</v>
      </c>
    </row>
    <row r="446" spans="1:18" ht="21.2" customHeight="1">
      <c r="A446" s="475"/>
      <c r="B446" s="118" t="s">
        <v>1113</v>
      </c>
      <c r="C446" s="480">
        <f>C445</f>
        <v>27168</v>
      </c>
      <c r="D446" s="479" t="str">
        <f>D445</f>
        <v>/</v>
      </c>
      <c r="E446" s="134">
        <f>O439</f>
        <v>18.72</v>
      </c>
      <c r="F446" s="118" t="s">
        <v>1582</v>
      </c>
      <c r="G446" s="481">
        <f>TRUNC(C446/E446)</f>
        <v>1451</v>
      </c>
      <c r="H446" s="109"/>
      <c r="I446" s="109"/>
      <c r="J446" s="109"/>
      <c r="K446" s="109"/>
      <c r="L446" s="109"/>
      <c r="M446" s="109"/>
      <c r="N446" s="109"/>
      <c r="O446" s="109"/>
      <c r="P446" s="109"/>
      <c r="Q446" s="476"/>
      <c r="R446" s="116">
        <v>1</v>
      </c>
    </row>
    <row r="447" spans="1:18" ht="21.2" customHeight="1">
      <c r="A447" s="475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476"/>
      <c r="R447" s="116">
        <v>1</v>
      </c>
    </row>
    <row r="448" spans="1:18" ht="21.2" customHeight="1">
      <c r="A448" s="475" t="s">
        <v>1116</v>
      </c>
      <c r="B448" s="118" t="s">
        <v>1582</v>
      </c>
      <c r="C448" s="480">
        <f>중기사용료!$M$93</f>
        <v>6745</v>
      </c>
      <c r="D448" s="479" t="s">
        <v>1112</v>
      </c>
      <c r="E448" s="118" t="s">
        <v>1111</v>
      </c>
      <c r="F448" s="118"/>
      <c r="G448" s="118"/>
      <c r="H448" s="109"/>
      <c r="I448" s="109"/>
      <c r="J448" s="109"/>
      <c r="K448" s="109"/>
      <c r="L448" s="109"/>
      <c r="M448" s="109"/>
      <c r="N448" s="109"/>
      <c r="O448" s="109"/>
      <c r="P448" s="109"/>
      <c r="Q448" s="476"/>
      <c r="R448" s="116">
        <v>1</v>
      </c>
    </row>
    <row r="449" spans="1:18" ht="21.2" customHeight="1">
      <c r="A449" s="475"/>
      <c r="B449" s="118" t="s">
        <v>1113</v>
      </c>
      <c r="C449" s="480">
        <f>C448</f>
        <v>6745</v>
      </c>
      <c r="D449" s="118" t="str">
        <f>D448</f>
        <v>/</v>
      </c>
      <c r="E449" s="134">
        <f>O439</f>
        <v>18.72</v>
      </c>
      <c r="F449" s="118" t="s">
        <v>1582</v>
      </c>
      <c r="G449" s="481">
        <f>TRUNC(C449/E449)</f>
        <v>360</v>
      </c>
      <c r="H449" s="109"/>
      <c r="I449" s="109"/>
      <c r="J449" s="109"/>
      <c r="K449" s="109"/>
      <c r="L449" s="109"/>
      <c r="M449" s="109"/>
      <c r="N449" s="109"/>
      <c r="O449" s="109"/>
      <c r="P449" s="109"/>
      <c r="Q449" s="476"/>
      <c r="R449" s="116">
        <v>1</v>
      </c>
    </row>
    <row r="450" spans="1:18" ht="21.2" customHeight="1">
      <c r="A450" s="475"/>
      <c r="B450" s="109"/>
      <c r="C450" s="109"/>
      <c r="D450" s="109"/>
      <c r="E450" s="109"/>
      <c r="F450" s="109"/>
      <c r="G450" s="109"/>
      <c r="H450" s="118" t="s">
        <v>1117</v>
      </c>
      <c r="I450" s="118" t="s">
        <v>1118</v>
      </c>
      <c r="J450" s="118" t="s">
        <v>1113</v>
      </c>
      <c r="K450" s="797">
        <f>G443+G446+G449</f>
        <v>2412</v>
      </c>
      <c r="L450" s="797"/>
      <c r="M450" s="797"/>
      <c r="N450" s="118" t="s">
        <v>1119</v>
      </c>
      <c r="O450" s="109"/>
      <c r="P450" s="109"/>
      <c r="Q450" s="476"/>
      <c r="R450" s="116">
        <v>1</v>
      </c>
    </row>
    <row r="451" spans="1:18" ht="21.2" customHeight="1">
      <c r="A451" s="475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476"/>
      <c r="R451" s="116">
        <v>1</v>
      </c>
    </row>
    <row r="452" spans="1:18" ht="21.2" customHeight="1">
      <c r="A452" s="475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476"/>
      <c r="R452" s="116">
        <v>1</v>
      </c>
    </row>
    <row r="453" spans="1:18" ht="21.2" customHeight="1">
      <c r="A453" s="475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476"/>
      <c r="R453" s="116">
        <v>1</v>
      </c>
    </row>
    <row r="454" spans="1:18" ht="21.2" customHeight="1">
      <c r="A454" s="475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476"/>
      <c r="R454" s="116">
        <v>1</v>
      </c>
    </row>
    <row r="455" spans="1:18" ht="21.2" customHeight="1">
      <c r="A455" s="475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476"/>
      <c r="R455" s="116">
        <v>1</v>
      </c>
    </row>
    <row r="456" spans="1:18" ht="21.2" customHeight="1">
      <c r="A456" s="482"/>
      <c r="B456" s="136"/>
      <c r="C456" s="136"/>
      <c r="D456" s="136"/>
      <c r="E456" s="136"/>
      <c r="F456" s="136"/>
      <c r="G456" s="136"/>
      <c r="H456" s="136"/>
      <c r="I456" s="136"/>
      <c r="J456" s="136"/>
      <c r="K456" s="136"/>
      <c r="L456" s="136"/>
      <c r="M456" s="136"/>
      <c r="N456" s="136"/>
      <c r="O456" s="136"/>
      <c r="P456" s="136"/>
      <c r="Q456" s="483"/>
      <c r="R456" s="116">
        <v>1</v>
      </c>
    </row>
    <row r="457" spans="1:18" ht="21.2" customHeight="1">
      <c r="R457" s="116">
        <v>1</v>
      </c>
    </row>
    <row r="458" spans="1:18" s="472" customFormat="1" ht="21.2" customHeight="1">
      <c r="A458" s="796" t="s">
        <v>817</v>
      </c>
      <c r="B458" s="796"/>
      <c r="C458" s="796"/>
      <c r="D458" s="796"/>
      <c r="E458" s="796"/>
      <c r="F458" s="796"/>
      <c r="G458" s="796"/>
      <c r="H458" s="796"/>
      <c r="I458" s="796"/>
      <c r="J458" s="796"/>
      <c r="K458" s="796"/>
      <c r="L458" s="796"/>
      <c r="M458" s="796"/>
      <c r="N458" s="796"/>
      <c r="O458" s="796"/>
      <c r="P458" s="796"/>
      <c r="Q458" s="796"/>
      <c r="R458" s="116">
        <v>1</v>
      </c>
    </row>
    <row r="459" spans="1:18" ht="21.2" customHeight="1">
      <c r="A459" s="473" t="s">
        <v>1437</v>
      </c>
      <c r="B459" s="142" t="s">
        <v>1526</v>
      </c>
      <c r="C459" s="125" t="s">
        <v>4</v>
      </c>
      <c r="D459" s="125"/>
      <c r="E459" s="125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474"/>
      <c r="R459" s="116">
        <v>1</v>
      </c>
    </row>
    <row r="460" spans="1:18" ht="21.2" customHeight="1">
      <c r="A460" s="475" t="s">
        <v>1100</v>
      </c>
      <c r="B460" s="118" t="s">
        <v>1526</v>
      </c>
      <c r="C460" s="800" t="s">
        <v>4023</v>
      </c>
      <c r="D460" s="800"/>
      <c r="E460" s="800"/>
      <c r="F460" s="800"/>
      <c r="G460" s="118" t="s">
        <v>1527</v>
      </c>
      <c r="H460" s="109" t="s">
        <v>1526</v>
      </c>
      <c r="I460" s="109" t="s">
        <v>448</v>
      </c>
      <c r="J460" s="109"/>
      <c r="K460" s="109"/>
      <c r="L460" s="109"/>
      <c r="M460" s="109"/>
      <c r="N460" s="109"/>
      <c r="O460" s="109"/>
      <c r="P460" s="109"/>
      <c r="Q460" s="476"/>
      <c r="R460" s="116">
        <v>1</v>
      </c>
    </row>
    <row r="461" spans="1:18" ht="21.2" customHeight="1">
      <c r="A461" s="477">
        <f>A426+1</f>
        <v>14</v>
      </c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476"/>
      <c r="R461" s="116">
        <v>1</v>
      </c>
    </row>
    <row r="462" spans="1:18" ht="21.2" customHeight="1">
      <c r="A462" s="473" t="s">
        <v>1102</v>
      </c>
      <c r="B462" s="125"/>
      <c r="C462" s="125" t="s">
        <v>4024</v>
      </c>
      <c r="D462" s="125"/>
      <c r="E462" s="125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474"/>
      <c r="R462" s="116">
        <v>1</v>
      </c>
    </row>
    <row r="463" spans="1:18" ht="21.2" customHeight="1">
      <c r="A463" s="475" t="s">
        <v>1103</v>
      </c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476"/>
      <c r="R463" s="116">
        <v>1</v>
      </c>
    </row>
    <row r="464" spans="1:18" ht="21.2" customHeight="1">
      <c r="A464" s="475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476"/>
      <c r="R464" s="116">
        <v>1</v>
      </c>
    </row>
    <row r="465" spans="1:18" ht="21.2" customHeight="1">
      <c r="A465" s="473" t="s">
        <v>1104</v>
      </c>
      <c r="B465" s="125"/>
      <c r="C465" s="125"/>
      <c r="D465" s="125"/>
      <c r="E465" s="125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474"/>
      <c r="R465" s="116">
        <v>1</v>
      </c>
    </row>
    <row r="466" spans="1:18" ht="21.2" customHeight="1">
      <c r="A466" s="475" t="s">
        <v>1105</v>
      </c>
      <c r="B466" s="118" t="s">
        <v>1582</v>
      </c>
      <c r="C466" s="478">
        <v>0.4</v>
      </c>
      <c r="D466" s="109" t="s">
        <v>1106</v>
      </c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476"/>
      <c r="R466" s="116">
        <v>1</v>
      </c>
    </row>
    <row r="467" spans="1:18" ht="21.2" customHeight="1">
      <c r="A467" s="475" t="s">
        <v>1107</v>
      </c>
      <c r="B467" s="118" t="s">
        <v>1582</v>
      </c>
      <c r="C467" s="478">
        <v>0.9</v>
      </c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476"/>
      <c r="R467" s="116">
        <v>1</v>
      </c>
    </row>
    <row r="468" spans="1:18" ht="21.2" customHeight="1">
      <c r="A468" s="475" t="s">
        <v>1108</v>
      </c>
      <c r="B468" s="118" t="s">
        <v>1582</v>
      </c>
      <c r="C468" s="478">
        <v>0.8</v>
      </c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476"/>
      <c r="R468" s="116">
        <v>1</v>
      </c>
    </row>
    <row r="469" spans="1:18" ht="21.2" customHeight="1">
      <c r="A469" s="475" t="s">
        <v>1109</v>
      </c>
      <c r="B469" s="118" t="s">
        <v>1582</v>
      </c>
      <c r="C469" s="478">
        <v>0.65</v>
      </c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476"/>
      <c r="R469" s="116">
        <v>1</v>
      </c>
    </row>
    <row r="470" spans="1:18" ht="21.2" customHeight="1">
      <c r="A470" s="475" t="s">
        <v>1583</v>
      </c>
      <c r="B470" s="118" t="s">
        <v>1582</v>
      </c>
      <c r="C470" s="478">
        <v>18</v>
      </c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476"/>
      <c r="R470" s="116">
        <v>1</v>
      </c>
    </row>
    <row r="471" spans="1:18" ht="21.2" customHeight="1">
      <c r="A471" s="475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476"/>
      <c r="R471" s="116">
        <v>1</v>
      </c>
    </row>
    <row r="472" spans="1:18" ht="21.2" customHeight="1">
      <c r="A472" s="473" t="s">
        <v>1110</v>
      </c>
      <c r="B472" s="125"/>
      <c r="C472" s="125"/>
      <c r="D472" s="125"/>
      <c r="E472" s="125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474"/>
      <c r="R472" s="116">
        <v>1</v>
      </c>
    </row>
    <row r="473" spans="1:18" ht="21.2" customHeight="1">
      <c r="A473" s="475" t="s">
        <v>1111</v>
      </c>
      <c r="B473" s="118" t="s">
        <v>1582</v>
      </c>
      <c r="C473" s="118">
        <v>3600</v>
      </c>
      <c r="D473" s="118" t="s">
        <v>86</v>
      </c>
      <c r="E473" s="118" t="s">
        <v>1105</v>
      </c>
      <c r="F473" s="118" t="s">
        <v>86</v>
      </c>
      <c r="G473" s="118" t="s">
        <v>1107</v>
      </c>
      <c r="H473" s="118" t="s">
        <v>86</v>
      </c>
      <c r="I473" s="118" t="s">
        <v>1108</v>
      </c>
      <c r="J473" s="118" t="s">
        <v>86</v>
      </c>
      <c r="K473" s="118" t="s">
        <v>1109</v>
      </c>
      <c r="L473" s="479" t="s">
        <v>1112</v>
      </c>
      <c r="M473" s="118" t="s">
        <v>1583</v>
      </c>
      <c r="N473" s="707" t="s">
        <v>4025</v>
      </c>
      <c r="O473" s="109"/>
      <c r="P473" s="109"/>
      <c r="Q473" s="476"/>
      <c r="R473" s="116">
        <v>1</v>
      </c>
    </row>
    <row r="474" spans="1:18" ht="21.2" customHeight="1">
      <c r="A474" s="475"/>
      <c r="B474" s="118" t="s">
        <v>1113</v>
      </c>
      <c r="C474" s="118">
        <f>C473</f>
        <v>3600</v>
      </c>
      <c r="D474" s="118" t="str">
        <f>D473</f>
        <v>*</v>
      </c>
      <c r="E474" s="275">
        <f>C466</f>
        <v>0.4</v>
      </c>
      <c r="F474" s="118" t="str">
        <f>F473</f>
        <v>*</v>
      </c>
      <c r="G474" s="275">
        <f>C467</f>
        <v>0.9</v>
      </c>
      <c r="H474" s="118" t="str">
        <f>H473</f>
        <v>*</v>
      </c>
      <c r="I474" s="275">
        <f>C468</f>
        <v>0.8</v>
      </c>
      <c r="J474" s="118" t="str">
        <f>J473</f>
        <v>*</v>
      </c>
      <c r="K474" s="275">
        <f>C469</f>
        <v>0.65</v>
      </c>
      <c r="L474" s="118" t="str">
        <f>L473</f>
        <v>/</v>
      </c>
      <c r="M474" s="275">
        <f>C470</f>
        <v>18</v>
      </c>
      <c r="N474" s="118" t="s">
        <v>1582</v>
      </c>
      <c r="O474" s="134">
        <f>TRUNC((C474*E474*G474*I474*K474/M474),2)</f>
        <v>37.44</v>
      </c>
      <c r="P474" s="109"/>
      <c r="Q474" s="476"/>
      <c r="R474" s="116">
        <v>1</v>
      </c>
    </row>
    <row r="475" spans="1:18" ht="21.2" customHeight="1">
      <c r="A475" s="475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476"/>
      <c r="R475" s="116">
        <v>1</v>
      </c>
    </row>
    <row r="476" spans="1:18" ht="21.2" customHeight="1">
      <c r="A476" s="473" t="s">
        <v>1114</v>
      </c>
      <c r="B476" s="125"/>
      <c r="C476" s="125"/>
      <c r="D476" s="125"/>
      <c r="E476" s="125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474"/>
      <c r="R476" s="116">
        <v>1</v>
      </c>
    </row>
    <row r="477" spans="1:18" ht="21.2" customHeight="1">
      <c r="A477" s="475" t="s">
        <v>1436</v>
      </c>
      <c r="B477" s="109" t="s">
        <v>1582</v>
      </c>
      <c r="C477" s="480">
        <f>중기사용료!$M$100</f>
        <v>12514</v>
      </c>
      <c r="D477" s="479" t="s">
        <v>1112</v>
      </c>
      <c r="E477" s="118" t="s">
        <v>1111</v>
      </c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476"/>
      <c r="R477" s="116">
        <v>1</v>
      </c>
    </row>
    <row r="478" spans="1:18" ht="21.2" customHeight="1">
      <c r="A478" s="475"/>
      <c r="B478" s="118" t="s">
        <v>1113</v>
      </c>
      <c r="C478" s="480">
        <f>C477</f>
        <v>12514</v>
      </c>
      <c r="D478" s="118" t="str">
        <f>D477</f>
        <v>/</v>
      </c>
      <c r="E478" s="134">
        <f>O474</f>
        <v>37.44</v>
      </c>
      <c r="F478" s="109" t="s">
        <v>1582</v>
      </c>
      <c r="G478" s="481">
        <f>TRUNC(C478/E478)</f>
        <v>334</v>
      </c>
      <c r="H478" s="109"/>
      <c r="I478" s="109"/>
      <c r="J478" s="109"/>
      <c r="K478" s="109"/>
      <c r="L478" s="109"/>
      <c r="M478" s="109"/>
      <c r="N478" s="109"/>
      <c r="O478" s="109"/>
      <c r="P478" s="109"/>
      <c r="Q478" s="476"/>
      <c r="R478" s="116">
        <v>1</v>
      </c>
    </row>
    <row r="479" spans="1:18" ht="21.2" customHeight="1">
      <c r="A479" s="475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476"/>
      <c r="R479" s="116">
        <v>1</v>
      </c>
    </row>
    <row r="480" spans="1:18" ht="21.2" customHeight="1">
      <c r="A480" s="475" t="s">
        <v>1115</v>
      </c>
      <c r="B480" s="109" t="s">
        <v>1582</v>
      </c>
      <c r="C480" s="480">
        <f>중기사용료!$M$106</f>
        <v>27168</v>
      </c>
      <c r="D480" s="479" t="s">
        <v>1112</v>
      </c>
      <c r="E480" s="118" t="s">
        <v>1111</v>
      </c>
      <c r="F480" s="118"/>
      <c r="G480" s="118"/>
      <c r="H480" s="109"/>
      <c r="I480" s="109"/>
      <c r="J480" s="109"/>
      <c r="K480" s="109"/>
      <c r="L480" s="109"/>
      <c r="M480" s="109"/>
      <c r="N480" s="109"/>
      <c r="O480" s="109"/>
      <c r="P480" s="109"/>
      <c r="Q480" s="476"/>
      <c r="R480" s="116">
        <v>1</v>
      </c>
    </row>
    <row r="481" spans="1:18" ht="21.2" customHeight="1">
      <c r="A481" s="475"/>
      <c r="B481" s="118" t="s">
        <v>1113</v>
      </c>
      <c r="C481" s="480">
        <f>C480</f>
        <v>27168</v>
      </c>
      <c r="D481" s="479" t="str">
        <f>D480</f>
        <v>/</v>
      </c>
      <c r="E481" s="134">
        <f>O474</f>
        <v>37.44</v>
      </c>
      <c r="F481" s="118" t="s">
        <v>1582</v>
      </c>
      <c r="G481" s="481">
        <f>TRUNC(C481/E481)</f>
        <v>725</v>
      </c>
      <c r="H481" s="109"/>
      <c r="I481" s="109"/>
      <c r="J481" s="109"/>
      <c r="K481" s="109"/>
      <c r="L481" s="109"/>
      <c r="M481" s="109"/>
      <c r="N481" s="109"/>
      <c r="O481" s="109"/>
      <c r="P481" s="109"/>
      <c r="Q481" s="476"/>
      <c r="R481" s="116">
        <v>1</v>
      </c>
    </row>
    <row r="482" spans="1:18" ht="21.2" customHeight="1">
      <c r="A482" s="475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476"/>
      <c r="R482" s="116">
        <v>1</v>
      </c>
    </row>
    <row r="483" spans="1:18" ht="21.2" customHeight="1">
      <c r="A483" s="475" t="s">
        <v>1116</v>
      </c>
      <c r="B483" s="118" t="s">
        <v>1582</v>
      </c>
      <c r="C483" s="480">
        <f>중기사용료!$M$112</f>
        <v>13465</v>
      </c>
      <c r="D483" s="479" t="s">
        <v>1112</v>
      </c>
      <c r="E483" s="118" t="s">
        <v>1111</v>
      </c>
      <c r="F483" s="118"/>
      <c r="G483" s="118"/>
      <c r="H483" s="109"/>
      <c r="I483" s="109"/>
      <c r="J483" s="109"/>
      <c r="K483" s="109"/>
      <c r="L483" s="109"/>
      <c r="M483" s="109"/>
      <c r="N483" s="109"/>
      <c r="O483" s="109"/>
      <c r="P483" s="109"/>
      <c r="Q483" s="476"/>
      <c r="R483" s="116">
        <v>1</v>
      </c>
    </row>
    <row r="484" spans="1:18" ht="21.2" customHeight="1">
      <c r="A484" s="475"/>
      <c r="B484" s="118" t="s">
        <v>1113</v>
      </c>
      <c r="C484" s="480">
        <f>C483</f>
        <v>13465</v>
      </c>
      <c r="D484" s="118" t="str">
        <f>D483</f>
        <v>/</v>
      </c>
      <c r="E484" s="134">
        <f>O474</f>
        <v>37.44</v>
      </c>
      <c r="F484" s="118" t="s">
        <v>1582</v>
      </c>
      <c r="G484" s="481">
        <f>TRUNC(C484/E484)</f>
        <v>359</v>
      </c>
      <c r="H484" s="109"/>
      <c r="I484" s="109"/>
      <c r="J484" s="109"/>
      <c r="K484" s="109"/>
      <c r="L484" s="109"/>
      <c r="M484" s="109"/>
      <c r="N484" s="109"/>
      <c r="O484" s="109"/>
      <c r="P484" s="109"/>
      <c r="Q484" s="476"/>
      <c r="R484" s="116">
        <v>1</v>
      </c>
    </row>
    <row r="485" spans="1:18" ht="21.2" customHeight="1">
      <c r="A485" s="475"/>
      <c r="B485" s="109"/>
      <c r="C485" s="109"/>
      <c r="D485" s="109"/>
      <c r="E485" s="109"/>
      <c r="F485" s="109"/>
      <c r="G485" s="109"/>
      <c r="H485" s="118" t="s">
        <v>1117</v>
      </c>
      <c r="I485" s="118" t="s">
        <v>1118</v>
      </c>
      <c r="J485" s="118" t="s">
        <v>1113</v>
      </c>
      <c r="K485" s="797">
        <f>G478+G481+G484</f>
        <v>1418</v>
      </c>
      <c r="L485" s="797"/>
      <c r="M485" s="797"/>
      <c r="N485" s="118" t="s">
        <v>1119</v>
      </c>
      <c r="O485" s="109"/>
      <c r="P485" s="109"/>
      <c r="Q485" s="476"/>
      <c r="R485" s="116">
        <v>1</v>
      </c>
    </row>
    <row r="486" spans="1:18" ht="21.2" customHeight="1">
      <c r="A486" s="475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476"/>
      <c r="R486" s="116">
        <v>1</v>
      </c>
    </row>
    <row r="487" spans="1:18" ht="21.2" customHeight="1">
      <c r="A487" s="475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476"/>
      <c r="R487" s="116">
        <v>1</v>
      </c>
    </row>
    <row r="488" spans="1:18" ht="21.2" customHeight="1">
      <c r="A488" s="475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476"/>
      <c r="R488" s="116">
        <v>1</v>
      </c>
    </row>
    <row r="489" spans="1:18" ht="21.2" customHeight="1">
      <c r="A489" s="475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476"/>
      <c r="R489" s="116">
        <v>1</v>
      </c>
    </row>
    <row r="490" spans="1:18" ht="21.2" customHeight="1">
      <c r="A490" s="475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476"/>
      <c r="R490" s="116">
        <v>1</v>
      </c>
    </row>
    <row r="491" spans="1:18" ht="21.2" customHeight="1">
      <c r="A491" s="482"/>
      <c r="B491" s="136"/>
      <c r="C491" s="136"/>
      <c r="D491" s="136"/>
      <c r="E491" s="136"/>
      <c r="F491" s="136"/>
      <c r="G491" s="136"/>
      <c r="H491" s="136"/>
      <c r="I491" s="136"/>
      <c r="J491" s="136"/>
      <c r="K491" s="136"/>
      <c r="L491" s="136"/>
      <c r="M491" s="136"/>
      <c r="N491" s="136"/>
      <c r="O491" s="136"/>
      <c r="P491" s="136"/>
      <c r="Q491" s="483"/>
      <c r="R491" s="116">
        <v>1</v>
      </c>
    </row>
    <row r="492" spans="1:18" ht="21.2" customHeight="1">
      <c r="R492" s="116">
        <v>1</v>
      </c>
    </row>
    <row r="493" spans="1:18" s="472" customFormat="1" ht="21.2" customHeight="1">
      <c r="A493" s="796" t="s">
        <v>817</v>
      </c>
      <c r="B493" s="796"/>
      <c r="C493" s="796"/>
      <c r="D493" s="796"/>
      <c r="E493" s="796"/>
      <c r="F493" s="796"/>
      <c r="G493" s="796"/>
      <c r="H493" s="796"/>
      <c r="I493" s="796"/>
      <c r="J493" s="796"/>
      <c r="K493" s="796"/>
      <c r="L493" s="796"/>
      <c r="M493" s="796"/>
      <c r="N493" s="796"/>
      <c r="O493" s="796"/>
      <c r="P493" s="796"/>
      <c r="Q493" s="796"/>
      <c r="R493" s="116">
        <v>1</v>
      </c>
    </row>
    <row r="494" spans="1:18" ht="21.2" customHeight="1">
      <c r="A494" s="473" t="s">
        <v>1437</v>
      </c>
      <c r="B494" s="142" t="s">
        <v>1526</v>
      </c>
      <c r="C494" s="125" t="s">
        <v>4</v>
      </c>
      <c r="D494" s="125"/>
      <c r="E494" s="125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474"/>
      <c r="R494" s="116">
        <v>1</v>
      </c>
    </row>
    <row r="495" spans="1:18" ht="21.2" customHeight="1">
      <c r="A495" s="475" t="s">
        <v>1100</v>
      </c>
      <c r="B495" s="118" t="s">
        <v>1526</v>
      </c>
      <c r="C495" s="800" t="s">
        <v>4023</v>
      </c>
      <c r="D495" s="800"/>
      <c r="E495" s="800"/>
      <c r="F495" s="800"/>
      <c r="G495" s="118" t="s">
        <v>1527</v>
      </c>
      <c r="H495" s="109" t="s">
        <v>1526</v>
      </c>
      <c r="I495" s="755" t="s">
        <v>841</v>
      </c>
      <c r="J495" s="109" t="s">
        <v>3222</v>
      </c>
      <c r="K495" s="109"/>
      <c r="L495" s="109"/>
      <c r="M495" s="109"/>
      <c r="N495" s="109"/>
      <c r="O495" s="109"/>
      <c r="P495" s="109"/>
      <c r="Q495" s="476"/>
      <c r="R495" s="116">
        <v>1</v>
      </c>
    </row>
    <row r="496" spans="1:18" ht="21.2" customHeight="1">
      <c r="A496" s="477">
        <f>A461+1</f>
        <v>15</v>
      </c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476"/>
      <c r="R496" s="116">
        <v>1</v>
      </c>
    </row>
    <row r="497" spans="1:18" ht="21.2" customHeight="1">
      <c r="A497" s="473" t="s">
        <v>1102</v>
      </c>
      <c r="B497" s="125"/>
      <c r="C497" s="125" t="s">
        <v>4024</v>
      </c>
      <c r="D497" s="125"/>
      <c r="E497" s="125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474"/>
      <c r="R497" s="116">
        <v>1</v>
      </c>
    </row>
    <row r="498" spans="1:18" ht="21.2" customHeight="1">
      <c r="A498" s="475" t="s">
        <v>1103</v>
      </c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476"/>
      <c r="R498" s="116">
        <v>1</v>
      </c>
    </row>
    <row r="499" spans="1:18" ht="21.2" customHeight="1">
      <c r="A499" s="475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476"/>
      <c r="R499" s="116">
        <v>1</v>
      </c>
    </row>
    <row r="500" spans="1:18" ht="21.2" customHeight="1">
      <c r="A500" s="473" t="s">
        <v>1104</v>
      </c>
      <c r="B500" s="125"/>
      <c r="C500" s="125"/>
      <c r="D500" s="125"/>
      <c r="E500" s="125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474"/>
      <c r="R500" s="116">
        <v>1</v>
      </c>
    </row>
    <row r="501" spans="1:18" ht="21.2" customHeight="1">
      <c r="A501" s="475" t="s">
        <v>1105</v>
      </c>
      <c r="B501" s="118" t="s">
        <v>1582</v>
      </c>
      <c r="C501" s="478">
        <v>0.7</v>
      </c>
      <c r="D501" s="109" t="s">
        <v>1106</v>
      </c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476"/>
      <c r="R501" s="116">
        <v>1</v>
      </c>
    </row>
    <row r="502" spans="1:18" ht="21.2" customHeight="1">
      <c r="A502" s="475" t="s">
        <v>1107</v>
      </c>
      <c r="B502" s="118" t="s">
        <v>1582</v>
      </c>
      <c r="C502" s="478">
        <v>0.9</v>
      </c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476"/>
      <c r="R502" s="116">
        <v>1</v>
      </c>
    </row>
    <row r="503" spans="1:18" ht="21.2" customHeight="1">
      <c r="A503" s="475" t="s">
        <v>1108</v>
      </c>
      <c r="B503" s="118" t="s">
        <v>1582</v>
      </c>
      <c r="C503" s="478">
        <v>0.8</v>
      </c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476"/>
      <c r="R503" s="116">
        <v>1</v>
      </c>
    </row>
    <row r="504" spans="1:18" ht="21.2" customHeight="1">
      <c r="A504" s="475" t="s">
        <v>1109</v>
      </c>
      <c r="B504" s="118" t="s">
        <v>1582</v>
      </c>
      <c r="C504" s="478">
        <v>0.65</v>
      </c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476"/>
      <c r="R504" s="116">
        <v>1</v>
      </c>
    </row>
    <row r="505" spans="1:18" ht="21.2" customHeight="1">
      <c r="A505" s="475" t="s">
        <v>1583</v>
      </c>
      <c r="B505" s="118" t="s">
        <v>1582</v>
      </c>
      <c r="C505" s="478">
        <v>20</v>
      </c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476"/>
      <c r="R505" s="116">
        <v>1</v>
      </c>
    </row>
    <row r="506" spans="1:18" ht="21.2" customHeight="1">
      <c r="A506" s="475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476"/>
      <c r="R506" s="116">
        <v>1</v>
      </c>
    </row>
    <row r="507" spans="1:18" ht="21.2" customHeight="1">
      <c r="A507" s="473" t="s">
        <v>1110</v>
      </c>
      <c r="B507" s="125"/>
      <c r="C507" s="125"/>
      <c r="D507" s="125"/>
      <c r="E507" s="125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474"/>
      <c r="R507" s="116">
        <v>1</v>
      </c>
    </row>
    <row r="508" spans="1:18" ht="21.2" customHeight="1">
      <c r="A508" s="475" t="s">
        <v>1111</v>
      </c>
      <c r="B508" s="118" t="s">
        <v>1582</v>
      </c>
      <c r="C508" s="118">
        <v>3600</v>
      </c>
      <c r="D508" s="118" t="s">
        <v>86</v>
      </c>
      <c r="E508" s="118" t="s">
        <v>1105</v>
      </c>
      <c r="F508" s="118" t="s">
        <v>86</v>
      </c>
      <c r="G508" s="118" t="s">
        <v>1107</v>
      </c>
      <c r="H508" s="118" t="s">
        <v>86</v>
      </c>
      <c r="I508" s="118" t="s">
        <v>1108</v>
      </c>
      <c r="J508" s="118" t="s">
        <v>86</v>
      </c>
      <c r="K508" s="118" t="s">
        <v>1109</v>
      </c>
      <c r="L508" s="479" t="s">
        <v>1112</v>
      </c>
      <c r="M508" s="118" t="s">
        <v>1583</v>
      </c>
      <c r="N508" s="707" t="s">
        <v>4025</v>
      </c>
      <c r="O508" s="109"/>
      <c r="P508" s="109"/>
      <c r="Q508" s="476"/>
      <c r="R508" s="116">
        <v>1</v>
      </c>
    </row>
    <row r="509" spans="1:18" ht="21.2" customHeight="1">
      <c r="A509" s="475"/>
      <c r="B509" s="118" t="s">
        <v>1113</v>
      </c>
      <c r="C509" s="118">
        <f>C508</f>
        <v>3600</v>
      </c>
      <c r="D509" s="118" t="str">
        <f>D508</f>
        <v>*</v>
      </c>
      <c r="E509" s="275">
        <f>C501</f>
        <v>0.7</v>
      </c>
      <c r="F509" s="118" t="str">
        <f>F508</f>
        <v>*</v>
      </c>
      <c r="G509" s="275">
        <f>C502</f>
        <v>0.9</v>
      </c>
      <c r="H509" s="118" t="str">
        <f>H508</f>
        <v>*</v>
      </c>
      <c r="I509" s="275">
        <f>C503</f>
        <v>0.8</v>
      </c>
      <c r="J509" s="118" t="str">
        <f>J508</f>
        <v>*</v>
      </c>
      <c r="K509" s="275">
        <f>C504</f>
        <v>0.65</v>
      </c>
      <c r="L509" s="118" t="str">
        <f>L508</f>
        <v>/</v>
      </c>
      <c r="M509" s="275">
        <f>C505</f>
        <v>20</v>
      </c>
      <c r="N509" s="118" t="s">
        <v>1582</v>
      </c>
      <c r="O509" s="134">
        <f>TRUNC((C509*E509*G509*I509*K509/M509),2)</f>
        <v>58.96</v>
      </c>
      <c r="P509" s="109"/>
      <c r="Q509" s="476"/>
      <c r="R509" s="116">
        <v>1</v>
      </c>
    </row>
    <row r="510" spans="1:18" ht="21.2" customHeight="1">
      <c r="A510" s="475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476"/>
      <c r="R510" s="116">
        <v>1</v>
      </c>
    </row>
    <row r="511" spans="1:18" ht="21.2" customHeight="1">
      <c r="A511" s="473" t="s">
        <v>1114</v>
      </c>
      <c r="B511" s="125"/>
      <c r="C511" s="125"/>
      <c r="D511" s="125"/>
      <c r="E511" s="125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474"/>
      <c r="R511" s="116">
        <v>1</v>
      </c>
    </row>
    <row r="512" spans="1:18" ht="21.2" customHeight="1">
      <c r="A512" s="475" t="s">
        <v>1436</v>
      </c>
      <c r="B512" s="109" t="s">
        <v>1582</v>
      </c>
      <c r="C512" s="480">
        <f>중기사용료!$M$195</f>
        <v>21622</v>
      </c>
      <c r="D512" s="479" t="s">
        <v>1112</v>
      </c>
      <c r="E512" s="118" t="s">
        <v>1111</v>
      </c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476"/>
      <c r="R512" s="116">
        <v>1</v>
      </c>
    </row>
    <row r="513" spans="1:18" ht="21.2" customHeight="1">
      <c r="A513" s="475"/>
      <c r="B513" s="118" t="s">
        <v>1113</v>
      </c>
      <c r="C513" s="480">
        <f>C512</f>
        <v>21622</v>
      </c>
      <c r="D513" s="118" t="str">
        <f>D512</f>
        <v>/</v>
      </c>
      <c r="E513" s="134">
        <f>O509</f>
        <v>58.96</v>
      </c>
      <c r="F513" s="109" t="s">
        <v>1582</v>
      </c>
      <c r="G513" s="481">
        <f>TRUNC(C513/E513)</f>
        <v>366</v>
      </c>
      <c r="H513" s="109"/>
      <c r="I513" s="109"/>
      <c r="J513" s="109"/>
      <c r="K513" s="109"/>
      <c r="L513" s="109"/>
      <c r="M513" s="109"/>
      <c r="N513" s="109"/>
      <c r="O513" s="109"/>
      <c r="P513" s="109"/>
      <c r="Q513" s="476"/>
      <c r="R513" s="116">
        <v>1</v>
      </c>
    </row>
    <row r="514" spans="1:18" ht="21.2" customHeight="1">
      <c r="A514" s="475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476"/>
      <c r="R514" s="116">
        <v>1</v>
      </c>
    </row>
    <row r="515" spans="1:18" ht="21.2" customHeight="1">
      <c r="A515" s="475" t="s">
        <v>1115</v>
      </c>
      <c r="B515" s="109" t="s">
        <v>1582</v>
      </c>
      <c r="C515" s="480">
        <f>중기사용료!$M$201</f>
        <v>27168</v>
      </c>
      <c r="D515" s="479" t="s">
        <v>1112</v>
      </c>
      <c r="E515" s="118" t="s">
        <v>1111</v>
      </c>
      <c r="F515" s="118"/>
      <c r="G515" s="118"/>
      <c r="H515" s="109"/>
      <c r="I515" s="109"/>
      <c r="J515" s="109"/>
      <c r="K515" s="109"/>
      <c r="L515" s="109"/>
      <c r="M515" s="109"/>
      <c r="N515" s="109"/>
      <c r="O515" s="109"/>
      <c r="P515" s="109"/>
      <c r="Q515" s="476"/>
      <c r="R515" s="116">
        <v>1</v>
      </c>
    </row>
    <row r="516" spans="1:18" ht="21.2" customHeight="1">
      <c r="A516" s="475"/>
      <c r="B516" s="118" t="s">
        <v>1113</v>
      </c>
      <c r="C516" s="480">
        <f>C515</f>
        <v>27168</v>
      </c>
      <c r="D516" s="479" t="str">
        <f>D515</f>
        <v>/</v>
      </c>
      <c r="E516" s="134">
        <f>O509</f>
        <v>58.96</v>
      </c>
      <c r="F516" s="118" t="s">
        <v>1582</v>
      </c>
      <c r="G516" s="481">
        <f>TRUNC(C516/E516)</f>
        <v>460</v>
      </c>
      <c r="H516" s="109"/>
      <c r="I516" s="109"/>
      <c r="J516" s="109"/>
      <c r="K516" s="109"/>
      <c r="L516" s="109"/>
      <c r="M516" s="109"/>
      <c r="N516" s="109"/>
      <c r="O516" s="109"/>
      <c r="P516" s="109"/>
      <c r="Q516" s="476"/>
      <c r="R516" s="116">
        <v>1</v>
      </c>
    </row>
    <row r="517" spans="1:18" ht="21.2" customHeight="1">
      <c r="A517" s="475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476"/>
      <c r="R517" s="116">
        <v>1</v>
      </c>
    </row>
    <row r="518" spans="1:18" ht="21.2" customHeight="1">
      <c r="A518" s="475" t="s">
        <v>1116</v>
      </c>
      <c r="B518" s="118" t="s">
        <v>1582</v>
      </c>
      <c r="C518" s="480">
        <f>중기사용료!$M$207</f>
        <v>16036</v>
      </c>
      <c r="D518" s="479" t="s">
        <v>1112</v>
      </c>
      <c r="E518" s="118" t="s">
        <v>1111</v>
      </c>
      <c r="F518" s="118"/>
      <c r="G518" s="118"/>
      <c r="H518" s="109"/>
      <c r="I518" s="109"/>
      <c r="J518" s="109"/>
      <c r="K518" s="109"/>
      <c r="L518" s="109"/>
      <c r="M518" s="109"/>
      <c r="N518" s="109"/>
      <c r="O518" s="109"/>
      <c r="P518" s="109"/>
      <c r="Q518" s="476"/>
      <c r="R518" s="116">
        <v>1</v>
      </c>
    </row>
    <row r="519" spans="1:18" ht="21.2" customHeight="1">
      <c r="A519" s="475"/>
      <c r="B519" s="118" t="s">
        <v>1113</v>
      </c>
      <c r="C519" s="480">
        <f>C518</f>
        <v>16036</v>
      </c>
      <c r="D519" s="118" t="str">
        <f>D518</f>
        <v>/</v>
      </c>
      <c r="E519" s="134">
        <f>O509</f>
        <v>58.96</v>
      </c>
      <c r="F519" s="118" t="s">
        <v>1582</v>
      </c>
      <c r="G519" s="481">
        <f>TRUNC(C519/E519)</f>
        <v>271</v>
      </c>
      <c r="H519" s="109"/>
      <c r="I519" s="109"/>
      <c r="J519" s="109"/>
      <c r="K519" s="109"/>
      <c r="L519" s="109"/>
      <c r="M519" s="109"/>
      <c r="N519" s="109"/>
      <c r="O519" s="109"/>
      <c r="P519" s="109"/>
      <c r="Q519" s="476"/>
      <c r="R519" s="116">
        <v>1</v>
      </c>
    </row>
    <row r="520" spans="1:18" ht="21.2" customHeight="1">
      <c r="A520" s="475"/>
      <c r="B520" s="109"/>
      <c r="C520" s="109"/>
      <c r="D520" s="109"/>
      <c r="E520" s="109"/>
      <c r="F520" s="109"/>
      <c r="G520" s="109"/>
      <c r="H520" s="118" t="s">
        <v>1117</v>
      </c>
      <c r="I520" s="118" t="s">
        <v>1118</v>
      </c>
      <c r="J520" s="118" t="s">
        <v>1113</v>
      </c>
      <c r="K520" s="797">
        <f>G513+G516+G519</f>
        <v>1097</v>
      </c>
      <c r="L520" s="797"/>
      <c r="M520" s="797"/>
      <c r="N520" s="118" t="s">
        <v>1119</v>
      </c>
      <c r="O520" s="109"/>
      <c r="P520" s="109"/>
      <c r="Q520" s="476"/>
      <c r="R520" s="116">
        <v>1</v>
      </c>
    </row>
    <row r="521" spans="1:18" ht="21.2" customHeight="1">
      <c r="A521" s="475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476"/>
      <c r="R521" s="116">
        <v>1</v>
      </c>
    </row>
    <row r="522" spans="1:18" ht="21.2" customHeight="1">
      <c r="A522" s="475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476"/>
      <c r="R522" s="116">
        <v>1</v>
      </c>
    </row>
    <row r="523" spans="1:18" ht="21.2" customHeight="1">
      <c r="A523" s="475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476"/>
      <c r="R523" s="116">
        <v>1</v>
      </c>
    </row>
    <row r="524" spans="1:18" ht="21.2" customHeight="1">
      <c r="A524" s="475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476"/>
      <c r="R524" s="116">
        <v>1</v>
      </c>
    </row>
    <row r="525" spans="1:18" ht="21.2" customHeight="1">
      <c r="A525" s="475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476"/>
      <c r="R525" s="116">
        <v>1</v>
      </c>
    </row>
    <row r="526" spans="1:18" ht="21.2" customHeight="1">
      <c r="A526" s="482"/>
      <c r="B526" s="136"/>
      <c r="C526" s="136"/>
      <c r="D526" s="136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483"/>
      <c r="R526" s="116">
        <v>1</v>
      </c>
    </row>
    <row r="527" spans="1:18" ht="21.2" customHeight="1">
      <c r="R527" s="116">
        <v>1</v>
      </c>
    </row>
    <row r="528" spans="1:18" s="472" customFormat="1" ht="21.2" customHeight="1">
      <c r="A528" s="796" t="s">
        <v>817</v>
      </c>
      <c r="B528" s="796"/>
      <c r="C528" s="796"/>
      <c r="D528" s="796"/>
      <c r="E528" s="796"/>
      <c r="F528" s="796"/>
      <c r="G528" s="796"/>
      <c r="H528" s="796"/>
      <c r="I528" s="796"/>
      <c r="J528" s="796"/>
      <c r="K528" s="796"/>
      <c r="L528" s="796"/>
      <c r="M528" s="796"/>
      <c r="N528" s="796"/>
      <c r="O528" s="796"/>
      <c r="P528" s="796"/>
      <c r="Q528" s="796"/>
      <c r="R528" s="116">
        <v>1</v>
      </c>
    </row>
    <row r="529" spans="1:18" ht="21.2" customHeight="1">
      <c r="A529" s="473" t="s">
        <v>1437</v>
      </c>
      <c r="B529" s="142" t="s">
        <v>1526</v>
      </c>
      <c r="C529" s="125" t="s">
        <v>5</v>
      </c>
      <c r="D529" s="125"/>
      <c r="E529" s="125"/>
      <c r="F529" s="125"/>
      <c r="G529" s="125"/>
      <c r="H529" s="125"/>
      <c r="I529" s="125"/>
      <c r="J529" s="125"/>
      <c r="K529" s="125"/>
      <c r="L529" s="125"/>
      <c r="M529" s="125"/>
      <c r="N529" s="125"/>
      <c r="O529" s="125"/>
      <c r="P529" s="125"/>
      <c r="Q529" s="474"/>
      <c r="R529" s="116">
        <v>1</v>
      </c>
    </row>
    <row r="530" spans="1:18" ht="21.2" customHeight="1">
      <c r="A530" s="475" t="s">
        <v>1100</v>
      </c>
      <c r="B530" s="118" t="s">
        <v>1526</v>
      </c>
      <c r="C530" s="800" t="s">
        <v>4023</v>
      </c>
      <c r="D530" s="800"/>
      <c r="E530" s="800"/>
      <c r="F530" s="800"/>
      <c r="G530" s="118" t="s">
        <v>1527</v>
      </c>
      <c r="H530" s="109" t="s">
        <v>1526</v>
      </c>
      <c r="I530" s="109" t="s">
        <v>448</v>
      </c>
      <c r="J530" s="109"/>
      <c r="K530" s="109"/>
      <c r="L530" s="109"/>
      <c r="M530" s="109"/>
      <c r="N530" s="109"/>
      <c r="O530" s="109"/>
      <c r="P530" s="109"/>
      <c r="Q530" s="476"/>
      <c r="R530" s="116">
        <v>1</v>
      </c>
    </row>
    <row r="531" spans="1:18" ht="21.2" customHeight="1">
      <c r="A531" s="477">
        <f>A496+1</f>
        <v>16</v>
      </c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476"/>
      <c r="R531" s="116">
        <v>1</v>
      </c>
    </row>
    <row r="532" spans="1:18" ht="21.2" customHeight="1">
      <c r="A532" s="473" t="s">
        <v>1102</v>
      </c>
      <c r="B532" s="125"/>
      <c r="C532" s="125" t="s">
        <v>4024</v>
      </c>
      <c r="D532" s="125"/>
      <c r="E532" s="125"/>
      <c r="F532" s="125"/>
      <c r="G532" s="125"/>
      <c r="H532" s="125"/>
      <c r="I532" s="125"/>
      <c r="J532" s="125"/>
      <c r="K532" s="125"/>
      <c r="L532" s="125"/>
      <c r="M532" s="125"/>
      <c r="N532" s="125"/>
      <c r="O532" s="125"/>
      <c r="P532" s="125"/>
      <c r="Q532" s="474"/>
      <c r="R532" s="116">
        <v>1</v>
      </c>
    </row>
    <row r="533" spans="1:18" ht="21.2" customHeight="1">
      <c r="A533" s="475" t="s">
        <v>1103</v>
      </c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476"/>
      <c r="R533" s="116">
        <v>1</v>
      </c>
    </row>
    <row r="534" spans="1:18" ht="21.2" customHeight="1">
      <c r="A534" s="475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476"/>
      <c r="R534" s="116">
        <v>1</v>
      </c>
    </row>
    <row r="535" spans="1:18" ht="21.2" customHeight="1">
      <c r="A535" s="473" t="s">
        <v>1104</v>
      </c>
      <c r="B535" s="125"/>
      <c r="C535" s="125"/>
      <c r="D535" s="125"/>
      <c r="E535" s="125"/>
      <c r="F535" s="125"/>
      <c r="G535" s="125"/>
      <c r="H535" s="125"/>
      <c r="I535" s="125"/>
      <c r="J535" s="125"/>
      <c r="K535" s="125"/>
      <c r="L535" s="125"/>
      <c r="M535" s="125"/>
      <c r="N535" s="125"/>
      <c r="O535" s="125"/>
      <c r="P535" s="125"/>
      <c r="Q535" s="474"/>
      <c r="R535" s="116">
        <v>1</v>
      </c>
    </row>
    <row r="536" spans="1:18" ht="21.2" customHeight="1">
      <c r="A536" s="475" t="s">
        <v>1105</v>
      </c>
      <c r="B536" s="118" t="s">
        <v>1582</v>
      </c>
      <c r="C536" s="478">
        <v>0.4</v>
      </c>
      <c r="D536" s="109" t="s">
        <v>1106</v>
      </c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476"/>
      <c r="R536" s="116">
        <v>1</v>
      </c>
    </row>
    <row r="537" spans="1:18" ht="21.2" customHeight="1">
      <c r="A537" s="475" t="s">
        <v>1107</v>
      </c>
      <c r="B537" s="118" t="s">
        <v>1582</v>
      </c>
      <c r="C537" s="478">
        <v>0.7</v>
      </c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476"/>
      <c r="R537" s="116">
        <v>1</v>
      </c>
    </row>
    <row r="538" spans="1:18" ht="21.2" customHeight="1">
      <c r="A538" s="475" t="s">
        <v>1108</v>
      </c>
      <c r="B538" s="118" t="s">
        <v>1582</v>
      </c>
      <c r="C538" s="478">
        <v>0.71</v>
      </c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476"/>
      <c r="R538" s="116">
        <v>1</v>
      </c>
    </row>
    <row r="539" spans="1:18" ht="21.2" customHeight="1">
      <c r="A539" s="475" t="s">
        <v>1109</v>
      </c>
      <c r="B539" s="118" t="s">
        <v>1582</v>
      </c>
      <c r="C539" s="478">
        <v>0.45</v>
      </c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476"/>
      <c r="R539" s="116">
        <v>1</v>
      </c>
    </row>
    <row r="540" spans="1:18" ht="21.2" customHeight="1">
      <c r="A540" s="475" t="s">
        <v>1583</v>
      </c>
      <c r="B540" s="118" t="s">
        <v>1582</v>
      </c>
      <c r="C540" s="478">
        <v>18</v>
      </c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476"/>
      <c r="R540" s="116">
        <v>1</v>
      </c>
    </row>
    <row r="541" spans="1:18" ht="21.2" customHeight="1">
      <c r="A541" s="475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476"/>
      <c r="R541" s="116">
        <v>1</v>
      </c>
    </row>
    <row r="542" spans="1:18" ht="21.2" customHeight="1">
      <c r="A542" s="473" t="s">
        <v>1110</v>
      </c>
      <c r="B542" s="125"/>
      <c r="C542" s="125"/>
      <c r="D542" s="125"/>
      <c r="E542" s="125"/>
      <c r="F542" s="125"/>
      <c r="G542" s="125"/>
      <c r="H542" s="125"/>
      <c r="I542" s="125"/>
      <c r="J542" s="125"/>
      <c r="K542" s="125"/>
      <c r="L542" s="125"/>
      <c r="M542" s="125"/>
      <c r="N542" s="125"/>
      <c r="O542" s="125"/>
      <c r="P542" s="125"/>
      <c r="Q542" s="474"/>
      <c r="R542" s="116">
        <v>1</v>
      </c>
    </row>
    <row r="543" spans="1:18" ht="21.2" customHeight="1">
      <c r="A543" s="475" t="s">
        <v>1111</v>
      </c>
      <c r="B543" s="118" t="s">
        <v>1582</v>
      </c>
      <c r="C543" s="118">
        <v>3600</v>
      </c>
      <c r="D543" s="118" t="s">
        <v>86</v>
      </c>
      <c r="E543" s="118" t="s">
        <v>1105</v>
      </c>
      <c r="F543" s="118" t="s">
        <v>86</v>
      </c>
      <c r="G543" s="118" t="s">
        <v>1107</v>
      </c>
      <c r="H543" s="118" t="s">
        <v>86</v>
      </c>
      <c r="I543" s="118" t="s">
        <v>1108</v>
      </c>
      <c r="J543" s="118" t="s">
        <v>86</v>
      </c>
      <c r="K543" s="118" t="s">
        <v>1109</v>
      </c>
      <c r="L543" s="479" t="s">
        <v>1112</v>
      </c>
      <c r="M543" s="118" t="s">
        <v>1583</v>
      </c>
      <c r="N543" s="707" t="s">
        <v>4025</v>
      </c>
      <c r="O543" s="109"/>
      <c r="P543" s="109"/>
      <c r="Q543" s="476"/>
      <c r="R543" s="116">
        <v>1</v>
      </c>
    </row>
    <row r="544" spans="1:18" ht="21.2" customHeight="1">
      <c r="A544" s="475"/>
      <c r="B544" s="118" t="s">
        <v>1113</v>
      </c>
      <c r="C544" s="118">
        <f>C543</f>
        <v>3600</v>
      </c>
      <c r="D544" s="118" t="str">
        <f>D543</f>
        <v>*</v>
      </c>
      <c r="E544" s="275">
        <f>C536</f>
        <v>0.4</v>
      </c>
      <c r="F544" s="118" t="str">
        <f>F543</f>
        <v>*</v>
      </c>
      <c r="G544" s="275">
        <f>C537</f>
        <v>0.7</v>
      </c>
      <c r="H544" s="118" t="str">
        <f>H543</f>
        <v>*</v>
      </c>
      <c r="I544" s="275">
        <f>C538</f>
        <v>0.71</v>
      </c>
      <c r="J544" s="118" t="str">
        <f>J543</f>
        <v>*</v>
      </c>
      <c r="K544" s="275">
        <f>C539</f>
        <v>0.45</v>
      </c>
      <c r="L544" s="118" t="str">
        <f>L543</f>
        <v>/</v>
      </c>
      <c r="M544" s="275">
        <f>C540</f>
        <v>18</v>
      </c>
      <c r="N544" s="118" t="s">
        <v>1582</v>
      </c>
      <c r="O544" s="134">
        <f>TRUNC((C544*E544*G544*I544*K544/M544),2)</f>
        <v>17.89</v>
      </c>
      <c r="P544" s="109"/>
      <c r="Q544" s="476"/>
      <c r="R544" s="116">
        <v>1</v>
      </c>
    </row>
    <row r="545" spans="1:18" ht="21.2" customHeight="1">
      <c r="A545" s="475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476"/>
      <c r="R545" s="116">
        <v>1</v>
      </c>
    </row>
    <row r="546" spans="1:18" ht="21.2" customHeight="1">
      <c r="A546" s="473" t="s">
        <v>1114</v>
      </c>
      <c r="B546" s="125"/>
      <c r="C546" s="125"/>
      <c r="D546" s="125"/>
      <c r="E546" s="125"/>
      <c r="F546" s="125"/>
      <c r="G546" s="125"/>
      <c r="H546" s="125"/>
      <c r="I546" s="125"/>
      <c r="J546" s="125"/>
      <c r="K546" s="125"/>
      <c r="L546" s="125"/>
      <c r="M546" s="125"/>
      <c r="N546" s="125"/>
      <c r="O546" s="125"/>
      <c r="P546" s="125"/>
      <c r="Q546" s="474"/>
      <c r="R546" s="116">
        <v>1</v>
      </c>
    </row>
    <row r="547" spans="1:18" ht="21.2" customHeight="1">
      <c r="A547" s="475" t="s">
        <v>1436</v>
      </c>
      <c r="B547" s="109" t="s">
        <v>1582</v>
      </c>
      <c r="C547" s="480">
        <f>중기사용료!$M$100</f>
        <v>12514</v>
      </c>
      <c r="D547" s="479" t="s">
        <v>1112</v>
      </c>
      <c r="E547" s="118" t="s">
        <v>1111</v>
      </c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476"/>
      <c r="R547" s="116">
        <v>1</v>
      </c>
    </row>
    <row r="548" spans="1:18" ht="21.2" customHeight="1">
      <c r="A548" s="475"/>
      <c r="B548" s="118" t="s">
        <v>1113</v>
      </c>
      <c r="C548" s="480">
        <f>C547</f>
        <v>12514</v>
      </c>
      <c r="D548" s="118" t="str">
        <f>D547</f>
        <v>/</v>
      </c>
      <c r="E548" s="134">
        <f>O544</f>
        <v>17.89</v>
      </c>
      <c r="F548" s="109" t="s">
        <v>1582</v>
      </c>
      <c r="G548" s="481">
        <f>TRUNC(C548/E548)</f>
        <v>699</v>
      </c>
      <c r="H548" s="109"/>
      <c r="I548" s="109"/>
      <c r="J548" s="109"/>
      <c r="K548" s="109"/>
      <c r="L548" s="109"/>
      <c r="M548" s="109"/>
      <c r="N548" s="109"/>
      <c r="O548" s="109"/>
      <c r="P548" s="109"/>
      <c r="Q548" s="476"/>
      <c r="R548" s="116">
        <v>1</v>
      </c>
    </row>
    <row r="549" spans="1:18" ht="21.2" customHeight="1">
      <c r="A549" s="475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476"/>
      <c r="R549" s="116">
        <v>1</v>
      </c>
    </row>
    <row r="550" spans="1:18" ht="21.2" customHeight="1">
      <c r="A550" s="475" t="s">
        <v>1115</v>
      </c>
      <c r="B550" s="109" t="s">
        <v>1582</v>
      </c>
      <c r="C550" s="480">
        <f>중기사용료!$M$106</f>
        <v>27168</v>
      </c>
      <c r="D550" s="479" t="s">
        <v>1112</v>
      </c>
      <c r="E550" s="118" t="s">
        <v>1111</v>
      </c>
      <c r="F550" s="118"/>
      <c r="G550" s="118"/>
      <c r="H550" s="109"/>
      <c r="I550" s="109"/>
      <c r="J550" s="109"/>
      <c r="K550" s="109"/>
      <c r="L550" s="109"/>
      <c r="M550" s="109"/>
      <c r="N550" s="109"/>
      <c r="O550" s="109"/>
      <c r="P550" s="109"/>
      <c r="Q550" s="476"/>
      <c r="R550" s="116">
        <v>1</v>
      </c>
    </row>
    <row r="551" spans="1:18" ht="21.2" customHeight="1">
      <c r="A551" s="475"/>
      <c r="B551" s="118" t="s">
        <v>1113</v>
      </c>
      <c r="C551" s="480">
        <f>C550</f>
        <v>27168</v>
      </c>
      <c r="D551" s="479" t="str">
        <f>D550</f>
        <v>/</v>
      </c>
      <c r="E551" s="134">
        <f>O544</f>
        <v>17.89</v>
      </c>
      <c r="F551" s="118" t="s">
        <v>1582</v>
      </c>
      <c r="G551" s="481">
        <f>TRUNC(C551/E551)</f>
        <v>1518</v>
      </c>
      <c r="H551" s="109"/>
      <c r="I551" s="109"/>
      <c r="J551" s="109"/>
      <c r="K551" s="109"/>
      <c r="L551" s="109"/>
      <c r="M551" s="109"/>
      <c r="N551" s="109"/>
      <c r="O551" s="109"/>
      <c r="P551" s="109"/>
      <c r="Q551" s="476"/>
      <c r="R551" s="116">
        <v>1</v>
      </c>
    </row>
    <row r="552" spans="1:18" ht="21.2" customHeight="1">
      <c r="A552" s="475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476"/>
      <c r="R552" s="116">
        <v>1</v>
      </c>
    </row>
    <row r="553" spans="1:18" ht="21.2" customHeight="1">
      <c r="A553" s="475" t="s">
        <v>1116</v>
      </c>
      <c r="B553" s="118" t="s">
        <v>1582</v>
      </c>
      <c r="C553" s="480">
        <f>중기사용료!$M$112</f>
        <v>13465</v>
      </c>
      <c r="D553" s="479" t="s">
        <v>1112</v>
      </c>
      <c r="E553" s="118" t="s">
        <v>1111</v>
      </c>
      <c r="F553" s="118"/>
      <c r="G553" s="118"/>
      <c r="H553" s="109"/>
      <c r="I553" s="109"/>
      <c r="J553" s="109"/>
      <c r="K553" s="109"/>
      <c r="L553" s="109"/>
      <c r="M553" s="109"/>
      <c r="N553" s="109"/>
      <c r="O553" s="109"/>
      <c r="P553" s="109"/>
      <c r="Q553" s="476"/>
      <c r="R553" s="116">
        <v>1</v>
      </c>
    </row>
    <row r="554" spans="1:18" ht="21.2" customHeight="1">
      <c r="A554" s="475"/>
      <c r="B554" s="118" t="s">
        <v>1113</v>
      </c>
      <c r="C554" s="480">
        <f>C553</f>
        <v>13465</v>
      </c>
      <c r="D554" s="118" t="str">
        <f>D553</f>
        <v>/</v>
      </c>
      <c r="E554" s="134">
        <f>O544</f>
        <v>17.89</v>
      </c>
      <c r="F554" s="118" t="s">
        <v>1582</v>
      </c>
      <c r="G554" s="481">
        <f>TRUNC(C554/E554)</f>
        <v>752</v>
      </c>
      <c r="H554" s="109"/>
      <c r="I554" s="109"/>
      <c r="J554" s="109"/>
      <c r="K554" s="109"/>
      <c r="L554" s="109"/>
      <c r="M554" s="109"/>
      <c r="N554" s="109"/>
      <c r="O554" s="109"/>
      <c r="P554" s="109"/>
      <c r="Q554" s="476"/>
      <c r="R554" s="116">
        <v>1</v>
      </c>
    </row>
    <row r="555" spans="1:18" ht="21.2" customHeight="1">
      <c r="A555" s="475"/>
      <c r="B555" s="109"/>
      <c r="C555" s="109"/>
      <c r="D555" s="109"/>
      <c r="E555" s="109"/>
      <c r="F555" s="109"/>
      <c r="G555" s="109"/>
      <c r="H555" s="118" t="s">
        <v>1117</v>
      </c>
      <c r="I555" s="118" t="s">
        <v>1118</v>
      </c>
      <c r="J555" s="118" t="s">
        <v>1113</v>
      </c>
      <c r="K555" s="797">
        <f>G548+G551+G554</f>
        <v>2969</v>
      </c>
      <c r="L555" s="797"/>
      <c r="M555" s="797"/>
      <c r="N555" s="118" t="s">
        <v>1119</v>
      </c>
      <c r="O555" s="109"/>
      <c r="P555" s="109"/>
      <c r="Q555" s="476"/>
      <c r="R555" s="116">
        <v>1</v>
      </c>
    </row>
    <row r="556" spans="1:18" ht="21.2" customHeight="1">
      <c r="A556" s="475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476"/>
      <c r="R556" s="116">
        <v>1</v>
      </c>
    </row>
    <row r="557" spans="1:18" ht="21.2" customHeight="1">
      <c r="A557" s="475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476"/>
      <c r="R557" s="116">
        <v>1</v>
      </c>
    </row>
    <row r="558" spans="1:18" ht="21.2" customHeight="1">
      <c r="A558" s="475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476"/>
      <c r="R558" s="116">
        <v>1</v>
      </c>
    </row>
    <row r="559" spans="1:18" ht="21.2" customHeight="1">
      <c r="A559" s="475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476"/>
      <c r="R559" s="116">
        <v>1</v>
      </c>
    </row>
    <row r="560" spans="1:18" ht="21.2" customHeight="1">
      <c r="A560" s="475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476"/>
      <c r="R560" s="116">
        <v>1</v>
      </c>
    </row>
    <row r="561" spans="1:18" ht="21.2" customHeight="1">
      <c r="A561" s="482"/>
      <c r="B561" s="136"/>
      <c r="C561" s="136"/>
      <c r="D561" s="136"/>
      <c r="E561" s="136"/>
      <c r="F561" s="136"/>
      <c r="G561" s="136"/>
      <c r="H561" s="136"/>
      <c r="I561" s="136"/>
      <c r="J561" s="136"/>
      <c r="K561" s="136"/>
      <c r="L561" s="136"/>
      <c r="M561" s="136"/>
      <c r="N561" s="136"/>
      <c r="O561" s="136"/>
      <c r="P561" s="136"/>
      <c r="Q561" s="483"/>
      <c r="R561" s="116">
        <v>1</v>
      </c>
    </row>
    <row r="562" spans="1:18" ht="21.2" customHeight="1">
      <c r="R562" s="116">
        <v>1</v>
      </c>
    </row>
    <row r="563" spans="1:18" s="472" customFormat="1" ht="21.2" customHeight="1">
      <c r="A563" s="798" t="s">
        <v>817</v>
      </c>
      <c r="B563" s="798"/>
      <c r="C563" s="798"/>
      <c r="D563" s="798"/>
      <c r="E563" s="798"/>
      <c r="F563" s="798"/>
      <c r="G563" s="798"/>
      <c r="H563" s="798"/>
      <c r="I563" s="798"/>
      <c r="J563" s="798"/>
      <c r="K563" s="798"/>
      <c r="L563" s="798"/>
      <c r="M563" s="798"/>
      <c r="N563" s="798"/>
      <c r="O563" s="798"/>
      <c r="P563" s="798"/>
      <c r="Q563" s="798"/>
      <c r="R563" s="116">
        <v>1</v>
      </c>
    </row>
    <row r="564" spans="1:18" ht="21.2" customHeight="1">
      <c r="A564" s="473" t="s">
        <v>1437</v>
      </c>
      <c r="B564" s="142" t="s">
        <v>1526</v>
      </c>
      <c r="C564" s="125" t="s">
        <v>5</v>
      </c>
      <c r="D564" s="125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474"/>
      <c r="R564" s="116">
        <v>1</v>
      </c>
    </row>
    <row r="565" spans="1:18" ht="21.2" customHeight="1">
      <c r="A565" s="475" t="s">
        <v>1100</v>
      </c>
      <c r="B565" s="118" t="s">
        <v>1526</v>
      </c>
      <c r="C565" s="800" t="s">
        <v>4023</v>
      </c>
      <c r="D565" s="800"/>
      <c r="E565" s="800"/>
      <c r="F565" s="800"/>
      <c r="G565" s="118" t="s">
        <v>1527</v>
      </c>
      <c r="H565" s="109" t="s">
        <v>1526</v>
      </c>
      <c r="I565" s="755" t="s">
        <v>841</v>
      </c>
      <c r="J565" s="109" t="s">
        <v>3222</v>
      </c>
      <c r="K565" s="109"/>
      <c r="L565" s="109"/>
      <c r="M565" s="109"/>
      <c r="N565" s="109"/>
      <c r="O565" s="109"/>
      <c r="P565" s="109"/>
      <c r="Q565" s="476"/>
      <c r="R565" s="116">
        <v>1</v>
      </c>
    </row>
    <row r="566" spans="1:18" ht="21.2" customHeight="1">
      <c r="A566" s="477">
        <f>A531+1</f>
        <v>17</v>
      </c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476"/>
      <c r="R566" s="116">
        <v>1</v>
      </c>
    </row>
    <row r="567" spans="1:18" ht="21.2" customHeight="1">
      <c r="A567" s="473" t="s">
        <v>1102</v>
      </c>
      <c r="B567" s="125"/>
      <c r="C567" s="125" t="s">
        <v>4024</v>
      </c>
      <c r="D567" s="125"/>
      <c r="E567" s="125"/>
      <c r="F567" s="125"/>
      <c r="G567" s="125"/>
      <c r="H567" s="125"/>
      <c r="I567" s="125"/>
      <c r="J567" s="125"/>
      <c r="K567" s="125"/>
      <c r="L567" s="125"/>
      <c r="M567" s="125"/>
      <c r="N567" s="125"/>
      <c r="O567" s="125"/>
      <c r="P567" s="125"/>
      <c r="Q567" s="474"/>
      <c r="R567" s="116">
        <v>1</v>
      </c>
    </row>
    <row r="568" spans="1:18" ht="21.2" customHeight="1">
      <c r="A568" s="475" t="s">
        <v>1103</v>
      </c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476"/>
      <c r="R568" s="116">
        <v>1</v>
      </c>
    </row>
    <row r="569" spans="1:18" ht="21.2" customHeight="1">
      <c r="A569" s="475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476"/>
      <c r="R569" s="116">
        <v>1</v>
      </c>
    </row>
    <row r="570" spans="1:18" ht="21.2" customHeight="1">
      <c r="A570" s="473" t="s">
        <v>1104</v>
      </c>
      <c r="B570" s="125"/>
      <c r="C570" s="125"/>
      <c r="D570" s="125"/>
      <c r="E570" s="125"/>
      <c r="F570" s="125"/>
      <c r="G570" s="125"/>
      <c r="H570" s="125"/>
      <c r="I570" s="125"/>
      <c r="J570" s="125"/>
      <c r="K570" s="125"/>
      <c r="L570" s="125"/>
      <c r="M570" s="125"/>
      <c r="N570" s="125"/>
      <c r="O570" s="125"/>
      <c r="P570" s="125"/>
      <c r="Q570" s="474"/>
      <c r="R570" s="116">
        <v>1</v>
      </c>
    </row>
    <row r="571" spans="1:18" ht="21.2" customHeight="1">
      <c r="A571" s="475" t="s">
        <v>1105</v>
      </c>
      <c r="B571" s="118" t="s">
        <v>1582</v>
      </c>
      <c r="C571" s="478">
        <v>0.7</v>
      </c>
      <c r="D571" s="109" t="s">
        <v>1106</v>
      </c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476"/>
      <c r="R571" s="116">
        <v>1</v>
      </c>
    </row>
    <row r="572" spans="1:18" ht="21.2" customHeight="1">
      <c r="A572" s="475" t="s">
        <v>1107</v>
      </c>
      <c r="B572" s="118" t="s">
        <v>1582</v>
      </c>
      <c r="C572" s="478">
        <v>0.7</v>
      </c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476"/>
      <c r="R572" s="116">
        <v>1</v>
      </c>
    </row>
    <row r="573" spans="1:18" ht="21.2" customHeight="1">
      <c r="A573" s="475" t="s">
        <v>1108</v>
      </c>
      <c r="B573" s="118" t="s">
        <v>1582</v>
      </c>
      <c r="C573" s="478">
        <v>0.71</v>
      </c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476"/>
      <c r="R573" s="116">
        <v>1</v>
      </c>
    </row>
    <row r="574" spans="1:18" ht="21.2" customHeight="1">
      <c r="A574" s="475" t="s">
        <v>1109</v>
      </c>
      <c r="B574" s="118" t="s">
        <v>1582</v>
      </c>
      <c r="C574" s="478">
        <v>0.45</v>
      </c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476"/>
      <c r="R574" s="116">
        <v>1</v>
      </c>
    </row>
    <row r="575" spans="1:18" ht="21.2" customHeight="1">
      <c r="A575" s="475" t="s">
        <v>1583</v>
      </c>
      <c r="B575" s="118" t="s">
        <v>1582</v>
      </c>
      <c r="C575" s="478">
        <v>20</v>
      </c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476"/>
      <c r="R575" s="116">
        <v>1</v>
      </c>
    </row>
    <row r="576" spans="1:18" ht="21.2" customHeight="1">
      <c r="A576" s="475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476"/>
      <c r="R576" s="116">
        <v>1</v>
      </c>
    </row>
    <row r="577" spans="1:18" ht="21.2" customHeight="1">
      <c r="A577" s="473" t="s">
        <v>1110</v>
      </c>
      <c r="B577" s="125"/>
      <c r="C577" s="125"/>
      <c r="D577" s="125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474"/>
      <c r="R577" s="116">
        <v>1</v>
      </c>
    </row>
    <row r="578" spans="1:18" ht="21.2" customHeight="1">
      <c r="A578" s="475" t="s">
        <v>1111</v>
      </c>
      <c r="B578" s="118" t="s">
        <v>1582</v>
      </c>
      <c r="C578" s="118">
        <v>3600</v>
      </c>
      <c r="D578" s="118" t="s">
        <v>86</v>
      </c>
      <c r="E578" s="118" t="s">
        <v>1105</v>
      </c>
      <c r="F578" s="118" t="s">
        <v>86</v>
      </c>
      <c r="G578" s="118" t="s">
        <v>1107</v>
      </c>
      <c r="H578" s="118" t="s">
        <v>86</v>
      </c>
      <c r="I578" s="118" t="s">
        <v>1108</v>
      </c>
      <c r="J578" s="118" t="s">
        <v>86</v>
      </c>
      <c r="K578" s="118" t="s">
        <v>1109</v>
      </c>
      <c r="L578" s="479" t="s">
        <v>1112</v>
      </c>
      <c r="M578" s="118" t="s">
        <v>1583</v>
      </c>
      <c r="N578" s="707" t="s">
        <v>4025</v>
      </c>
      <c r="O578" s="109"/>
      <c r="P578" s="109"/>
      <c r="Q578" s="476"/>
      <c r="R578" s="116">
        <v>1</v>
      </c>
    </row>
    <row r="579" spans="1:18" ht="21.2" customHeight="1">
      <c r="A579" s="475"/>
      <c r="B579" s="118" t="s">
        <v>1113</v>
      </c>
      <c r="C579" s="118">
        <f>C578</f>
        <v>3600</v>
      </c>
      <c r="D579" s="118" t="str">
        <f>D578</f>
        <v>*</v>
      </c>
      <c r="E579" s="275">
        <f>C571</f>
        <v>0.7</v>
      </c>
      <c r="F579" s="118" t="str">
        <f>F578</f>
        <v>*</v>
      </c>
      <c r="G579" s="275">
        <f>C572</f>
        <v>0.7</v>
      </c>
      <c r="H579" s="118" t="str">
        <f>H578</f>
        <v>*</v>
      </c>
      <c r="I579" s="275">
        <f>C573</f>
        <v>0.71</v>
      </c>
      <c r="J579" s="118" t="str">
        <f>J578</f>
        <v>*</v>
      </c>
      <c r="K579" s="275">
        <f>C574</f>
        <v>0.45</v>
      </c>
      <c r="L579" s="118" t="str">
        <f>L578</f>
        <v>/</v>
      </c>
      <c r="M579" s="275">
        <f>C575</f>
        <v>20</v>
      </c>
      <c r="N579" s="118" t="s">
        <v>1582</v>
      </c>
      <c r="O579" s="134">
        <f>TRUNC((C579*E579*G579*I579*K579/M579),2)</f>
        <v>28.17</v>
      </c>
      <c r="P579" s="109"/>
      <c r="Q579" s="476"/>
      <c r="R579" s="116">
        <v>1</v>
      </c>
    </row>
    <row r="580" spans="1:18" ht="21.2" customHeight="1">
      <c r="A580" s="475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476"/>
      <c r="R580" s="116">
        <v>1</v>
      </c>
    </row>
    <row r="581" spans="1:18" ht="21.2" customHeight="1">
      <c r="A581" s="473" t="s">
        <v>1114</v>
      </c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474"/>
      <c r="R581" s="116">
        <v>1</v>
      </c>
    </row>
    <row r="582" spans="1:18" ht="21.2" customHeight="1">
      <c r="A582" s="475" t="s">
        <v>1436</v>
      </c>
      <c r="B582" s="109" t="s">
        <v>1582</v>
      </c>
      <c r="C582" s="480">
        <f>중기사용료!$M$195</f>
        <v>21622</v>
      </c>
      <c r="D582" s="479" t="s">
        <v>1112</v>
      </c>
      <c r="E582" s="118" t="s">
        <v>1111</v>
      </c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476"/>
      <c r="R582" s="116">
        <v>1</v>
      </c>
    </row>
    <row r="583" spans="1:18" ht="21.2" customHeight="1">
      <c r="A583" s="475"/>
      <c r="B583" s="118" t="s">
        <v>1113</v>
      </c>
      <c r="C583" s="480">
        <f>C582</f>
        <v>21622</v>
      </c>
      <c r="D583" s="118" t="str">
        <f>D582</f>
        <v>/</v>
      </c>
      <c r="E583" s="134">
        <f>O579</f>
        <v>28.17</v>
      </c>
      <c r="F583" s="109" t="s">
        <v>1582</v>
      </c>
      <c r="G583" s="481">
        <f>TRUNC(C583/E583)</f>
        <v>767</v>
      </c>
      <c r="H583" s="109"/>
      <c r="I583" s="109"/>
      <c r="J583" s="109"/>
      <c r="K583" s="109"/>
      <c r="L583" s="109"/>
      <c r="M583" s="109"/>
      <c r="N583" s="109"/>
      <c r="O583" s="109"/>
      <c r="P583" s="109"/>
      <c r="Q583" s="476"/>
      <c r="R583" s="116">
        <v>1</v>
      </c>
    </row>
    <row r="584" spans="1:18" ht="21.2" customHeight="1">
      <c r="A584" s="475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476"/>
      <c r="R584" s="116">
        <v>1</v>
      </c>
    </row>
    <row r="585" spans="1:18" ht="21.2" customHeight="1">
      <c r="A585" s="475" t="s">
        <v>1115</v>
      </c>
      <c r="B585" s="109" t="s">
        <v>1582</v>
      </c>
      <c r="C585" s="480">
        <f>중기사용료!$M$201</f>
        <v>27168</v>
      </c>
      <c r="D585" s="479" t="s">
        <v>1112</v>
      </c>
      <c r="E585" s="118" t="s">
        <v>1111</v>
      </c>
      <c r="F585" s="118"/>
      <c r="G585" s="118"/>
      <c r="H585" s="109"/>
      <c r="I585" s="109"/>
      <c r="J585" s="109"/>
      <c r="K585" s="109"/>
      <c r="L585" s="109"/>
      <c r="M585" s="109"/>
      <c r="N585" s="109"/>
      <c r="O585" s="109"/>
      <c r="P585" s="109"/>
      <c r="Q585" s="476"/>
      <c r="R585" s="116">
        <v>1</v>
      </c>
    </row>
    <row r="586" spans="1:18" ht="21.2" customHeight="1">
      <c r="A586" s="475"/>
      <c r="B586" s="118" t="s">
        <v>1113</v>
      </c>
      <c r="C586" s="480">
        <f>C585</f>
        <v>27168</v>
      </c>
      <c r="D586" s="479" t="str">
        <f>D585</f>
        <v>/</v>
      </c>
      <c r="E586" s="134">
        <f>O579</f>
        <v>28.17</v>
      </c>
      <c r="F586" s="118" t="s">
        <v>1582</v>
      </c>
      <c r="G586" s="481">
        <f>TRUNC(C586/E586)</f>
        <v>964</v>
      </c>
      <c r="H586" s="109"/>
      <c r="I586" s="109"/>
      <c r="J586" s="109"/>
      <c r="K586" s="109"/>
      <c r="L586" s="109"/>
      <c r="M586" s="109"/>
      <c r="N586" s="109"/>
      <c r="O586" s="109"/>
      <c r="P586" s="109"/>
      <c r="Q586" s="476"/>
      <c r="R586" s="116">
        <v>1</v>
      </c>
    </row>
    <row r="587" spans="1:18" ht="21.2" customHeight="1">
      <c r="A587" s="475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476"/>
      <c r="R587" s="116">
        <v>1</v>
      </c>
    </row>
    <row r="588" spans="1:18" ht="21.2" customHeight="1">
      <c r="A588" s="475" t="s">
        <v>1116</v>
      </c>
      <c r="B588" s="118" t="s">
        <v>1582</v>
      </c>
      <c r="C588" s="480">
        <f>중기사용료!$M$207</f>
        <v>16036</v>
      </c>
      <c r="D588" s="479" t="s">
        <v>1112</v>
      </c>
      <c r="E588" s="118" t="s">
        <v>1111</v>
      </c>
      <c r="F588" s="118"/>
      <c r="G588" s="118"/>
      <c r="H588" s="109"/>
      <c r="I588" s="109"/>
      <c r="J588" s="109"/>
      <c r="K588" s="109"/>
      <c r="L588" s="109"/>
      <c r="M588" s="109"/>
      <c r="N588" s="109"/>
      <c r="O588" s="109"/>
      <c r="P588" s="109"/>
      <c r="Q588" s="476"/>
      <c r="R588" s="116">
        <v>1</v>
      </c>
    </row>
    <row r="589" spans="1:18" ht="21.2" customHeight="1">
      <c r="A589" s="475"/>
      <c r="B589" s="118" t="s">
        <v>1113</v>
      </c>
      <c r="C589" s="480">
        <f>C588</f>
        <v>16036</v>
      </c>
      <c r="D589" s="118" t="str">
        <f>D588</f>
        <v>/</v>
      </c>
      <c r="E589" s="134">
        <f>O579</f>
        <v>28.17</v>
      </c>
      <c r="F589" s="118" t="s">
        <v>1582</v>
      </c>
      <c r="G589" s="481">
        <f>TRUNC(C589/E589)</f>
        <v>569</v>
      </c>
      <c r="H589" s="109"/>
      <c r="I589" s="109"/>
      <c r="J589" s="109"/>
      <c r="K589" s="109"/>
      <c r="L589" s="109"/>
      <c r="M589" s="109"/>
      <c r="N589" s="109"/>
      <c r="O589" s="109"/>
      <c r="P589" s="109"/>
      <c r="Q589" s="476"/>
      <c r="R589" s="116">
        <v>1</v>
      </c>
    </row>
    <row r="590" spans="1:18" ht="21.2" customHeight="1">
      <c r="A590" s="475"/>
      <c r="B590" s="109"/>
      <c r="C590" s="109"/>
      <c r="D590" s="109"/>
      <c r="E590" s="109"/>
      <c r="F590" s="109"/>
      <c r="G590" s="109"/>
      <c r="H590" s="118" t="s">
        <v>1117</v>
      </c>
      <c r="I590" s="118" t="s">
        <v>1118</v>
      </c>
      <c r="J590" s="118" t="s">
        <v>1113</v>
      </c>
      <c r="K590" s="797">
        <f>G583+G586+G589</f>
        <v>2300</v>
      </c>
      <c r="L590" s="797"/>
      <c r="M590" s="797"/>
      <c r="N590" s="118" t="s">
        <v>1119</v>
      </c>
      <c r="O590" s="109"/>
      <c r="P590" s="109"/>
      <c r="Q590" s="476"/>
      <c r="R590" s="116">
        <v>1</v>
      </c>
    </row>
    <row r="591" spans="1:18" ht="21.2" customHeight="1">
      <c r="A591" s="475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476"/>
      <c r="R591" s="116">
        <v>1</v>
      </c>
    </row>
    <row r="592" spans="1:18" ht="21.2" customHeight="1">
      <c r="A592" s="475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476"/>
      <c r="R592" s="116">
        <v>1</v>
      </c>
    </row>
    <row r="593" spans="1:18" ht="21.2" customHeight="1">
      <c r="A593" s="475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476"/>
      <c r="R593" s="116">
        <v>1</v>
      </c>
    </row>
    <row r="594" spans="1:18" ht="21.2" customHeight="1">
      <c r="A594" s="475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476"/>
      <c r="R594" s="116">
        <v>1</v>
      </c>
    </row>
    <row r="595" spans="1:18" ht="21.2" customHeight="1">
      <c r="A595" s="475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476"/>
      <c r="R595" s="116">
        <v>1</v>
      </c>
    </row>
    <row r="596" spans="1:18" ht="21.2" customHeight="1">
      <c r="A596" s="482"/>
      <c r="B596" s="136"/>
      <c r="C596" s="136"/>
      <c r="D596" s="136"/>
      <c r="E596" s="136"/>
      <c r="F596" s="136"/>
      <c r="G596" s="136"/>
      <c r="H596" s="136"/>
      <c r="I596" s="136"/>
      <c r="J596" s="136"/>
      <c r="K596" s="136"/>
      <c r="L596" s="136"/>
      <c r="M596" s="136"/>
      <c r="N596" s="136"/>
      <c r="O596" s="136"/>
      <c r="P596" s="136"/>
      <c r="Q596" s="483"/>
      <c r="R596" s="116">
        <v>1</v>
      </c>
    </row>
    <row r="597" spans="1:18" ht="21.2" hidden="1" customHeight="1" outlineLevel="1"/>
    <row r="598" spans="1:18" ht="21.2" hidden="1" customHeight="1" outlineLevel="1">
      <c r="A598" s="796" t="s">
        <v>817</v>
      </c>
      <c r="B598" s="796"/>
      <c r="C598" s="796"/>
      <c r="D598" s="796"/>
      <c r="E598" s="796"/>
      <c r="F598" s="796"/>
      <c r="G598" s="796"/>
      <c r="H598" s="796"/>
      <c r="I598" s="796"/>
      <c r="J598" s="796"/>
      <c r="K598" s="796"/>
      <c r="L598" s="796"/>
      <c r="M598" s="796"/>
      <c r="N598" s="796"/>
      <c r="O598" s="796"/>
      <c r="P598" s="796"/>
      <c r="Q598" s="796"/>
      <c r="R598" s="472"/>
    </row>
    <row r="599" spans="1:18" ht="21.2" hidden="1" customHeight="1" outlineLevel="1">
      <c r="A599" s="473" t="s">
        <v>1437</v>
      </c>
      <c r="B599" s="142" t="s">
        <v>1526</v>
      </c>
      <c r="C599" s="125" t="s">
        <v>4027</v>
      </c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474"/>
    </row>
    <row r="600" spans="1:18" ht="21.2" hidden="1" customHeight="1" outlineLevel="1">
      <c r="A600" s="475" t="s">
        <v>1100</v>
      </c>
      <c r="B600" s="118" t="s">
        <v>1526</v>
      </c>
      <c r="C600" s="707" t="s">
        <v>4028</v>
      </c>
      <c r="D600" s="109"/>
      <c r="E600" s="109"/>
      <c r="F600" s="109"/>
      <c r="G600" s="109" t="s">
        <v>1527</v>
      </c>
      <c r="H600" s="109" t="s">
        <v>1526</v>
      </c>
      <c r="I600" s="109" t="s">
        <v>1101</v>
      </c>
      <c r="J600" s="109"/>
      <c r="K600" s="109"/>
      <c r="L600" s="109"/>
      <c r="M600" s="109"/>
      <c r="N600" s="109"/>
      <c r="O600" s="109"/>
      <c r="P600" s="109"/>
      <c r="Q600" s="476"/>
    </row>
    <row r="601" spans="1:18" ht="21.2" hidden="1" customHeight="1" outlineLevel="1">
      <c r="A601" s="477">
        <f>A566+1</f>
        <v>18</v>
      </c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476"/>
    </row>
    <row r="602" spans="1:18" ht="21.2" hidden="1" customHeight="1" outlineLevel="1">
      <c r="A602" s="473" t="s">
        <v>1102</v>
      </c>
      <c r="B602" s="125"/>
      <c r="C602" s="125" t="s">
        <v>4024</v>
      </c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474"/>
    </row>
    <row r="603" spans="1:18" ht="21.2" hidden="1" customHeight="1" outlineLevel="1">
      <c r="A603" s="475" t="s">
        <v>1103</v>
      </c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476"/>
    </row>
    <row r="604" spans="1:18" ht="21.2" hidden="1" customHeight="1" outlineLevel="1">
      <c r="A604" s="475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476"/>
    </row>
    <row r="605" spans="1:18" ht="21.2" hidden="1" customHeight="1" outlineLevel="1">
      <c r="A605" s="473" t="s">
        <v>1104</v>
      </c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474"/>
    </row>
    <row r="606" spans="1:18" ht="21.2" hidden="1" customHeight="1" outlineLevel="1">
      <c r="A606" s="475" t="s">
        <v>1105</v>
      </c>
      <c r="B606" s="118" t="s">
        <v>1582</v>
      </c>
      <c r="C606" s="478"/>
      <c r="D606" s="109" t="s">
        <v>1106</v>
      </c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476"/>
    </row>
    <row r="607" spans="1:18" ht="21.2" hidden="1" customHeight="1" outlineLevel="1">
      <c r="A607" s="475" t="s">
        <v>1107</v>
      </c>
      <c r="B607" s="118" t="s">
        <v>1582</v>
      </c>
      <c r="C607" s="478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476"/>
    </row>
    <row r="608" spans="1:18" ht="21.2" hidden="1" customHeight="1" outlineLevel="1">
      <c r="A608" s="475" t="s">
        <v>1108</v>
      </c>
      <c r="B608" s="118" t="s">
        <v>1582</v>
      </c>
      <c r="C608" s="478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476"/>
    </row>
    <row r="609" spans="1:17" ht="21.2" hidden="1" customHeight="1" outlineLevel="1">
      <c r="A609" s="475" t="s">
        <v>1109</v>
      </c>
      <c r="B609" s="118" t="s">
        <v>1582</v>
      </c>
      <c r="C609" s="478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476"/>
    </row>
    <row r="610" spans="1:17" ht="21.2" hidden="1" customHeight="1" outlineLevel="1">
      <c r="A610" s="475" t="s">
        <v>1583</v>
      </c>
      <c r="B610" s="118" t="s">
        <v>1582</v>
      </c>
      <c r="C610" s="478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476"/>
    </row>
    <row r="611" spans="1:17" ht="21.2" hidden="1" customHeight="1" outlineLevel="1">
      <c r="A611" s="475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476"/>
    </row>
    <row r="612" spans="1:17" ht="21.2" hidden="1" customHeight="1" outlineLevel="1">
      <c r="A612" s="473" t="s">
        <v>1110</v>
      </c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474"/>
    </row>
    <row r="613" spans="1:17" ht="21.2" hidden="1" customHeight="1" outlineLevel="1">
      <c r="A613" s="475" t="s">
        <v>1111</v>
      </c>
      <c r="B613" s="118" t="s">
        <v>1582</v>
      </c>
      <c r="C613" s="118">
        <v>3600</v>
      </c>
      <c r="D613" s="118" t="s">
        <v>86</v>
      </c>
      <c r="E613" s="118" t="s">
        <v>1105</v>
      </c>
      <c r="F613" s="118" t="s">
        <v>86</v>
      </c>
      <c r="G613" s="118" t="s">
        <v>1107</v>
      </c>
      <c r="H613" s="118" t="s">
        <v>86</v>
      </c>
      <c r="I613" s="118" t="s">
        <v>1108</v>
      </c>
      <c r="J613" s="118" t="s">
        <v>86</v>
      </c>
      <c r="K613" s="118" t="s">
        <v>1109</v>
      </c>
      <c r="L613" s="479" t="s">
        <v>1112</v>
      </c>
      <c r="M613" s="118" t="s">
        <v>1583</v>
      </c>
      <c r="N613" s="707" t="s">
        <v>4025</v>
      </c>
      <c r="O613" s="109"/>
      <c r="P613" s="109"/>
      <c r="Q613" s="476"/>
    </row>
    <row r="614" spans="1:17" ht="21.2" hidden="1" customHeight="1" outlineLevel="1">
      <c r="A614" s="475"/>
      <c r="B614" s="118" t="s">
        <v>1113</v>
      </c>
      <c r="C614" s="118">
        <f>C613</f>
        <v>3600</v>
      </c>
      <c r="D614" s="118" t="str">
        <f>D613</f>
        <v>*</v>
      </c>
      <c r="E614" s="275">
        <f>C606</f>
        <v>0</v>
      </c>
      <c r="F614" s="118" t="str">
        <f>F613</f>
        <v>*</v>
      </c>
      <c r="G614" s="275">
        <f>C607</f>
        <v>0</v>
      </c>
      <c r="H614" s="118" t="str">
        <f>H613</f>
        <v>*</v>
      </c>
      <c r="I614" s="275">
        <f>C608</f>
        <v>0</v>
      </c>
      <c r="J614" s="118" t="str">
        <f>J613</f>
        <v>*</v>
      </c>
      <c r="K614" s="275">
        <f>C609</f>
        <v>0</v>
      </c>
      <c r="L614" s="118" t="str">
        <f>L613</f>
        <v>/</v>
      </c>
      <c r="M614" s="275">
        <f>C610</f>
        <v>0</v>
      </c>
      <c r="N614" s="118" t="s">
        <v>1582</v>
      </c>
      <c r="O614" s="134">
        <v>1.75</v>
      </c>
      <c r="P614" s="109"/>
      <c r="Q614" s="476"/>
    </row>
    <row r="615" spans="1:17" ht="21.2" hidden="1" customHeight="1" outlineLevel="1">
      <c r="A615" s="475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476"/>
    </row>
    <row r="616" spans="1:17" ht="21.2" hidden="1" customHeight="1" outlineLevel="1">
      <c r="A616" s="473" t="s">
        <v>1114</v>
      </c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474"/>
    </row>
    <row r="617" spans="1:17" ht="21.2" hidden="1" customHeight="1" outlineLevel="1">
      <c r="A617" s="475" t="s">
        <v>1436</v>
      </c>
      <c r="B617" s="109" t="s">
        <v>1582</v>
      </c>
      <c r="C617" s="480">
        <f>중기사용료!M81</f>
        <v>11251</v>
      </c>
      <c r="D617" s="479" t="s">
        <v>1112</v>
      </c>
      <c r="E617" s="118" t="s">
        <v>1111</v>
      </c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476"/>
    </row>
    <row r="618" spans="1:17" ht="21.2" hidden="1" customHeight="1" outlineLevel="1">
      <c r="A618" s="475"/>
      <c r="B618" s="118" t="s">
        <v>1113</v>
      </c>
      <c r="C618" s="480">
        <f>C617</f>
        <v>11251</v>
      </c>
      <c r="D618" s="118" t="str">
        <f>D617</f>
        <v>/</v>
      </c>
      <c r="E618" s="134">
        <f>O614</f>
        <v>1.75</v>
      </c>
      <c r="F618" s="109" t="s">
        <v>1582</v>
      </c>
      <c r="G618" s="481">
        <f>TRUNC(C618/E618)</f>
        <v>6429</v>
      </c>
      <c r="H618" s="109"/>
      <c r="I618" s="109"/>
      <c r="J618" s="109"/>
      <c r="K618" s="109"/>
      <c r="L618" s="109"/>
      <c r="M618" s="109"/>
      <c r="N618" s="109"/>
      <c r="O618" s="109"/>
      <c r="P618" s="109"/>
      <c r="Q618" s="476"/>
    </row>
    <row r="619" spans="1:17" ht="21.2" hidden="1" customHeight="1" outlineLevel="1">
      <c r="A619" s="475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476"/>
    </row>
    <row r="620" spans="1:17" ht="21.2" hidden="1" customHeight="1" outlineLevel="1">
      <c r="A620" s="475" t="s">
        <v>1115</v>
      </c>
      <c r="B620" s="109" t="s">
        <v>1582</v>
      </c>
      <c r="C620" s="480">
        <f>중기사용료!M87</f>
        <v>27168</v>
      </c>
      <c r="D620" s="479" t="s">
        <v>1112</v>
      </c>
      <c r="E620" s="118" t="s">
        <v>1111</v>
      </c>
      <c r="F620" s="118"/>
      <c r="G620" s="118"/>
      <c r="H620" s="109"/>
      <c r="I620" s="109"/>
      <c r="J620" s="109"/>
      <c r="K620" s="109"/>
      <c r="L620" s="109"/>
      <c r="M620" s="109"/>
      <c r="N620" s="109"/>
      <c r="O620" s="109"/>
      <c r="P620" s="109"/>
      <c r="Q620" s="476"/>
    </row>
    <row r="621" spans="1:17" ht="21.2" hidden="1" customHeight="1" outlineLevel="1">
      <c r="A621" s="475"/>
      <c r="B621" s="118" t="s">
        <v>1113</v>
      </c>
      <c r="C621" s="480">
        <f>C620</f>
        <v>27168</v>
      </c>
      <c r="D621" s="479" t="str">
        <f>D620</f>
        <v>/</v>
      </c>
      <c r="E621" s="134">
        <f>O614</f>
        <v>1.75</v>
      </c>
      <c r="F621" s="118" t="s">
        <v>1582</v>
      </c>
      <c r="G621" s="481">
        <f>TRUNC(C621/E621)</f>
        <v>15524</v>
      </c>
      <c r="H621" s="109"/>
      <c r="I621" s="109"/>
      <c r="J621" s="109"/>
      <c r="K621" s="109"/>
      <c r="L621" s="109"/>
      <c r="M621" s="109"/>
      <c r="N621" s="109"/>
      <c r="O621" s="109"/>
      <c r="P621" s="109"/>
      <c r="Q621" s="476"/>
    </row>
    <row r="622" spans="1:17" ht="21.2" hidden="1" customHeight="1" outlineLevel="1">
      <c r="A622" s="475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476"/>
    </row>
    <row r="623" spans="1:17" ht="21.2" hidden="1" customHeight="1" outlineLevel="1">
      <c r="A623" s="475" t="s">
        <v>1116</v>
      </c>
      <c r="B623" s="118" t="s">
        <v>1582</v>
      </c>
      <c r="C623" s="480">
        <f>중기사용료!M93</f>
        <v>6745</v>
      </c>
      <c r="D623" s="479" t="s">
        <v>1112</v>
      </c>
      <c r="E623" s="118" t="s">
        <v>1111</v>
      </c>
      <c r="F623" s="118"/>
      <c r="G623" s="118"/>
      <c r="H623" s="109"/>
      <c r="I623" s="109"/>
      <c r="J623" s="109"/>
      <c r="K623" s="109"/>
      <c r="L623" s="109"/>
      <c r="M623" s="109"/>
      <c r="N623" s="109"/>
      <c r="O623" s="109"/>
      <c r="P623" s="109"/>
      <c r="Q623" s="476"/>
    </row>
    <row r="624" spans="1:17" ht="21.2" hidden="1" customHeight="1" outlineLevel="1">
      <c r="A624" s="475"/>
      <c r="B624" s="118" t="s">
        <v>1113</v>
      </c>
      <c r="C624" s="480">
        <f>C623</f>
        <v>6745</v>
      </c>
      <c r="D624" s="118" t="str">
        <f>D623</f>
        <v>/</v>
      </c>
      <c r="E624" s="134">
        <f>O614</f>
        <v>1.75</v>
      </c>
      <c r="F624" s="118" t="s">
        <v>1582</v>
      </c>
      <c r="G624" s="481">
        <f>TRUNC(C624/E624)</f>
        <v>3854</v>
      </c>
      <c r="H624" s="109"/>
      <c r="I624" s="109"/>
      <c r="J624" s="109"/>
      <c r="K624" s="109"/>
      <c r="L624" s="109"/>
      <c r="M624" s="109"/>
      <c r="N624" s="109"/>
      <c r="O624" s="109"/>
      <c r="P624" s="109"/>
      <c r="Q624" s="476"/>
    </row>
    <row r="625" spans="1:18" ht="21.2" hidden="1" customHeight="1" outlineLevel="1">
      <c r="A625" s="475"/>
      <c r="B625" s="109"/>
      <c r="C625" s="109"/>
      <c r="D625" s="109"/>
      <c r="E625" s="109"/>
      <c r="F625" s="109"/>
      <c r="G625" s="109"/>
      <c r="H625" s="118" t="s">
        <v>1117</v>
      </c>
      <c r="I625" s="118" t="s">
        <v>1118</v>
      </c>
      <c r="J625" s="118" t="s">
        <v>1113</v>
      </c>
      <c r="K625" s="797">
        <f>G618+G621+G624</f>
        <v>25807</v>
      </c>
      <c r="L625" s="797"/>
      <c r="M625" s="797"/>
      <c r="N625" s="118" t="s">
        <v>1119</v>
      </c>
      <c r="O625" s="109"/>
      <c r="P625" s="109"/>
      <c r="Q625" s="476"/>
    </row>
    <row r="626" spans="1:18" ht="21.2" hidden="1" customHeight="1" outlineLevel="1">
      <c r="A626" s="475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476"/>
    </row>
    <row r="627" spans="1:18" ht="21.2" hidden="1" customHeight="1" outlineLevel="1">
      <c r="A627" s="475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476"/>
    </row>
    <row r="628" spans="1:18" ht="21.2" hidden="1" customHeight="1" outlineLevel="1">
      <c r="A628" s="475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476"/>
    </row>
    <row r="629" spans="1:18" ht="21.2" hidden="1" customHeight="1" outlineLevel="1">
      <c r="A629" s="475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476"/>
    </row>
    <row r="630" spans="1:18" ht="21.2" hidden="1" customHeight="1" outlineLevel="1">
      <c r="A630" s="475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476"/>
    </row>
    <row r="631" spans="1:18" ht="21.2" hidden="1" customHeight="1" outlineLevel="1">
      <c r="A631" s="482"/>
      <c r="B631" s="136"/>
      <c r="C631" s="136"/>
      <c r="D631" s="136"/>
      <c r="E631" s="136"/>
      <c r="F631" s="136"/>
      <c r="G631" s="136"/>
      <c r="H631" s="136"/>
      <c r="I631" s="136"/>
      <c r="J631" s="136"/>
      <c r="K631" s="136"/>
      <c r="L631" s="136"/>
      <c r="M631" s="136"/>
      <c r="N631" s="136"/>
      <c r="O631" s="136"/>
      <c r="P631" s="136"/>
      <c r="Q631" s="483"/>
    </row>
    <row r="632" spans="1:18" ht="21.2" hidden="1" customHeight="1" outlineLevel="1"/>
    <row r="633" spans="1:18" ht="21.2" hidden="1" customHeight="1" outlineLevel="1">
      <c r="A633" s="796" t="s">
        <v>817</v>
      </c>
      <c r="B633" s="796"/>
      <c r="C633" s="796"/>
      <c r="D633" s="796"/>
      <c r="E633" s="796"/>
      <c r="F633" s="796"/>
      <c r="G633" s="796"/>
      <c r="H633" s="796"/>
      <c r="I633" s="796"/>
      <c r="J633" s="796"/>
      <c r="K633" s="796"/>
      <c r="L633" s="796"/>
      <c r="M633" s="796"/>
      <c r="N633" s="796"/>
      <c r="O633" s="796"/>
      <c r="P633" s="796"/>
      <c r="Q633" s="796"/>
      <c r="R633" s="472"/>
    </row>
    <row r="634" spans="1:18" ht="21.2" hidden="1" customHeight="1" outlineLevel="1">
      <c r="A634" s="473" t="s">
        <v>1437</v>
      </c>
      <c r="B634" s="142" t="s">
        <v>1526</v>
      </c>
      <c r="C634" s="125" t="s">
        <v>4027</v>
      </c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474"/>
    </row>
    <row r="635" spans="1:18" ht="21.2" hidden="1" customHeight="1" outlineLevel="1">
      <c r="A635" s="475" t="s">
        <v>1100</v>
      </c>
      <c r="B635" s="118" t="s">
        <v>1526</v>
      </c>
      <c r="C635" s="707" t="s">
        <v>4028</v>
      </c>
      <c r="D635" s="109"/>
      <c r="E635" s="109"/>
      <c r="F635" s="109"/>
      <c r="G635" s="109" t="s">
        <v>1527</v>
      </c>
      <c r="H635" s="109" t="s">
        <v>1526</v>
      </c>
      <c r="I635" s="109" t="s">
        <v>448</v>
      </c>
      <c r="J635" s="109"/>
      <c r="K635" s="109"/>
      <c r="L635" s="109"/>
      <c r="M635" s="109"/>
      <c r="N635" s="109"/>
      <c r="O635" s="109"/>
      <c r="P635" s="109"/>
      <c r="Q635" s="476"/>
    </row>
    <row r="636" spans="1:18" ht="21.2" hidden="1" customHeight="1" outlineLevel="1">
      <c r="A636" s="477">
        <f>A601+1</f>
        <v>19</v>
      </c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476"/>
    </row>
    <row r="637" spans="1:18" ht="21.2" hidden="1" customHeight="1" outlineLevel="1">
      <c r="A637" s="473" t="s">
        <v>1102</v>
      </c>
      <c r="B637" s="125"/>
      <c r="C637" s="125" t="s">
        <v>4024</v>
      </c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474"/>
    </row>
    <row r="638" spans="1:18" ht="21.2" hidden="1" customHeight="1" outlineLevel="1">
      <c r="A638" s="475" t="s">
        <v>1103</v>
      </c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476"/>
    </row>
    <row r="639" spans="1:18" ht="21.2" hidden="1" customHeight="1" outlineLevel="1">
      <c r="A639" s="475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476"/>
    </row>
    <row r="640" spans="1:18" ht="21.2" hidden="1" customHeight="1" outlineLevel="1">
      <c r="A640" s="473" t="s">
        <v>1104</v>
      </c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474"/>
    </row>
    <row r="641" spans="1:17" ht="21.2" hidden="1" customHeight="1" outlineLevel="1">
      <c r="A641" s="475" t="s">
        <v>1105</v>
      </c>
      <c r="B641" s="118" t="s">
        <v>1582</v>
      </c>
      <c r="C641" s="478"/>
      <c r="D641" s="109" t="s">
        <v>1106</v>
      </c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476"/>
    </row>
    <row r="642" spans="1:17" ht="21.2" hidden="1" customHeight="1" outlineLevel="1">
      <c r="A642" s="475" t="s">
        <v>1107</v>
      </c>
      <c r="B642" s="118" t="s">
        <v>1582</v>
      </c>
      <c r="C642" s="478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476"/>
    </row>
    <row r="643" spans="1:17" ht="21.2" hidden="1" customHeight="1" outlineLevel="1">
      <c r="A643" s="475" t="s">
        <v>1108</v>
      </c>
      <c r="B643" s="118" t="s">
        <v>1582</v>
      </c>
      <c r="C643" s="478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476"/>
    </row>
    <row r="644" spans="1:17" ht="21.2" hidden="1" customHeight="1" outlineLevel="1">
      <c r="A644" s="475" t="s">
        <v>1109</v>
      </c>
      <c r="B644" s="118" t="s">
        <v>1582</v>
      </c>
      <c r="C644" s="478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476"/>
    </row>
    <row r="645" spans="1:17" ht="21.2" hidden="1" customHeight="1" outlineLevel="1">
      <c r="A645" s="475" t="s">
        <v>1583</v>
      </c>
      <c r="B645" s="118" t="s">
        <v>1582</v>
      </c>
      <c r="C645" s="478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476"/>
    </row>
    <row r="646" spans="1:17" ht="21.2" hidden="1" customHeight="1" outlineLevel="1">
      <c r="A646" s="475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476"/>
    </row>
    <row r="647" spans="1:17" ht="21.2" hidden="1" customHeight="1" outlineLevel="1">
      <c r="A647" s="473" t="s">
        <v>1110</v>
      </c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474"/>
    </row>
    <row r="648" spans="1:17" ht="21.2" hidden="1" customHeight="1" outlineLevel="1">
      <c r="A648" s="475" t="s">
        <v>1111</v>
      </c>
      <c r="B648" s="118" t="s">
        <v>1582</v>
      </c>
      <c r="C648" s="118">
        <v>3600</v>
      </c>
      <c r="D648" s="118" t="s">
        <v>86</v>
      </c>
      <c r="E648" s="118" t="s">
        <v>1105</v>
      </c>
      <c r="F648" s="118" t="s">
        <v>86</v>
      </c>
      <c r="G648" s="118" t="s">
        <v>1107</v>
      </c>
      <c r="H648" s="118" t="s">
        <v>86</v>
      </c>
      <c r="I648" s="118" t="s">
        <v>1108</v>
      </c>
      <c r="J648" s="118" t="s">
        <v>86</v>
      </c>
      <c r="K648" s="118" t="s">
        <v>1109</v>
      </c>
      <c r="L648" s="479" t="s">
        <v>1112</v>
      </c>
      <c r="M648" s="118" t="s">
        <v>1583</v>
      </c>
      <c r="N648" s="707" t="s">
        <v>4025</v>
      </c>
      <c r="O648" s="109"/>
      <c r="P648" s="109"/>
      <c r="Q648" s="476"/>
    </row>
    <row r="649" spans="1:17" ht="21.2" hidden="1" customHeight="1" outlineLevel="1">
      <c r="A649" s="475"/>
      <c r="B649" s="118" t="s">
        <v>1113</v>
      </c>
      <c r="C649" s="118">
        <f>C648</f>
        <v>3600</v>
      </c>
      <c r="D649" s="118" t="str">
        <f>D648</f>
        <v>*</v>
      </c>
      <c r="E649" s="275">
        <f>C641</f>
        <v>0</v>
      </c>
      <c r="F649" s="118" t="str">
        <f>F648</f>
        <v>*</v>
      </c>
      <c r="G649" s="275">
        <f>C642</f>
        <v>0</v>
      </c>
      <c r="H649" s="118" t="str">
        <f>H648</f>
        <v>*</v>
      </c>
      <c r="I649" s="275">
        <f>C643</f>
        <v>0</v>
      </c>
      <c r="J649" s="118" t="str">
        <f>J648</f>
        <v>*</v>
      </c>
      <c r="K649" s="275">
        <f>C644</f>
        <v>0</v>
      </c>
      <c r="L649" s="118" t="str">
        <f>L648</f>
        <v>/</v>
      </c>
      <c r="M649" s="275">
        <f>C645</f>
        <v>0</v>
      </c>
      <c r="N649" s="118" t="s">
        <v>1582</v>
      </c>
      <c r="O649" s="134">
        <v>3.3</v>
      </c>
      <c r="P649" s="109"/>
      <c r="Q649" s="476"/>
    </row>
    <row r="650" spans="1:17" ht="21.2" hidden="1" customHeight="1" outlineLevel="1">
      <c r="A650" s="475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476"/>
    </row>
    <row r="651" spans="1:17" ht="21.2" hidden="1" customHeight="1" outlineLevel="1">
      <c r="A651" s="473" t="s">
        <v>1114</v>
      </c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474"/>
    </row>
    <row r="652" spans="1:17" ht="21.2" hidden="1" customHeight="1" outlineLevel="1">
      <c r="A652" s="475" t="s">
        <v>1436</v>
      </c>
      <c r="B652" s="109" t="s">
        <v>1582</v>
      </c>
      <c r="C652" s="480">
        <f>중기사용료!M100</f>
        <v>12514</v>
      </c>
      <c r="D652" s="479" t="s">
        <v>1112</v>
      </c>
      <c r="E652" s="118" t="s">
        <v>1111</v>
      </c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476"/>
    </row>
    <row r="653" spans="1:17" ht="21.2" hidden="1" customHeight="1" outlineLevel="1">
      <c r="A653" s="475"/>
      <c r="B653" s="118" t="s">
        <v>1113</v>
      </c>
      <c r="C653" s="480">
        <f>C652</f>
        <v>12514</v>
      </c>
      <c r="D653" s="118" t="str">
        <f>D652</f>
        <v>/</v>
      </c>
      <c r="E653" s="134">
        <f>O649</f>
        <v>3.3</v>
      </c>
      <c r="F653" s="109" t="s">
        <v>1582</v>
      </c>
      <c r="G653" s="481">
        <f>TRUNC(C653/E653)</f>
        <v>3792</v>
      </c>
      <c r="H653" s="109"/>
      <c r="I653" s="109"/>
      <c r="J653" s="109"/>
      <c r="K653" s="109"/>
      <c r="L653" s="109"/>
      <c r="M653" s="109"/>
      <c r="N653" s="109"/>
      <c r="O653" s="109"/>
      <c r="P653" s="109"/>
      <c r="Q653" s="476"/>
    </row>
    <row r="654" spans="1:17" ht="21.2" hidden="1" customHeight="1" outlineLevel="1">
      <c r="A654" s="475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476"/>
    </row>
    <row r="655" spans="1:17" ht="21.2" hidden="1" customHeight="1" outlineLevel="1">
      <c r="A655" s="475" t="s">
        <v>1115</v>
      </c>
      <c r="B655" s="109" t="s">
        <v>1582</v>
      </c>
      <c r="C655" s="480">
        <f>중기사용료!M106</f>
        <v>27168</v>
      </c>
      <c r="D655" s="479" t="s">
        <v>1112</v>
      </c>
      <c r="E655" s="118" t="s">
        <v>1111</v>
      </c>
      <c r="F655" s="118"/>
      <c r="G655" s="118"/>
      <c r="H655" s="109"/>
      <c r="I655" s="109"/>
      <c r="J655" s="109"/>
      <c r="K655" s="109"/>
      <c r="L655" s="109"/>
      <c r="M655" s="109"/>
      <c r="N655" s="109"/>
      <c r="O655" s="109"/>
      <c r="P655" s="109"/>
      <c r="Q655" s="476"/>
    </row>
    <row r="656" spans="1:17" ht="21.2" hidden="1" customHeight="1" outlineLevel="1">
      <c r="A656" s="475"/>
      <c r="B656" s="118" t="s">
        <v>1113</v>
      </c>
      <c r="C656" s="480">
        <f>C655</f>
        <v>27168</v>
      </c>
      <c r="D656" s="479" t="str">
        <f>D655</f>
        <v>/</v>
      </c>
      <c r="E656" s="134">
        <f>O649</f>
        <v>3.3</v>
      </c>
      <c r="F656" s="118" t="s">
        <v>1582</v>
      </c>
      <c r="G656" s="481">
        <f>TRUNC(C656/E656)</f>
        <v>8232</v>
      </c>
      <c r="H656" s="109"/>
      <c r="I656" s="109"/>
      <c r="J656" s="109"/>
      <c r="K656" s="109"/>
      <c r="L656" s="109"/>
      <c r="M656" s="109"/>
      <c r="N656" s="109"/>
      <c r="O656" s="109"/>
      <c r="P656" s="109"/>
      <c r="Q656" s="476"/>
    </row>
    <row r="657" spans="1:18" ht="21.2" hidden="1" customHeight="1" outlineLevel="1">
      <c r="A657" s="475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476"/>
    </row>
    <row r="658" spans="1:18" ht="21.2" hidden="1" customHeight="1" outlineLevel="1">
      <c r="A658" s="475" t="s">
        <v>1116</v>
      </c>
      <c r="B658" s="118" t="s">
        <v>1582</v>
      </c>
      <c r="C658" s="480">
        <f>중기사용료!M112</f>
        <v>13465</v>
      </c>
      <c r="D658" s="479" t="s">
        <v>1112</v>
      </c>
      <c r="E658" s="118" t="s">
        <v>1111</v>
      </c>
      <c r="F658" s="118"/>
      <c r="G658" s="118"/>
      <c r="H658" s="109"/>
      <c r="I658" s="109"/>
      <c r="J658" s="109"/>
      <c r="K658" s="109"/>
      <c r="L658" s="109"/>
      <c r="M658" s="109"/>
      <c r="N658" s="109"/>
      <c r="O658" s="109"/>
      <c r="P658" s="109"/>
      <c r="Q658" s="476"/>
    </row>
    <row r="659" spans="1:18" ht="21.2" hidden="1" customHeight="1" outlineLevel="1">
      <c r="A659" s="475"/>
      <c r="B659" s="118" t="s">
        <v>1113</v>
      </c>
      <c r="C659" s="480">
        <f>C658</f>
        <v>13465</v>
      </c>
      <c r="D659" s="118" t="str">
        <f>D658</f>
        <v>/</v>
      </c>
      <c r="E659" s="134">
        <f>O649</f>
        <v>3.3</v>
      </c>
      <c r="F659" s="118" t="s">
        <v>1582</v>
      </c>
      <c r="G659" s="481">
        <f>TRUNC(C659/E659)</f>
        <v>4080</v>
      </c>
      <c r="H659" s="109"/>
      <c r="I659" s="109"/>
      <c r="J659" s="109"/>
      <c r="K659" s="109"/>
      <c r="L659" s="109"/>
      <c r="M659" s="109"/>
      <c r="N659" s="109"/>
      <c r="O659" s="109"/>
      <c r="P659" s="109"/>
      <c r="Q659" s="476"/>
    </row>
    <row r="660" spans="1:18" ht="21.2" hidden="1" customHeight="1" outlineLevel="1">
      <c r="A660" s="475"/>
      <c r="B660" s="109"/>
      <c r="C660" s="109"/>
      <c r="D660" s="109"/>
      <c r="E660" s="109"/>
      <c r="F660" s="109"/>
      <c r="G660" s="109"/>
      <c r="H660" s="118" t="s">
        <v>1117</v>
      </c>
      <c r="I660" s="118" t="s">
        <v>1118</v>
      </c>
      <c r="J660" s="118" t="s">
        <v>1113</v>
      </c>
      <c r="K660" s="797">
        <f>G653+G656+G659</f>
        <v>16104</v>
      </c>
      <c r="L660" s="797"/>
      <c r="M660" s="797"/>
      <c r="N660" s="118" t="s">
        <v>1119</v>
      </c>
      <c r="O660" s="109"/>
      <c r="P660" s="109"/>
      <c r="Q660" s="476"/>
    </row>
    <row r="661" spans="1:18" ht="21.2" hidden="1" customHeight="1" outlineLevel="1">
      <c r="A661" s="475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476"/>
    </row>
    <row r="662" spans="1:18" ht="21.2" hidden="1" customHeight="1" outlineLevel="1">
      <c r="A662" s="475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476"/>
    </row>
    <row r="663" spans="1:18" ht="21.2" hidden="1" customHeight="1" outlineLevel="1">
      <c r="A663" s="475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476"/>
    </row>
    <row r="664" spans="1:18" ht="21.2" hidden="1" customHeight="1" outlineLevel="1">
      <c r="A664" s="475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476"/>
    </row>
    <row r="665" spans="1:18" ht="21.2" hidden="1" customHeight="1" outlineLevel="1">
      <c r="A665" s="475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476"/>
    </row>
    <row r="666" spans="1:18" ht="21.2" hidden="1" customHeight="1" outlineLevel="1">
      <c r="A666" s="482"/>
      <c r="B666" s="136"/>
      <c r="C666" s="136"/>
      <c r="D666" s="136"/>
      <c r="E666" s="136"/>
      <c r="F666" s="136"/>
      <c r="G666" s="136"/>
      <c r="H666" s="136"/>
      <c r="I666" s="136"/>
      <c r="J666" s="136"/>
      <c r="K666" s="136"/>
      <c r="L666" s="136"/>
      <c r="M666" s="136"/>
      <c r="N666" s="136"/>
      <c r="O666" s="136"/>
      <c r="P666" s="136"/>
      <c r="Q666" s="483"/>
    </row>
    <row r="667" spans="1:18" ht="21.2" hidden="1" customHeight="1" outlineLevel="1"/>
    <row r="668" spans="1:18" ht="21.2" hidden="1" customHeight="1" outlineLevel="1">
      <c r="A668" s="796" t="s">
        <v>3329</v>
      </c>
      <c r="B668" s="796"/>
      <c r="C668" s="796"/>
      <c r="D668" s="796"/>
      <c r="E668" s="796"/>
      <c r="F668" s="796"/>
      <c r="G668" s="796"/>
      <c r="H668" s="796"/>
      <c r="I668" s="796"/>
      <c r="J668" s="796"/>
      <c r="K668" s="796"/>
      <c r="L668" s="796"/>
      <c r="M668" s="796"/>
      <c r="N668" s="796"/>
      <c r="O668" s="796"/>
      <c r="P668" s="796"/>
      <c r="Q668" s="796"/>
      <c r="R668" s="472"/>
    </row>
    <row r="669" spans="1:18" ht="21.2" hidden="1" customHeight="1" outlineLevel="1">
      <c r="A669" s="473" t="s">
        <v>1437</v>
      </c>
      <c r="B669" s="142" t="s">
        <v>1526</v>
      </c>
      <c r="C669" s="125" t="s">
        <v>4029</v>
      </c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474"/>
    </row>
    <row r="670" spans="1:18" ht="21.2" hidden="1" customHeight="1" outlineLevel="1">
      <c r="A670" s="475" t="s">
        <v>1100</v>
      </c>
      <c r="B670" s="118" t="s">
        <v>1526</v>
      </c>
      <c r="C670" s="707" t="s">
        <v>4028</v>
      </c>
      <c r="D670" s="109"/>
      <c r="E670" s="109"/>
      <c r="F670" s="109"/>
      <c r="G670" s="109" t="s">
        <v>1527</v>
      </c>
      <c r="H670" s="109" t="s">
        <v>1526</v>
      </c>
      <c r="I670" s="109" t="s">
        <v>1101</v>
      </c>
      <c r="J670" s="109"/>
      <c r="K670" s="109"/>
      <c r="L670" s="109"/>
      <c r="M670" s="109"/>
      <c r="N670" s="109"/>
      <c r="O670" s="109"/>
      <c r="P670" s="109"/>
      <c r="Q670" s="476"/>
    </row>
    <row r="671" spans="1:18" ht="21.2" hidden="1" customHeight="1" outlineLevel="1">
      <c r="A671" s="477">
        <f>A636+1</f>
        <v>20</v>
      </c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476"/>
    </row>
    <row r="672" spans="1:18" ht="21.2" hidden="1" customHeight="1" outlineLevel="1">
      <c r="A672" s="473" t="s">
        <v>1102</v>
      </c>
      <c r="B672" s="125"/>
      <c r="C672" s="125" t="s">
        <v>4024</v>
      </c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474"/>
    </row>
    <row r="673" spans="1:17" ht="21.2" hidden="1" customHeight="1" outlineLevel="1">
      <c r="A673" s="475" t="s">
        <v>1103</v>
      </c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476"/>
    </row>
    <row r="674" spans="1:17" ht="21.2" hidden="1" customHeight="1" outlineLevel="1">
      <c r="A674" s="475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476"/>
    </row>
    <row r="675" spans="1:17" ht="21.2" hidden="1" customHeight="1" outlineLevel="1">
      <c r="A675" s="473" t="s">
        <v>1104</v>
      </c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474"/>
    </row>
    <row r="676" spans="1:17" ht="21.2" hidden="1" customHeight="1" outlineLevel="1">
      <c r="A676" s="475" t="s">
        <v>1105</v>
      </c>
      <c r="B676" s="118" t="s">
        <v>1582</v>
      </c>
      <c r="C676" s="478"/>
      <c r="D676" s="109" t="s">
        <v>1106</v>
      </c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476"/>
    </row>
    <row r="677" spans="1:17" ht="21.2" hidden="1" customHeight="1" outlineLevel="1">
      <c r="A677" s="475" t="s">
        <v>1107</v>
      </c>
      <c r="B677" s="118" t="s">
        <v>1582</v>
      </c>
      <c r="C677" s="478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476"/>
    </row>
    <row r="678" spans="1:17" ht="21.2" hidden="1" customHeight="1" outlineLevel="1">
      <c r="A678" s="475" t="s">
        <v>1108</v>
      </c>
      <c r="B678" s="118" t="s">
        <v>1582</v>
      </c>
      <c r="C678" s="478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476"/>
    </row>
    <row r="679" spans="1:17" ht="21.2" hidden="1" customHeight="1" outlineLevel="1">
      <c r="A679" s="475" t="s">
        <v>1109</v>
      </c>
      <c r="B679" s="118" t="s">
        <v>1582</v>
      </c>
      <c r="C679" s="478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476"/>
    </row>
    <row r="680" spans="1:17" ht="21.2" hidden="1" customHeight="1" outlineLevel="1">
      <c r="A680" s="475" t="s">
        <v>1583</v>
      </c>
      <c r="B680" s="118" t="s">
        <v>1582</v>
      </c>
      <c r="C680" s="478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476"/>
    </row>
    <row r="681" spans="1:17" ht="21.2" hidden="1" customHeight="1" outlineLevel="1">
      <c r="A681" s="475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476"/>
    </row>
    <row r="682" spans="1:17" ht="21.2" hidden="1" customHeight="1" outlineLevel="1">
      <c r="A682" s="473" t="s">
        <v>1110</v>
      </c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474"/>
    </row>
    <row r="683" spans="1:17" ht="21.2" hidden="1" customHeight="1" outlineLevel="1">
      <c r="A683" s="475" t="s">
        <v>1111</v>
      </c>
      <c r="B683" s="118" t="s">
        <v>1582</v>
      </c>
      <c r="C683" s="118">
        <v>3600</v>
      </c>
      <c r="D683" s="118" t="s">
        <v>86</v>
      </c>
      <c r="E683" s="118" t="s">
        <v>1105</v>
      </c>
      <c r="F683" s="118" t="s">
        <v>86</v>
      </c>
      <c r="G683" s="118" t="s">
        <v>1107</v>
      </c>
      <c r="H683" s="118" t="s">
        <v>86</v>
      </c>
      <c r="I683" s="118" t="s">
        <v>1108</v>
      </c>
      <c r="J683" s="118" t="s">
        <v>86</v>
      </c>
      <c r="K683" s="118" t="s">
        <v>1109</v>
      </c>
      <c r="L683" s="479" t="s">
        <v>1112</v>
      </c>
      <c r="M683" s="118" t="s">
        <v>1583</v>
      </c>
      <c r="N683" s="707" t="s">
        <v>4025</v>
      </c>
      <c r="O683" s="109"/>
      <c r="P683" s="109"/>
      <c r="Q683" s="476"/>
    </row>
    <row r="684" spans="1:17" ht="21.2" hidden="1" customHeight="1" outlineLevel="1">
      <c r="A684" s="475"/>
      <c r="B684" s="118" t="s">
        <v>1113</v>
      </c>
      <c r="C684" s="118">
        <f>C683</f>
        <v>3600</v>
      </c>
      <c r="D684" s="118" t="str">
        <f>D683</f>
        <v>*</v>
      </c>
      <c r="E684" s="275">
        <f>C676</f>
        <v>0</v>
      </c>
      <c r="F684" s="118" t="str">
        <f>F683</f>
        <v>*</v>
      </c>
      <c r="G684" s="275">
        <f>C677</f>
        <v>0</v>
      </c>
      <c r="H684" s="118" t="str">
        <f>H683</f>
        <v>*</v>
      </c>
      <c r="I684" s="275">
        <f>C678</f>
        <v>0</v>
      </c>
      <c r="J684" s="118" t="str">
        <f>J683</f>
        <v>*</v>
      </c>
      <c r="K684" s="275">
        <f>C679</f>
        <v>0</v>
      </c>
      <c r="L684" s="118" t="str">
        <f>L683</f>
        <v>/</v>
      </c>
      <c r="M684" s="275">
        <f>C680</f>
        <v>0</v>
      </c>
      <c r="N684" s="118" t="s">
        <v>1582</v>
      </c>
      <c r="O684" s="134">
        <v>2.0699999999999998</v>
      </c>
      <c r="P684" s="109"/>
      <c r="Q684" s="476"/>
    </row>
    <row r="685" spans="1:17" ht="21.2" hidden="1" customHeight="1" outlineLevel="1">
      <c r="A685" s="475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476"/>
    </row>
    <row r="686" spans="1:17" ht="21.2" hidden="1" customHeight="1" outlineLevel="1">
      <c r="A686" s="473" t="s">
        <v>1114</v>
      </c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474"/>
    </row>
    <row r="687" spans="1:17" ht="21.2" hidden="1" customHeight="1" outlineLevel="1">
      <c r="A687" s="475" t="s">
        <v>1436</v>
      </c>
      <c r="B687" s="109" t="s">
        <v>1582</v>
      </c>
      <c r="C687" s="480">
        <f>중기사용료!M81</f>
        <v>11251</v>
      </c>
      <c r="D687" s="479" t="s">
        <v>1112</v>
      </c>
      <c r="E687" s="118" t="s">
        <v>1111</v>
      </c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476"/>
    </row>
    <row r="688" spans="1:17" ht="21.2" hidden="1" customHeight="1" outlineLevel="1">
      <c r="A688" s="475"/>
      <c r="B688" s="118" t="s">
        <v>1113</v>
      </c>
      <c r="C688" s="480">
        <f>C687</f>
        <v>11251</v>
      </c>
      <c r="D688" s="118" t="str">
        <f>D687</f>
        <v>/</v>
      </c>
      <c r="E688" s="134">
        <f>O684</f>
        <v>2.0699999999999998</v>
      </c>
      <c r="F688" s="109" t="s">
        <v>1582</v>
      </c>
      <c r="G688" s="481">
        <f>TRUNC(C688/E688)</f>
        <v>5435</v>
      </c>
      <c r="H688" s="109"/>
      <c r="I688" s="109"/>
      <c r="J688" s="109"/>
      <c r="K688" s="109"/>
      <c r="L688" s="109"/>
      <c r="M688" s="109"/>
      <c r="N688" s="109"/>
      <c r="O688" s="109"/>
      <c r="P688" s="109"/>
      <c r="Q688" s="476"/>
    </row>
    <row r="689" spans="1:18" ht="21.2" hidden="1" customHeight="1" outlineLevel="1">
      <c r="A689" s="475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476"/>
    </row>
    <row r="690" spans="1:18" ht="21.2" hidden="1" customHeight="1" outlineLevel="1">
      <c r="A690" s="475" t="s">
        <v>1115</v>
      </c>
      <c r="B690" s="109" t="s">
        <v>1582</v>
      </c>
      <c r="C690" s="480">
        <f>중기사용료!M87</f>
        <v>27168</v>
      </c>
      <c r="D690" s="479" t="s">
        <v>1112</v>
      </c>
      <c r="E690" s="118" t="s">
        <v>1111</v>
      </c>
      <c r="F690" s="118"/>
      <c r="G690" s="118"/>
      <c r="H690" s="109"/>
      <c r="I690" s="109"/>
      <c r="J690" s="109"/>
      <c r="K690" s="109"/>
      <c r="L690" s="109"/>
      <c r="M690" s="109"/>
      <c r="N690" s="109"/>
      <c r="O690" s="109"/>
      <c r="P690" s="109"/>
      <c r="Q690" s="476"/>
    </row>
    <row r="691" spans="1:18" ht="21.2" hidden="1" customHeight="1" outlineLevel="1">
      <c r="A691" s="475"/>
      <c r="B691" s="118" t="s">
        <v>1113</v>
      </c>
      <c r="C691" s="480">
        <f>C690</f>
        <v>27168</v>
      </c>
      <c r="D691" s="479" t="str">
        <f>D690</f>
        <v>/</v>
      </c>
      <c r="E691" s="134">
        <f>O684</f>
        <v>2.0699999999999998</v>
      </c>
      <c r="F691" s="118" t="s">
        <v>1582</v>
      </c>
      <c r="G691" s="481">
        <f>TRUNC(C691/E691)</f>
        <v>13124</v>
      </c>
      <c r="H691" s="109"/>
      <c r="I691" s="109"/>
      <c r="J691" s="109"/>
      <c r="K691" s="109"/>
      <c r="L691" s="109"/>
      <c r="M691" s="109"/>
      <c r="N691" s="109"/>
      <c r="O691" s="109"/>
      <c r="P691" s="109"/>
      <c r="Q691" s="476"/>
    </row>
    <row r="692" spans="1:18" ht="21.2" hidden="1" customHeight="1" outlineLevel="1">
      <c r="A692" s="475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476"/>
    </row>
    <row r="693" spans="1:18" ht="21.2" hidden="1" customHeight="1" outlineLevel="1">
      <c r="A693" s="475" t="s">
        <v>1116</v>
      </c>
      <c r="B693" s="118" t="s">
        <v>1582</v>
      </c>
      <c r="C693" s="480">
        <f>중기사용료!M93</f>
        <v>6745</v>
      </c>
      <c r="D693" s="479" t="s">
        <v>1112</v>
      </c>
      <c r="E693" s="118" t="s">
        <v>1111</v>
      </c>
      <c r="F693" s="118"/>
      <c r="G693" s="118"/>
      <c r="H693" s="109"/>
      <c r="I693" s="109"/>
      <c r="J693" s="109"/>
      <c r="K693" s="109"/>
      <c r="L693" s="109"/>
      <c r="M693" s="109"/>
      <c r="N693" s="109"/>
      <c r="O693" s="109"/>
      <c r="P693" s="109"/>
      <c r="Q693" s="476"/>
    </row>
    <row r="694" spans="1:18" ht="21.2" hidden="1" customHeight="1" outlineLevel="1">
      <c r="A694" s="475"/>
      <c r="B694" s="118" t="s">
        <v>1113</v>
      </c>
      <c r="C694" s="480">
        <f>C693</f>
        <v>6745</v>
      </c>
      <c r="D694" s="118" t="str">
        <f>D693</f>
        <v>/</v>
      </c>
      <c r="E694" s="134">
        <f>O684</f>
        <v>2.0699999999999998</v>
      </c>
      <c r="F694" s="118" t="s">
        <v>1582</v>
      </c>
      <c r="G694" s="481">
        <f>TRUNC(C694/E694)</f>
        <v>3258</v>
      </c>
      <c r="H694" s="109"/>
      <c r="I694" s="109"/>
      <c r="J694" s="109"/>
      <c r="K694" s="109"/>
      <c r="L694" s="109"/>
      <c r="M694" s="109"/>
      <c r="N694" s="109"/>
      <c r="O694" s="109"/>
      <c r="P694" s="109"/>
      <c r="Q694" s="476"/>
    </row>
    <row r="695" spans="1:18" ht="21.2" hidden="1" customHeight="1" outlineLevel="1">
      <c r="A695" s="475"/>
      <c r="B695" s="109"/>
      <c r="C695" s="109"/>
      <c r="D695" s="109"/>
      <c r="E695" s="109"/>
      <c r="F695" s="109"/>
      <c r="G695" s="109"/>
      <c r="H695" s="118" t="s">
        <v>1117</v>
      </c>
      <c r="I695" s="118" t="s">
        <v>1118</v>
      </c>
      <c r="J695" s="118" t="s">
        <v>1113</v>
      </c>
      <c r="K695" s="797">
        <f>G688+G691+G694</f>
        <v>21817</v>
      </c>
      <c r="L695" s="797"/>
      <c r="M695" s="797"/>
      <c r="N695" s="118" t="s">
        <v>1119</v>
      </c>
      <c r="O695" s="109"/>
      <c r="P695" s="109"/>
      <c r="Q695" s="476"/>
    </row>
    <row r="696" spans="1:18" ht="21.2" hidden="1" customHeight="1" outlineLevel="1">
      <c r="A696" s="475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476"/>
    </row>
    <row r="697" spans="1:18" ht="21.2" hidden="1" customHeight="1" outlineLevel="1">
      <c r="A697" s="475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476"/>
    </row>
    <row r="698" spans="1:18" ht="21.2" hidden="1" customHeight="1" outlineLevel="1">
      <c r="A698" s="475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476"/>
    </row>
    <row r="699" spans="1:18" ht="21.2" hidden="1" customHeight="1" outlineLevel="1">
      <c r="A699" s="475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476"/>
    </row>
    <row r="700" spans="1:18" ht="21.2" hidden="1" customHeight="1" outlineLevel="1">
      <c r="A700" s="475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476"/>
    </row>
    <row r="701" spans="1:18" ht="21.2" hidden="1" customHeight="1" outlineLevel="1">
      <c r="A701" s="482"/>
      <c r="B701" s="136"/>
      <c r="C701" s="136"/>
      <c r="D701" s="136"/>
      <c r="E701" s="136"/>
      <c r="F701" s="136"/>
      <c r="G701" s="136"/>
      <c r="H701" s="136"/>
      <c r="I701" s="136"/>
      <c r="J701" s="136"/>
      <c r="K701" s="136"/>
      <c r="L701" s="136"/>
      <c r="M701" s="136"/>
      <c r="N701" s="136"/>
      <c r="O701" s="136"/>
      <c r="P701" s="136"/>
      <c r="Q701" s="483"/>
    </row>
    <row r="702" spans="1:18" ht="21.2" hidden="1" customHeight="1" outlineLevel="1"/>
    <row r="703" spans="1:18" ht="21.2" hidden="1" customHeight="1" outlineLevel="1">
      <c r="A703" s="796" t="s">
        <v>817</v>
      </c>
      <c r="B703" s="796"/>
      <c r="C703" s="796"/>
      <c r="D703" s="796"/>
      <c r="E703" s="796"/>
      <c r="F703" s="796"/>
      <c r="G703" s="796"/>
      <c r="H703" s="796"/>
      <c r="I703" s="796"/>
      <c r="J703" s="796"/>
      <c r="K703" s="796"/>
      <c r="L703" s="796"/>
      <c r="M703" s="796"/>
      <c r="N703" s="796"/>
      <c r="O703" s="796"/>
      <c r="P703" s="796"/>
      <c r="Q703" s="796"/>
      <c r="R703" s="472"/>
    </row>
    <row r="704" spans="1:18" ht="21.2" hidden="1" customHeight="1" outlineLevel="1">
      <c r="A704" s="473" t="s">
        <v>1437</v>
      </c>
      <c r="B704" s="142" t="s">
        <v>1526</v>
      </c>
      <c r="C704" s="125" t="s">
        <v>4029</v>
      </c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474"/>
    </row>
    <row r="705" spans="1:17" ht="21.2" hidden="1" customHeight="1" outlineLevel="1">
      <c r="A705" s="475" t="s">
        <v>1100</v>
      </c>
      <c r="B705" s="118" t="s">
        <v>1526</v>
      </c>
      <c r="C705" s="707" t="s">
        <v>4028</v>
      </c>
      <c r="D705" s="109"/>
      <c r="E705" s="109"/>
      <c r="F705" s="109"/>
      <c r="G705" s="109" t="s">
        <v>1527</v>
      </c>
      <c r="H705" s="109" t="s">
        <v>1526</v>
      </c>
      <c r="I705" s="109" t="s">
        <v>448</v>
      </c>
      <c r="J705" s="109"/>
      <c r="K705" s="109"/>
      <c r="L705" s="109"/>
      <c r="M705" s="109"/>
      <c r="N705" s="109"/>
      <c r="O705" s="109"/>
      <c r="P705" s="109"/>
      <c r="Q705" s="476"/>
    </row>
    <row r="706" spans="1:17" ht="21.2" hidden="1" customHeight="1" outlineLevel="1">
      <c r="A706" s="477">
        <f>A671+1</f>
        <v>21</v>
      </c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476"/>
    </row>
    <row r="707" spans="1:17" ht="21.2" hidden="1" customHeight="1" outlineLevel="1">
      <c r="A707" s="473" t="s">
        <v>1102</v>
      </c>
      <c r="B707" s="125"/>
      <c r="C707" s="125" t="s">
        <v>4024</v>
      </c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474"/>
    </row>
    <row r="708" spans="1:17" ht="21.2" hidden="1" customHeight="1" outlineLevel="1">
      <c r="A708" s="475" t="s">
        <v>1103</v>
      </c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476"/>
    </row>
    <row r="709" spans="1:17" ht="21.2" hidden="1" customHeight="1" outlineLevel="1">
      <c r="A709" s="475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476"/>
    </row>
    <row r="710" spans="1:17" ht="21.2" hidden="1" customHeight="1" outlineLevel="1">
      <c r="A710" s="473" t="s">
        <v>1104</v>
      </c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474"/>
    </row>
    <row r="711" spans="1:17" ht="21.2" hidden="1" customHeight="1" outlineLevel="1">
      <c r="A711" s="475" t="s">
        <v>1105</v>
      </c>
      <c r="B711" s="118" t="s">
        <v>1582</v>
      </c>
      <c r="C711" s="478"/>
      <c r="D711" s="109" t="s">
        <v>1106</v>
      </c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476"/>
    </row>
    <row r="712" spans="1:17" ht="21.2" hidden="1" customHeight="1" outlineLevel="1">
      <c r="A712" s="475" t="s">
        <v>1107</v>
      </c>
      <c r="B712" s="118" t="s">
        <v>1582</v>
      </c>
      <c r="C712" s="478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476"/>
    </row>
    <row r="713" spans="1:17" ht="21.2" hidden="1" customHeight="1" outlineLevel="1">
      <c r="A713" s="475" t="s">
        <v>1108</v>
      </c>
      <c r="B713" s="118" t="s">
        <v>1582</v>
      </c>
      <c r="C713" s="478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476"/>
    </row>
    <row r="714" spans="1:17" ht="21.2" hidden="1" customHeight="1" outlineLevel="1">
      <c r="A714" s="475" t="s">
        <v>1109</v>
      </c>
      <c r="B714" s="118" t="s">
        <v>1582</v>
      </c>
      <c r="C714" s="478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476"/>
    </row>
    <row r="715" spans="1:17" ht="21.2" hidden="1" customHeight="1" outlineLevel="1">
      <c r="A715" s="475" t="s">
        <v>1583</v>
      </c>
      <c r="B715" s="118" t="s">
        <v>1582</v>
      </c>
      <c r="C715" s="478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476"/>
    </row>
    <row r="716" spans="1:17" ht="21.2" hidden="1" customHeight="1" outlineLevel="1">
      <c r="A716" s="475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476"/>
    </row>
    <row r="717" spans="1:17" ht="21.2" hidden="1" customHeight="1" outlineLevel="1">
      <c r="A717" s="473" t="s">
        <v>1110</v>
      </c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474"/>
    </row>
    <row r="718" spans="1:17" ht="21.2" hidden="1" customHeight="1" outlineLevel="1">
      <c r="A718" s="475" t="s">
        <v>1111</v>
      </c>
      <c r="B718" s="118" t="s">
        <v>1582</v>
      </c>
      <c r="C718" s="118">
        <v>3600</v>
      </c>
      <c r="D718" s="118" t="s">
        <v>86</v>
      </c>
      <c r="E718" s="118" t="s">
        <v>1105</v>
      </c>
      <c r="F718" s="118" t="s">
        <v>86</v>
      </c>
      <c r="G718" s="118" t="s">
        <v>1107</v>
      </c>
      <c r="H718" s="118" t="s">
        <v>86</v>
      </c>
      <c r="I718" s="118" t="s">
        <v>1108</v>
      </c>
      <c r="J718" s="118" t="s">
        <v>86</v>
      </c>
      <c r="K718" s="118" t="s">
        <v>1109</v>
      </c>
      <c r="L718" s="479" t="s">
        <v>1112</v>
      </c>
      <c r="M718" s="118" t="s">
        <v>1583</v>
      </c>
      <c r="N718" s="707" t="s">
        <v>4025</v>
      </c>
      <c r="O718" s="109"/>
      <c r="P718" s="109"/>
      <c r="Q718" s="476"/>
    </row>
    <row r="719" spans="1:17" ht="21.2" hidden="1" customHeight="1" outlineLevel="1">
      <c r="A719" s="475"/>
      <c r="B719" s="118" t="s">
        <v>1113</v>
      </c>
      <c r="C719" s="118">
        <f>C718</f>
        <v>3600</v>
      </c>
      <c r="D719" s="118" t="str">
        <f>D718</f>
        <v>*</v>
      </c>
      <c r="E719" s="275">
        <f>C711</f>
        <v>0</v>
      </c>
      <c r="F719" s="118" t="str">
        <f>F718</f>
        <v>*</v>
      </c>
      <c r="G719" s="275">
        <f>C712</f>
        <v>0</v>
      </c>
      <c r="H719" s="118" t="str">
        <f>H718</f>
        <v>*</v>
      </c>
      <c r="I719" s="275">
        <f>C713</f>
        <v>0</v>
      </c>
      <c r="J719" s="118" t="str">
        <f>J718</f>
        <v>*</v>
      </c>
      <c r="K719" s="275">
        <f>C714</f>
        <v>0</v>
      </c>
      <c r="L719" s="118" t="str">
        <f>L718</f>
        <v>/</v>
      </c>
      <c r="M719" s="275">
        <f>C715</f>
        <v>0</v>
      </c>
      <c r="N719" s="118" t="s">
        <v>1582</v>
      </c>
      <c r="O719" s="134">
        <v>3.91</v>
      </c>
      <c r="P719" s="109"/>
      <c r="Q719" s="476"/>
    </row>
    <row r="720" spans="1:17" ht="21.2" hidden="1" customHeight="1" outlineLevel="1">
      <c r="A720" s="475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476"/>
    </row>
    <row r="721" spans="1:17" ht="21.2" hidden="1" customHeight="1" outlineLevel="1">
      <c r="A721" s="473" t="s">
        <v>1114</v>
      </c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474"/>
    </row>
    <row r="722" spans="1:17" ht="21.2" hidden="1" customHeight="1" outlineLevel="1">
      <c r="A722" s="475" t="s">
        <v>1436</v>
      </c>
      <c r="B722" s="109" t="s">
        <v>1582</v>
      </c>
      <c r="C722" s="480">
        <f>중기사용료!M100</f>
        <v>12514</v>
      </c>
      <c r="D722" s="479" t="s">
        <v>1112</v>
      </c>
      <c r="E722" s="118" t="s">
        <v>1111</v>
      </c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476"/>
    </row>
    <row r="723" spans="1:17" ht="21.2" hidden="1" customHeight="1" outlineLevel="1">
      <c r="A723" s="475"/>
      <c r="B723" s="118" t="s">
        <v>1113</v>
      </c>
      <c r="C723" s="480">
        <f>C722</f>
        <v>12514</v>
      </c>
      <c r="D723" s="118" t="str">
        <f>D722</f>
        <v>/</v>
      </c>
      <c r="E723" s="134">
        <f>O719</f>
        <v>3.91</v>
      </c>
      <c r="F723" s="109" t="s">
        <v>1582</v>
      </c>
      <c r="G723" s="481">
        <f>TRUNC(C723/E723)</f>
        <v>3200</v>
      </c>
      <c r="H723" s="109"/>
      <c r="I723" s="109"/>
      <c r="J723" s="109"/>
      <c r="K723" s="109"/>
      <c r="L723" s="109"/>
      <c r="M723" s="109"/>
      <c r="N723" s="109"/>
      <c r="O723" s="109"/>
      <c r="P723" s="109"/>
      <c r="Q723" s="476"/>
    </row>
    <row r="724" spans="1:17" ht="21.2" hidden="1" customHeight="1" outlineLevel="1">
      <c r="A724" s="475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476"/>
    </row>
    <row r="725" spans="1:17" ht="21.2" hidden="1" customHeight="1" outlineLevel="1">
      <c r="A725" s="475" t="s">
        <v>1115</v>
      </c>
      <c r="B725" s="109" t="s">
        <v>1582</v>
      </c>
      <c r="C725" s="480">
        <f>중기사용료!M106</f>
        <v>27168</v>
      </c>
      <c r="D725" s="479" t="s">
        <v>1112</v>
      </c>
      <c r="E725" s="118" t="s">
        <v>1111</v>
      </c>
      <c r="F725" s="118"/>
      <c r="G725" s="118"/>
      <c r="H725" s="109"/>
      <c r="I725" s="109"/>
      <c r="J725" s="109"/>
      <c r="K725" s="109"/>
      <c r="L725" s="109"/>
      <c r="M725" s="109"/>
      <c r="N725" s="109"/>
      <c r="O725" s="109"/>
      <c r="P725" s="109"/>
      <c r="Q725" s="476"/>
    </row>
    <row r="726" spans="1:17" ht="21.2" hidden="1" customHeight="1" outlineLevel="1">
      <c r="A726" s="475"/>
      <c r="B726" s="118" t="s">
        <v>1113</v>
      </c>
      <c r="C726" s="480">
        <f>C725</f>
        <v>27168</v>
      </c>
      <c r="D726" s="479" t="str">
        <f>D725</f>
        <v>/</v>
      </c>
      <c r="E726" s="134">
        <f>O719</f>
        <v>3.91</v>
      </c>
      <c r="F726" s="118" t="s">
        <v>1582</v>
      </c>
      <c r="G726" s="481">
        <f>TRUNC(C726/E726)</f>
        <v>6948</v>
      </c>
      <c r="H726" s="109"/>
      <c r="I726" s="109"/>
      <c r="J726" s="109"/>
      <c r="K726" s="109"/>
      <c r="L726" s="109"/>
      <c r="M726" s="109"/>
      <c r="N726" s="109"/>
      <c r="O726" s="109"/>
      <c r="P726" s="109"/>
      <c r="Q726" s="476"/>
    </row>
    <row r="727" spans="1:17" ht="21.2" hidden="1" customHeight="1" outlineLevel="1">
      <c r="A727" s="475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476"/>
    </row>
    <row r="728" spans="1:17" ht="21.2" hidden="1" customHeight="1" outlineLevel="1">
      <c r="A728" s="475" t="s">
        <v>1116</v>
      </c>
      <c r="B728" s="118" t="s">
        <v>1582</v>
      </c>
      <c r="C728" s="480">
        <f>중기사용료!M112</f>
        <v>13465</v>
      </c>
      <c r="D728" s="479" t="s">
        <v>1112</v>
      </c>
      <c r="E728" s="118" t="s">
        <v>1111</v>
      </c>
      <c r="F728" s="118"/>
      <c r="G728" s="118"/>
      <c r="H728" s="109"/>
      <c r="I728" s="109"/>
      <c r="J728" s="109"/>
      <c r="K728" s="109"/>
      <c r="L728" s="109"/>
      <c r="M728" s="109"/>
      <c r="N728" s="109"/>
      <c r="O728" s="109"/>
      <c r="P728" s="109"/>
      <c r="Q728" s="476"/>
    </row>
    <row r="729" spans="1:17" ht="21.2" hidden="1" customHeight="1" outlineLevel="1">
      <c r="A729" s="475"/>
      <c r="B729" s="118" t="s">
        <v>1113</v>
      </c>
      <c r="C729" s="480">
        <f>C728</f>
        <v>13465</v>
      </c>
      <c r="D729" s="118" t="str">
        <f>D728</f>
        <v>/</v>
      </c>
      <c r="E729" s="134">
        <f>O719</f>
        <v>3.91</v>
      </c>
      <c r="F729" s="118" t="s">
        <v>1582</v>
      </c>
      <c r="G729" s="481">
        <f>TRUNC(C729/E729)</f>
        <v>3443</v>
      </c>
      <c r="H729" s="109"/>
      <c r="I729" s="109"/>
      <c r="J729" s="109"/>
      <c r="K729" s="109"/>
      <c r="L729" s="109"/>
      <c r="M729" s="109"/>
      <c r="N729" s="109"/>
      <c r="O729" s="109"/>
      <c r="P729" s="109"/>
      <c r="Q729" s="476"/>
    </row>
    <row r="730" spans="1:17" ht="21.2" hidden="1" customHeight="1" outlineLevel="1">
      <c r="A730" s="475"/>
      <c r="B730" s="109"/>
      <c r="C730" s="109"/>
      <c r="D730" s="109"/>
      <c r="E730" s="109"/>
      <c r="F730" s="109"/>
      <c r="G730" s="109"/>
      <c r="H730" s="118" t="s">
        <v>1117</v>
      </c>
      <c r="I730" s="118" t="s">
        <v>1118</v>
      </c>
      <c r="J730" s="118" t="s">
        <v>1113</v>
      </c>
      <c r="K730" s="797">
        <f>G723+G726+G729</f>
        <v>13591</v>
      </c>
      <c r="L730" s="797"/>
      <c r="M730" s="797"/>
      <c r="N730" s="118" t="s">
        <v>1119</v>
      </c>
      <c r="O730" s="109"/>
      <c r="P730" s="109"/>
      <c r="Q730" s="476"/>
    </row>
    <row r="731" spans="1:17" ht="21.2" hidden="1" customHeight="1" outlineLevel="1">
      <c r="A731" s="475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476"/>
    </row>
    <row r="732" spans="1:17" ht="21.2" hidden="1" customHeight="1" outlineLevel="1">
      <c r="A732" s="475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476"/>
    </row>
    <row r="733" spans="1:17" ht="21.2" hidden="1" customHeight="1" outlineLevel="1">
      <c r="A733" s="475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476"/>
    </row>
    <row r="734" spans="1:17" ht="21.2" hidden="1" customHeight="1" outlineLevel="1">
      <c r="A734" s="475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476"/>
    </row>
    <row r="735" spans="1:17" ht="21.2" hidden="1" customHeight="1" outlineLevel="1">
      <c r="A735" s="475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476"/>
    </row>
    <row r="736" spans="1:17" ht="21.2" hidden="1" customHeight="1" outlineLevel="1">
      <c r="A736" s="482"/>
      <c r="B736" s="136"/>
      <c r="C736" s="136"/>
      <c r="D736" s="136"/>
      <c r="E736" s="136"/>
      <c r="F736" s="136"/>
      <c r="G736" s="136"/>
      <c r="H736" s="136"/>
      <c r="I736" s="136"/>
      <c r="J736" s="136"/>
      <c r="K736" s="136"/>
      <c r="L736" s="136"/>
      <c r="M736" s="136"/>
      <c r="N736" s="136"/>
      <c r="O736" s="136"/>
      <c r="P736" s="136"/>
      <c r="Q736" s="483"/>
    </row>
    <row r="737" spans="1:18" ht="21.2" hidden="1" customHeight="1" outlineLevel="1"/>
    <row r="738" spans="1:18" ht="21.2" hidden="1" customHeight="1" outlineLevel="1">
      <c r="A738" s="796" t="s">
        <v>817</v>
      </c>
      <c r="B738" s="796"/>
      <c r="C738" s="796"/>
      <c r="D738" s="796"/>
      <c r="E738" s="796"/>
      <c r="F738" s="796"/>
      <c r="G738" s="796"/>
      <c r="H738" s="796"/>
      <c r="I738" s="796"/>
      <c r="J738" s="796"/>
      <c r="K738" s="796"/>
      <c r="L738" s="796"/>
      <c r="M738" s="796"/>
      <c r="N738" s="796"/>
      <c r="O738" s="796"/>
      <c r="P738" s="796"/>
      <c r="Q738" s="796"/>
      <c r="R738" s="472"/>
    </row>
    <row r="739" spans="1:18" ht="21.2" hidden="1" customHeight="1" outlineLevel="1">
      <c r="A739" s="473" t="s">
        <v>1437</v>
      </c>
      <c r="B739" s="142" t="s">
        <v>1526</v>
      </c>
      <c r="C739" s="125" t="s">
        <v>491</v>
      </c>
      <c r="D739" s="125"/>
      <c r="E739" s="125"/>
      <c r="F739" s="125"/>
      <c r="G739" s="125"/>
      <c r="H739" s="125"/>
      <c r="I739" s="125"/>
      <c r="J739" s="125"/>
      <c r="K739" s="125"/>
      <c r="L739" s="125"/>
      <c r="M739" s="125"/>
      <c r="N739" s="125"/>
      <c r="O739" s="125"/>
      <c r="P739" s="125"/>
      <c r="Q739" s="474"/>
    </row>
    <row r="740" spans="1:18" ht="21.2" hidden="1" customHeight="1" outlineLevel="1">
      <c r="A740" s="475" t="s">
        <v>1100</v>
      </c>
      <c r="B740" s="118" t="s">
        <v>1526</v>
      </c>
      <c r="C740" s="109" t="s">
        <v>491</v>
      </c>
      <c r="D740" s="109"/>
      <c r="E740" s="109"/>
      <c r="F740" s="109"/>
      <c r="G740" s="109" t="s">
        <v>1527</v>
      </c>
      <c r="H740" s="109" t="s">
        <v>1526</v>
      </c>
      <c r="I740" s="109" t="s">
        <v>2284</v>
      </c>
      <c r="J740" s="109"/>
      <c r="K740" s="109"/>
      <c r="L740" s="109"/>
      <c r="M740" s="109"/>
      <c r="N740" s="109"/>
      <c r="O740" s="109"/>
      <c r="P740" s="109"/>
      <c r="Q740" s="476"/>
    </row>
    <row r="741" spans="1:18" ht="21.2" hidden="1" customHeight="1" outlineLevel="1">
      <c r="A741" s="477">
        <f>A706+1</f>
        <v>22</v>
      </c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476"/>
    </row>
    <row r="742" spans="1:18" ht="21.2" hidden="1" customHeight="1" outlineLevel="1">
      <c r="A742" s="473" t="s">
        <v>1102</v>
      </c>
      <c r="B742" s="125"/>
      <c r="C742" s="125" t="s">
        <v>2285</v>
      </c>
      <c r="D742" s="125"/>
      <c r="E742" s="125"/>
      <c r="F742" s="125"/>
      <c r="G742" s="125"/>
      <c r="H742" s="125"/>
      <c r="I742" s="125"/>
      <c r="J742" s="125"/>
      <c r="K742" s="125"/>
      <c r="L742" s="125"/>
      <c r="M742" s="125"/>
      <c r="N742" s="125"/>
      <c r="O742" s="125"/>
      <c r="P742" s="125"/>
      <c r="Q742" s="474"/>
    </row>
    <row r="743" spans="1:18" ht="21.2" hidden="1" customHeight="1" outlineLevel="1">
      <c r="A743" s="475" t="s">
        <v>2286</v>
      </c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476"/>
    </row>
    <row r="744" spans="1:18" ht="21.2" hidden="1" customHeight="1" outlineLevel="1">
      <c r="A744" s="475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476"/>
    </row>
    <row r="745" spans="1:18" ht="21.2" hidden="1" customHeight="1" outlineLevel="1">
      <c r="A745" s="473" t="s">
        <v>1104</v>
      </c>
      <c r="B745" s="125"/>
      <c r="C745" s="125"/>
      <c r="D745" s="125"/>
      <c r="E745" s="125"/>
      <c r="F745" s="125"/>
      <c r="G745" s="125"/>
      <c r="H745" s="125"/>
      <c r="I745" s="125"/>
      <c r="J745" s="125"/>
      <c r="K745" s="125"/>
      <c r="L745" s="125"/>
      <c r="M745" s="125"/>
      <c r="N745" s="125"/>
      <c r="O745" s="125"/>
      <c r="P745" s="125"/>
      <c r="Q745" s="474"/>
    </row>
    <row r="746" spans="1:18" ht="21.2" hidden="1" customHeight="1" outlineLevel="1">
      <c r="A746" s="475" t="s">
        <v>2287</v>
      </c>
      <c r="B746" s="118" t="s">
        <v>1582</v>
      </c>
      <c r="C746" s="478">
        <v>1</v>
      </c>
      <c r="D746" s="109" t="s">
        <v>2288</v>
      </c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476"/>
    </row>
    <row r="747" spans="1:18" ht="21.2" hidden="1" customHeight="1" outlineLevel="1">
      <c r="A747" s="475" t="s">
        <v>2289</v>
      </c>
      <c r="B747" s="118" t="s">
        <v>1582</v>
      </c>
      <c r="C747" s="485">
        <v>60</v>
      </c>
      <c r="D747" s="109" t="s">
        <v>2290</v>
      </c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476"/>
    </row>
    <row r="748" spans="1:18" ht="21.2" hidden="1" customHeight="1" outlineLevel="1">
      <c r="A748" s="475" t="s">
        <v>2291</v>
      </c>
      <c r="B748" s="118" t="s">
        <v>1582</v>
      </c>
      <c r="C748" s="478">
        <v>0.05</v>
      </c>
      <c r="D748" s="109" t="s">
        <v>2292</v>
      </c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476"/>
    </row>
    <row r="749" spans="1:18" ht="21.2" hidden="1" customHeight="1" outlineLevel="1">
      <c r="A749" s="475" t="s">
        <v>1109</v>
      </c>
      <c r="B749" s="118" t="s">
        <v>1582</v>
      </c>
      <c r="C749" s="478">
        <v>0.55000000000000004</v>
      </c>
      <c r="D749" s="109" t="s">
        <v>2293</v>
      </c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476"/>
    </row>
    <row r="750" spans="1:18" ht="21.2" hidden="1" customHeight="1" outlineLevel="1">
      <c r="A750" s="475"/>
      <c r="B750" s="118"/>
      <c r="C750" s="478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476"/>
    </row>
    <row r="751" spans="1:18" ht="21.2" hidden="1" customHeight="1" outlineLevel="1">
      <c r="A751" s="475"/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476"/>
    </row>
    <row r="752" spans="1:18" ht="21.2" hidden="1" customHeight="1" outlineLevel="1">
      <c r="A752" s="473" t="s">
        <v>1110</v>
      </c>
      <c r="B752" s="125"/>
      <c r="C752" s="125"/>
      <c r="D752" s="125"/>
      <c r="E752" s="125"/>
      <c r="F752" s="125"/>
      <c r="G752" s="125"/>
      <c r="H752" s="125"/>
      <c r="I752" s="125"/>
      <c r="J752" s="125"/>
      <c r="K752" s="125"/>
      <c r="L752" s="125"/>
      <c r="M752" s="125"/>
      <c r="N752" s="125"/>
      <c r="O752" s="125"/>
      <c r="P752" s="125"/>
      <c r="Q752" s="474"/>
    </row>
    <row r="753" spans="1:17" ht="21.2" hidden="1" customHeight="1" outlineLevel="1">
      <c r="A753" s="475" t="s">
        <v>1111</v>
      </c>
      <c r="B753" s="118" t="s">
        <v>1582</v>
      </c>
      <c r="C753" s="118" t="s">
        <v>2287</v>
      </c>
      <c r="D753" s="118" t="s">
        <v>86</v>
      </c>
      <c r="E753" s="118" t="s">
        <v>2289</v>
      </c>
      <c r="F753" s="118" t="s">
        <v>86</v>
      </c>
      <c r="G753" s="118" t="s">
        <v>2291</v>
      </c>
      <c r="H753" s="118" t="s">
        <v>86</v>
      </c>
      <c r="I753" s="118" t="s">
        <v>1109</v>
      </c>
      <c r="J753" s="118"/>
      <c r="K753" s="109" t="s">
        <v>2294</v>
      </c>
      <c r="L753" s="479"/>
      <c r="M753" s="118"/>
      <c r="N753" s="109"/>
      <c r="O753" s="109"/>
      <c r="P753" s="109"/>
      <c r="Q753" s="476"/>
    </row>
    <row r="754" spans="1:17" ht="21.2" hidden="1" customHeight="1" outlineLevel="1">
      <c r="A754" s="475"/>
      <c r="B754" s="118" t="s">
        <v>1113</v>
      </c>
      <c r="C754" s="486">
        <f>C746</f>
        <v>1</v>
      </c>
      <c r="D754" s="118" t="str">
        <f>D753</f>
        <v>*</v>
      </c>
      <c r="E754" s="487">
        <f>C747</f>
        <v>60</v>
      </c>
      <c r="F754" s="118" t="str">
        <f>F753</f>
        <v>*</v>
      </c>
      <c r="G754" s="486">
        <f>C748</f>
        <v>0.05</v>
      </c>
      <c r="H754" s="118" t="str">
        <f>H753</f>
        <v>*</v>
      </c>
      <c r="I754" s="486">
        <f>C749</f>
        <v>0.55000000000000004</v>
      </c>
      <c r="J754" s="118"/>
      <c r="K754" s="318"/>
      <c r="L754" s="118"/>
      <c r="M754" s="275"/>
      <c r="N754" s="118" t="s">
        <v>1582</v>
      </c>
      <c r="O754" s="134">
        <f>C754*E754*G754*I754</f>
        <v>1.6500000000000001</v>
      </c>
      <c r="P754" s="109"/>
      <c r="Q754" s="476"/>
    </row>
    <row r="755" spans="1:17" ht="21.2" hidden="1" customHeight="1" outlineLevel="1">
      <c r="A755" s="475"/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476"/>
    </row>
    <row r="756" spans="1:17" ht="21.2" hidden="1" customHeight="1" outlineLevel="1">
      <c r="A756" s="473" t="s">
        <v>1114</v>
      </c>
      <c r="B756" s="125"/>
      <c r="C756" s="125"/>
      <c r="D756" s="125"/>
      <c r="E756" s="125"/>
      <c r="F756" s="125"/>
      <c r="G756" s="125"/>
      <c r="H756" s="125"/>
      <c r="I756" s="125"/>
      <c r="J756" s="125"/>
      <c r="K756" s="125"/>
      <c r="L756" s="125"/>
      <c r="M756" s="125"/>
      <c r="N756" s="125"/>
      <c r="O756" s="125"/>
      <c r="P756" s="125"/>
      <c r="Q756" s="474"/>
    </row>
    <row r="757" spans="1:17" ht="21.2" hidden="1" customHeight="1" outlineLevel="1">
      <c r="A757" s="475" t="s">
        <v>1436</v>
      </c>
      <c r="B757" s="109" t="s">
        <v>1582</v>
      </c>
      <c r="C757" s="480">
        <f>중기사용료!M1563</f>
        <v>243</v>
      </c>
      <c r="D757" s="479" t="s">
        <v>1112</v>
      </c>
      <c r="E757" s="118" t="s">
        <v>1111</v>
      </c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476"/>
    </row>
    <row r="758" spans="1:17" ht="21.2" hidden="1" customHeight="1" outlineLevel="1">
      <c r="A758" s="475"/>
      <c r="B758" s="118" t="s">
        <v>1113</v>
      </c>
      <c r="C758" s="480">
        <f>C757</f>
        <v>243</v>
      </c>
      <c r="D758" s="118" t="str">
        <f>D757</f>
        <v>/</v>
      </c>
      <c r="E758" s="134">
        <f>O754</f>
        <v>1.6500000000000001</v>
      </c>
      <c r="F758" s="109" t="s">
        <v>1582</v>
      </c>
      <c r="G758" s="481">
        <f>TRUNC(C758/E758)</f>
        <v>147</v>
      </c>
      <c r="H758" s="109"/>
      <c r="I758" s="109"/>
      <c r="J758" s="109"/>
      <c r="K758" s="109"/>
      <c r="L758" s="109"/>
      <c r="M758" s="109"/>
      <c r="N758" s="109"/>
      <c r="O758" s="109"/>
      <c r="P758" s="109"/>
      <c r="Q758" s="476"/>
    </row>
    <row r="759" spans="1:17" ht="21.2" hidden="1" customHeight="1" outlineLevel="1">
      <c r="A759" s="475"/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476"/>
    </row>
    <row r="760" spans="1:17" ht="21.2" hidden="1" customHeight="1" outlineLevel="1">
      <c r="A760" s="475" t="s">
        <v>1115</v>
      </c>
      <c r="B760" s="109" t="s">
        <v>1582</v>
      </c>
      <c r="C760" s="480">
        <f>중기사용료!M1569</f>
        <v>0</v>
      </c>
      <c r="D760" s="479" t="s">
        <v>1112</v>
      </c>
      <c r="E760" s="118" t="s">
        <v>1111</v>
      </c>
      <c r="F760" s="118"/>
      <c r="G760" s="118"/>
      <c r="H760" s="109"/>
      <c r="I760" s="109"/>
      <c r="J760" s="109"/>
      <c r="K760" s="109"/>
      <c r="L760" s="109"/>
      <c r="M760" s="109"/>
      <c r="N760" s="109"/>
      <c r="O760" s="109"/>
      <c r="P760" s="109"/>
      <c r="Q760" s="476"/>
    </row>
    <row r="761" spans="1:17" ht="21.2" hidden="1" customHeight="1" outlineLevel="1">
      <c r="A761" s="475"/>
      <c r="B761" s="118" t="s">
        <v>1113</v>
      </c>
      <c r="C761" s="480">
        <f>C760</f>
        <v>0</v>
      </c>
      <c r="D761" s="479" t="str">
        <f>D760</f>
        <v>/</v>
      </c>
      <c r="E761" s="134">
        <f>O754</f>
        <v>1.6500000000000001</v>
      </c>
      <c r="F761" s="118" t="s">
        <v>1582</v>
      </c>
      <c r="G761" s="481">
        <f>TRUNC(C761/E761)</f>
        <v>0</v>
      </c>
      <c r="H761" s="109"/>
      <c r="I761" s="109"/>
      <c r="J761" s="109"/>
      <c r="K761" s="109"/>
      <c r="L761" s="109"/>
      <c r="M761" s="109"/>
      <c r="N761" s="109"/>
      <c r="O761" s="109"/>
      <c r="P761" s="109"/>
      <c r="Q761" s="476"/>
    </row>
    <row r="762" spans="1:17" ht="21.2" hidden="1" customHeight="1" outlineLevel="1">
      <c r="A762" s="475"/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476"/>
    </row>
    <row r="763" spans="1:17" ht="21.2" hidden="1" customHeight="1" outlineLevel="1">
      <c r="A763" s="475" t="s">
        <v>1116</v>
      </c>
      <c r="B763" s="118" t="s">
        <v>1582</v>
      </c>
      <c r="C763" s="480">
        <f>중기사용료!M1575</f>
        <v>0</v>
      </c>
      <c r="D763" s="479" t="s">
        <v>1112</v>
      </c>
      <c r="E763" s="118" t="s">
        <v>1111</v>
      </c>
      <c r="F763" s="118"/>
      <c r="G763" s="118"/>
      <c r="H763" s="109"/>
      <c r="I763" s="109"/>
      <c r="J763" s="109"/>
      <c r="K763" s="109"/>
      <c r="L763" s="109"/>
      <c r="M763" s="109"/>
      <c r="N763" s="109"/>
      <c r="O763" s="109"/>
      <c r="P763" s="109"/>
      <c r="Q763" s="476"/>
    </row>
    <row r="764" spans="1:17" ht="21.2" hidden="1" customHeight="1" outlineLevel="1">
      <c r="A764" s="475"/>
      <c r="B764" s="118" t="s">
        <v>1113</v>
      </c>
      <c r="C764" s="480">
        <f>C763</f>
        <v>0</v>
      </c>
      <c r="D764" s="118" t="str">
        <f>D763</f>
        <v>/</v>
      </c>
      <c r="E764" s="134">
        <f>O754</f>
        <v>1.6500000000000001</v>
      </c>
      <c r="F764" s="118" t="s">
        <v>1582</v>
      </c>
      <c r="G764" s="481">
        <f>TRUNC(C764/E764)</f>
        <v>0</v>
      </c>
      <c r="H764" s="109"/>
      <c r="I764" s="109"/>
      <c r="J764" s="109"/>
      <c r="K764" s="109"/>
      <c r="L764" s="109"/>
      <c r="M764" s="109"/>
      <c r="N764" s="109"/>
      <c r="O764" s="109"/>
      <c r="P764" s="109"/>
      <c r="Q764" s="476"/>
    </row>
    <row r="765" spans="1:17" ht="21.2" hidden="1" customHeight="1" outlineLevel="1">
      <c r="A765" s="475"/>
      <c r="B765" s="109"/>
      <c r="C765" s="109"/>
      <c r="D765" s="109"/>
      <c r="E765" s="109"/>
      <c r="F765" s="109"/>
      <c r="G765" s="109"/>
      <c r="H765" s="118" t="s">
        <v>1117</v>
      </c>
      <c r="I765" s="118" t="s">
        <v>1118</v>
      </c>
      <c r="J765" s="118" t="s">
        <v>1113</v>
      </c>
      <c r="K765" s="797">
        <f>G758+G761+G764</f>
        <v>147</v>
      </c>
      <c r="L765" s="797"/>
      <c r="M765" s="797"/>
      <c r="N765" s="118" t="s">
        <v>1119</v>
      </c>
      <c r="O765" s="109"/>
      <c r="P765" s="109"/>
      <c r="Q765" s="476"/>
    </row>
    <row r="766" spans="1:17" ht="21.2" hidden="1" customHeight="1" outlineLevel="1">
      <c r="A766" s="475"/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476"/>
    </row>
    <row r="767" spans="1:17" ht="21.2" hidden="1" customHeight="1" outlineLevel="1">
      <c r="A767" s="475"/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476"/>
    </row>
    <row r="768" spans="1:17" ht="21.2" hidden="1" customHeight="1" outlineLevel="1">
      <c r="A768" s="475"/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476"/>
    </row>
    <row r="769" spans="1:18" ht="21.2" hidden="1" customHeight="1" outlineLevel="1">
      <c r="A769" s="475"/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476"/>
    </row>
    <row r="770" spans="1:18" ht="21.2" hidden="1" customHeight="1" outlineLevel="1">
      <c r="A770" s="475"/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476"/>
    </row>
    <row r="771" spans="1:18" ht="21.2" hidden="1" customHeight="1" outlineLevel="1">
      <c r="A771" s="482"/>
      <c r="B771" s="136"/>
      <c r="C771" s="136"/>
      <c r="D771" s="136"/>
      <c r="E771" s="136"/>
      <c r="F771" s="136"/>
      <c r="G771" s="136"/>
      <c r="H771" s="136"/>
      <c r="I771" s="136"/>
      <c r="J771" s="136"/>
      <c r="K771" s="136"/>
      <c r="L771" s="136"/>
      <c r="M771" s="136"/>
      <c r="N771" s="136"/>
      <c r="O771" s="136"/>
      <c r="P771" s="136"/>
      <c r="Q771" s="483"/>
    </row>
    <row r="772" spans="1:18" ht="21.2" hidden="1" customHeight="1" outlineLevel="1"/>
    <row r="773" spans="1:18" ht="21.2" hidden="1" customHeight="1" outlineLevel="1">
      <c r="A773" s="796" t="s">
        <v>817</v>
      </c>
      <c r="B773" s="796"/>
      <c r="C773" s="796"/>
      <c r="D773" s="796"/>
      <c r="E773" s="796"/>
      <c r="F773" s="796"/>
      <c r="G773" s="796"/>
      <c r="H773" s="796"/>
      <c r="I773" s="796"/>
      <c r="J773" s="796"/>
      <c r="K773" s="796"/>
      <c r="L773" s="796"/>
      <c r="M773" s="796"/>
      <c r="N773" s="796"/>
      <c r="O773" s="796"/>
      <c r="P773" s="796"/>
      <c r="Q773" s="796"/>
      <c r="R773" s="472"/>
    </row>
    <row r="774" spans="1:18" ht="21.2" hidden="1" customHeight="1" outlineLevel="1">
      <c r="A774" s="473" t="s">
        <v>1437</v>
      </c>
      <c r="B774" s="142" t="s">
        <v>1526</v>
      </c>
      <c r="C774" s="125" t="s">
        <v>491</v>
      </c>
      <c r="D774" s="125"/>
      <c r="E774" s="125"/>
      <c r="F774" s="125"/>
      <c r="G774" s="125"/>
      <c r="H774" s="125"/>
      <c r="I774" s="125"/>
      <c r="J774" s="125"/>
      <c r="K774" s="125"/>
      <c r="L774" s="125"/>
      <c r="M774" s="125"/>
      <c r="N774" s="125"/>
      <c r="O774" s="125"/>
      <c r="P774" s="125"/>
      <c r="Q774" s="474"/>
    </row>
    <row r="775" spans="1:18" ht="21.2" hidden="1" customHeight="1" outlineLevel="1">
      <c r="A775" s="475" t="s">
        <v>1100</v>
      </c>
      <c r="B775" s="118" t="s">
        <v>1526</v>
      </c>
      <c r="C775" s="109" t="s">
        <v>491</v>
      </c>
      <c r="D775" s="109"/>
      <c r="E775" s="109"/>
      <c r="F775" s="109"/>
      <c r="G775" s="109" t="s">
        <v>1527</v>
      </c>
      <c r="H775" s="109" t="s">
        <v>1526</v>
      </c>
      <c r="I775" s="109" t="s">
        <v>87</v>
      </c>
      <c r="J775" s="109"/>
      <c r="K775" s="109"/>
      <c r="L775" s="109"/>
      <c r="M775" s="109"/>
      <c r="N775" s="109"/>
      <c r="O775" s="109"/>
      <c r="P775" s="109"/>
      <c r="Q775" s="476"/>
    </row>
    <row r="776" spans="1:18" ht="21.2" hidden="1" customHeight="1" outlineLevel="1">
      <c r="A776" s="477">
        <f>A741+1</f>
        <v>23</v>
      </c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476"/>
    </row>
    <row r="777" spans="1:18" ht="21.2" hidden="1" customHeight="1" outlineLevel="1">
      <c r="A777" s="473" t="s">
        <v>1102</v>
      </c>
      <c r="B777" s="125"/>
      <c r="C777" s="125" t="s">
        <v>2285</v>
      </c>
      <c r="D777" s="125"/>
      <c r="E777" s="125"/>
      <c r="F777" s="125"/>
      <c r="G777" s="125"/>
      <c r="H777" s="125"/>
      <c r="I777" s="125"/>
      <c r="J777" s="125"/>
      <c r="K777" s="125"/>
      <c r="L777" s="125"/>
      <c r="M777" s="125"/>
      <c r="N777" s="125"/>
      <c r="O777" s="125"/>
      <c r="P777" s="125"/>
      <c r="Q777" s="474"/>
    </row>
    <row r="778" spans="1:18" ht="21.2" hidden="1" customHeight="1" outlineLevel="1">
      <c r="A778" s="475" t="s">
        <v>2286</v>
      </c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476"/>
    </row>
    <row r="779" spans="1:18" ht="21.2" hidden="1" customHeight="1" outlineLevel="1">
      <c r="A779" s="475"/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476"/>
    </row>
    <row r="780" spans="1:18" ht="21.2" hidden="1" customHeight="1" outlineLevel="1">
      <c r="A780" s="473" t="s">
        <v>1104</v>
      </c>
      <c r="B780" s="125"/>
      <c r="C780" s="125"/>
      <c r="D780" s="125"/>
      <c r="E780" s="125"/>
      <c r="F780" s="125"/>
      <c r="G780" s="125"/>
      <c r="H780" s="125"/>
      <c r="I780" s="125"/>
      <c r="J780" s="125"/>
      <c r="K780" s="125"/>
      <c r="L780" s="125"/>
      <c r="M780" s="125"/>
      <c r="N780" s="125"/>
      <c r="O780" s="125"/>
      <c r="P780" s="125"/>
      <c r="Q780" s="474"/>
    </row>
    <row r="781" spans="1:18" ht="21.2" hidden="1" customHeight="1" outlineLevel="1">
      <c r="A781" s="475" t="s">
        <v>2287</v>
      </c>
      <c r="B781" s="118" t="s">
        <v>1582</v>
      </c>
      <c r="C781" s="478">
        <v>2</v>
      </c>
      <c r="D781" s="109" t="s">
        <v>2288</v>
      </c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476"/>
    </row>
    <row r="782" spans="1:18" ht="21.2" hidden="1" customHeight="1" outlineLevel="1">
      <c r="A782" s="475" t="s">
        <v>2289</v>
      </c>
      <c r="B782" s="118" t="s">
        <v>1582</v>
      </c>
      <c r="C782" s="485">
        <v>200</v>
      </c>
      <c r="D782" s="109" t="s">
        <v>2290</v>
      </c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476"/>
    </row>
    <row r="783" spans="1:18" ht="21.2" hidden="1" customHeight="1" outlineLevel="1">
      <c r="A783" s="475" t="s">
        <v>2291</v>
      </c>
      <c r="B783" s="118" t="s">
        <v>1582</v>
      </c>
      <c r="C783" s="478">
        <v>0.05</v>
      </c>
      <c r="D783" s="109" t="s">
        <v>2292</v>
      </c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476"/>
    </row>
    <row r="784" spans="1:18" ht="21.2" hidden="1" customHeight="1" outlineLevel="1">
      <c r="A784" s="475" t="s">
        <v>1109</v>
      </c>
      <c r="B784" s="118" t="s">
        <v>1582</v>
      </c>
      <c r="C784" s="478">
        <v>0.55000000000000004</v>
      </c>
      <c r="D784" s="109" t="s">
        <v>2293</v>
      </c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476"/>
    </row>
    <row r="785" spans="1:17" ht="21.2" hidden="1" customHeight="1" outlineLevel="1">
      <c r="A785" s="475"/>
      <c r="B785" s="118"/>
      <c r="C785" s="478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476"/>
    </row>
    <row r="786" spans="1:17" ht="21.2" hidden="1" customHeight="1" outlineLevel="1">
      <c r="A786" s="475"/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476"/>
    </row>
    <row r="787" spans="1:17" ht="21.2" hidden="1" customHeight="1" outlineLevel="1">
      <c r="A787" s="473" t="s">
        <v>1110</v>
      </c>
      <c r="B787" s="125"/>
      <c r="C787" s="125"/>
      <c r="D787" s="125"/>
      <c r="E787" s="125"/>
      <c r="F787" s="125"/>
      <c r="G787" s="125"/>
      <c r="H787" s="125"/>
      <c r="I787" s="125"/>
      <c r="J787" s="125"/>
      <c r="K787" s="125"/>
      <c r="L787" s="125"/>
      <c r="M787" s="125"/>
      <c r="N787" s="125"/>
      <c r="O787" s="125"/>
      <c r="P787" s="125"/>
      <c r="Q787" s="474"/>
    </row>
    <row r="788" spans="1:17" ht="21.2" hidden="1" customHeight="1" outlineLevel="1">
      <c r="A788" s="475" t="s">
        <v>1111</v>
      </c>
      <c r="B788" s="118" t="s">
        <v>1582</v>
      </c>
      <c r="C788" s="118" t="s">
        <v>2287</v>
      </c>
      <c r="D788" s="118" t="s">
        <v>86</v>
      </c>
      <c r="E788" s="118" t="s">
        <v>2289</v>
      </c>
      <c r="F788" s="118" t="s">
        <v>86</v>
      </c>
      <c r="G788" s="118" t="s">
        <v>2291</v>
      </c>
      <c r="H788" s="118" t="s">
        <v>86</v>
      </c>
      <c r="I788" s="118" t="s">
        <v>1109</v>
      </c>
      <c r="J788" s="118"/>
      <c r="K788" s="109" t="s">
        <v>2294</v>
      </c>
      <c r="L788" s="479"/>
      <c r="M788" s="118"/>
      <c r="N788" s="109"/>
      <c r="O788" s="109"/>
      <c r="P788" s="109"/>
      <c r="Q788" s="476"/>
    </row>
    <row r="789" spans="1:17" ht="21.2" hidden="1" customHeight="1" outlineLevel="1">
      <c r="A789" s="475"/>
      <c r="B789" s="118" t="s">
        <v>1113</v>
      </c>
      <c r="C789" s="486">
        <f>C781</f>
        <v>2</v>
      </c>
      <c r="D789" s="118" t="str">
        <f>D788</f>
        <v>*</v>
      </c>
      <c r="E789" s="487">
        <f>C782</f>
        <v>200</v>
      </c>
      <c r="F789" s="118" t="str">
        <f>F788</f>
        <v>*</v>
      </c>
      <c r="G789" s="486">
        <f>C783</f>
        <v>0.05</v>
      </c>
      <c r="H789" s="118" t="str">
        <f>H788</f>
        <v>*</v>
      </c>
      <c r="I789" s="486">
        <f>C784</f>
        <v>0.55000000000000004</v>
      </c>
      <c r="J789" s="118"/>
      <c r="K789" s="318"/>
      <c r="L789" s="118"/>
      <c r="M789" s="275"/>
      <c r="N789" s="118" t="s">
        <v>1582</v>
      </c>
      <c r="O789" s="134">
        <f>C789*E789*G789*I789</f>
        <v>11</v>
      </c>
      <c r="P789" s="109"/>
      <c r="Q789" s="476"/>
    </row>
    <row r="790" spans="1:17" ht="21.2" hidden="1" customHeight="1" outlineLevel="1">
      <c r="A790" s="475"/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476"/>
    </row>
    <row r="791" spans="1:17" ht="21.2" hidden="1" customHeight="1" outlineLevel="1">
      <c r="A791" s="473" t="s">
        <v>1114</v>
      </c>
      <c r="B791" s="125"/>
      <c r="C791" s="125"/>
      <c r="D791" s="125"/>
      <c r="E791" s="125"/>
      <c r="F791" s="125"/>
      <c r="G791" s="125"/>
      <c r="H791" s="125"/>
      <c r="I791" s="125"/>
      <c r="J791" s="125"/>
      <c r="K791" s="125"/>
      <c r="L791" s="125"/>
      <c r="M791" s="125"/>
      <c r="N791" s="125"/>
      <c r="O791" s="125"/>
      <c r="P791" s="125"/>
      <c r="Q791" s="474"/>
    </row>
    <row r="792" spans="1:17" ht="21.2" hidden="1" customHeight="1" outlineLevel="1">
      <c r="A792" s="475" t="s">
        <v>1436</v>
      </c>
      <c r="B792" s="109" t="s">
        <v>1582</v>
      </c>
      <c r="C792" s="480">
        <f>중기사용료!M1468</f>
        <v>164374</v>
      </c>
      <c r="D792" s="479" t="s">
        <v>1112</v>
      </c>
      <c r="E792" s="118" t="s">
        <v>1111</v>
      </c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476"/>
    </row>
    <row r="793" spans="1:17" ht="21.2" hidden="1" customHeight="1" outlineLevel="1">
      <c r="A793" s="475"/>
      <c r="B793" s="118" t="s">
        <v>1113</v>
      </c>
      <c r="C793" s="480">
        <f>C792</f>
        <v>164374</v>
      </c>
      <c r="D793" s="118" t="str">
        <f>D792</f>
        <v>/</v>
      </c>
      <c r="E793" s="134">
        <f>O789</f>
        <v>11</v>
      </c>
      <c r="F793" s="109" t="s">
        <v>1582</v>
      </c>
      <c r="G793" s="481">
        <f>TRUNC(C793/E793)</f>
        <v>14943</v>
      </c>
      <c r="H793" s="109"/>
      <c r="I793" s="109"/>
      <c r="J793" s="109"/>
      <c r="K793" s="109"/>
      <c r="L793" s="109"/>
      <c r="M793" s="109"/>
      <c r="N793" s="109"/>
      <c r="O793" s="109"/>
      <c r="P793" s="109"/>
      <c r="Q793" s="476"/>
    </row>
    <row r="794" spans="1:17" ht="21.2" hidden="1" customHeight="1" outlineLevel="1">
      <c r="A794" s="475"/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476"/>
    </row>
    <row r="795" spans="1:17" ht="21.2" hidden="1" customHeight="1" outlineLevel="1">
      <c r="A795" s="475" t="s">
        <v>1115</v>
      </c>
      <c r="B795" s="109" t="s">
        <v>1582</v>
      </c>
      <c r="C795" s="480">
        <f>중기사용료!M1474</f>
        <v>27168</v>
      </c>
      <c r="D795" s="479" t="s">
        <v>1112</v>
      </c>
      <c r="E795" s="118" t="s">
        <v>1111</v>
      </c>
      <c r="F795" s="118"/>
      <c r="G795" s="118"/>
      <c r="H795" s="109"/>
      <c r="I795" s="109"/>
      <c r="J795" s="109"/>
      <c r="K795" s="109"/>
      <c r="L795" s="109"/>
      <c r="M795" s="109"/>
      <c r="N795" s="109"/>
      <c r="O795" s="109"/>
      <c r="P795" s="109"/>
      <c r="Q795" s="476"/>
    </row>
    <row r="796" spans="1:17" ht="21.2" hidden="1" customHeight="1" outlineLevel="1">
      <c r="A796" s="475"/>
      <c r="B796" s="118" t="s">
        <v>1113</v>
      </c>
      <c r="C796" s="480">
        <f>C795</f>
        <v>27168</v>
      </c>
      <c r="D796" s="479" t="str">
        <f>D795</f>
        <v>/</v>
      </c>
      <c r="E796" s="134">
        <f>O789</f>
        <v>11</v>
      </c>
      <c r="F796" s="118" t="s">
        <v>1582</v>
      </c>
      <c r="G796" s="481">
        <f>TRUNC(C796/E796)</f>
        <v>2469</v>
      </c>
      <c r="H796" s="109"/>
      <c r="I796" s="109"/>
      <c r="J796" s="109"/>
      <c r="K796" s="109"/>
      <c r="L796" s="109"/>
      <c r="M796" s="109"/>
      <c r="N796" s="109"/>
      <c r="O796" s="109"/>
      <c r="P796" s="109"/>
      <c r="Q796" s="476"/>
    </row>
    <row r="797" spans="1:17" ht="21.2" hidden="1" customHeight="1" outlineLevel="1">
      <c r="A797" s="475"/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476"/>
    </row>
    <row r="798" spans="1:17" ht="21.2" hidden="1" customHeight="1" outlineLevel="1">
      <c r="A798" s="475" t="s">
        <v>1116</v>
      </c>
      <c r="B798" s="118" t="s">
        <v>1582</v>
      </c>
      <c r="C798" s="480">
        <f>중기사용료!M1480</f>
        <v>68156</v>
      </c>
      <c r="D798" s="479" t="s">
        <v>1112</v>
      </c>
      <c r="E798" s="118" t="s">
        <v>1111</v>
      </c>
      <c r="F798" s="118"/>
      <c r="G798" s="118"/>
      <c r="H798" s="109"/>
      <c r="I798" s="109"/>
      <c r="J798" s="109"/>
      <c r="K798" s="109"/>
      <c r="L798" s="109"/>
      <c r="M798" s="109"/>
      <c r="N798" s="109"/>
      <c r="O798" s="109"/>
      <c r="P798" s="109"/>
      <c r="Q798" s="476"/>
    </row>
    <row r="799" spans="1:17" ht="21.2" hidden="1" customHeight="1" outlineLevel="1">
      <c r="A799" s="475"/>
      <c r="B799" s="118" t="s">
        <v>1113</v>
      </c>
      <c r="C799" s="480">
        <f>C798</f>
        <v>68156</v>
      </c>
      <c r="D799" s="118" t="str">
        <f>D798</f>
        <v>/</v>
      </c>
      <c r="E799" s="134">
        <f>O789</f>
        <v>11</v>
      </c>
      <c r="F799" s="118" t="s">
        <v>1582</v>
      </c>
      <c r="G799" s="481">
        <f>TRUNC(C799/E799)</f>
        <v>6196</v>
      </c>
      <c r="H799" s="109"/>
      <c r="I799" s="109"/>
      <c r="J799" s="109"/>
      <c r="K799" s="109"/>
      <c r="L799" s="109"/>
      <c r="M799" s="109"/>
      <c r="N799" s="109"/>
      <c r="O799" s="109"/>
      <c r="P799" s="109"/>
      <c r="Q799" s="476"/>
    </row>
    <row r="800" spans="1:17" ht="21.2" hidden="1" customHeight="1" outlineLevel="1">
      <c r="A800" s="475"/>
      <c r="B800" s="109"/>
      <c r="C800" s="109"/>
      <c r="D800" s="109"/>
      <c r="E800" s="109"/>
      <c r="F800" s="109"/>
      <c r="G800" s="109"/>
      <c r="H800" s="118" t="s">
        <v>1117</v>
      </c>
      <c r="I800" s="118" t="s">
        <v>1118</v>
      </c>
      <c r="J800" s="118" t="s">
        <v>1113</v>
      </c>
      <c r="K800" s="797">
        <f>G793+G796+G799</f>
        <v>23608</v>
      </c>
      <c r="L800" s="797"/>
      <c r="M800" s="797"/>
      <c r="N800" s="118" t="s">
        <v>1119</v>
      </c>
      <c r="O800" s="109"/>
      <c r="P800" s="109"/>
      <c r="Q800" s="476"/>
    </row>
    <row r="801" spans="1:18" ht="21.2" hidden="1" customHeight="1" outlineLevel="1">
      <c r="A801" s="475"/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476"/>
    </row>
    <row r="802" spans="1:18" ht="21.2" hidden="1" customHeight="1" outlineLevel="1">
      <c r="A802" s="475"/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476"/>
    </row>
    <row r="803" spans="1:18" ht="21.2" hidden="1" customHeight="1" outlineLevel="1">
      <c r="A803" s="475"/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476"/>
    </row>
    <row r="804" spans="1:18" ht="21.2" hidden="1" customHeight="1" outlineLevel="1">
      <c r="A804" s="475"/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476"/>
    </row>
    <row r="805" spans="1:18" ht="21.2" hidden="1" customHeight="1" outlineLevel="1">
      <c r="A805" s="475"/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476"/>
    </row>
    <row r="806" spans="1:18" ht="21.2" hidden="1" customHeight="1" outlineLevel="1">
      <c r="A806" s="482"/>
      <c r="B806" s="136"/>
      <c r="C806" s="136"/>
      <c r="D806" s="136"/>
      <c r="E806" s="136"/>
      <c r="F806" s="136"/>
      <c r="G806" s="136"/>
      <c r="H806" s="136"/>
      <c r="I806" s="136"/>
      <c r="J806" s="136"/>
      <c r="K806" s="136"/>
      <c r="L806" s="136"/>
      <c r="M806" s="136"/>
      <c r="N806" s="136"/>
      <c r="O806" s="136"/>
      <c r="P806" s="136"/>
      <c r="Q806" s="483"/>
    </row>
    <row r="807" spans="1:18" ht="21.2" hidden="1" customHeight="1" outlineLevel="1"/>
    <row r="808" spans="1:18" ht="21.2" hidden="1" customHeight="1" outlineLevel="1">
      <c r="A808" s="796" t="s">
        <v>817</v>
      </c>
      <c r="B808" s="796"/>
      <c r="C808" s="796"/>
      <c r="D808" s="796"/>
      <c r="E808" s="796"/>
      <c r="F808" s="796"/>
      <c r="G808" s="796"/>
      <c r="H808" s="796"/>
      <c r="I808" s="796"/>
      <c r="J808" s="796"/>
      <c r="K808" s="796"/>
      <c r="L808" s="796"/>
      <c r="M808" s="796"/>
      <c r="N808" s="796"/>
      <c r="O808" s="796"/>
      <c r="P808" s="796"/>
      <c r="Q808" s="796"/>
      <c r="R808" s="472"/>
    </row>
    <row r="809" spans="1:18" ht="21.2" hidden="1" customHeight="1" outlineLevel="1">
      <c r="A809" s="473" t="s">
        <v>1437</v>
      </c>
      <c r="B809" s="142" t="s">
        <v>1526</v>
      </c>
      <c r="C809" s="125" t="s">
        <v>2295</v>
      </c>
      <c r="D809" s="125"/>
      <c r="E809" s="125"/>
      <c r="F809" s="125"/>
      <c r="G809" s="125"/>
      <c r="H809" s="125"/>
      <c r="I809" s="125"/>
      <c r="J809" s="125"/>
      <c r="K809" s="125"/>
      <c r="L809" s="125"/>
      <c r="M809" s="125"/>
      <c r="N809" s="125"/>
      <c r="O809" s="125"/>
      <c r="P809" s="125"/>
      <c r="Q809" s="474"/>
    </row>
    <row r="810" spans="1:18" ht="21.2" hidden="1" customHeight="1" outlineLevel="1">
      <c r="A810" s="475" t="s">
        <v>1100</v>
      </c>
      <c r="B810" s="118" t="s">
        <v>1526</v>
      </c>
      <c r="C810" s="109" t="s">
        <v>2264</v>
      </c>
      <c r="D810" s="109"/>
      <c r="E810" s="109"/>
      <c r="F810" s="109"/>
      <c r="G810" s="109" t="s">
        <v>1527</v>
      </c>
      <c r="H810" s="109" t="s">
        <v>1526</v>
      </c>
      <c r="I810" s="109" t="s">
        <v>2296</v>
      </c>
      <c r="J810" s="109"/>
      <c r="K810" s="109"/>
      <c r="L810" s="109"/>
      <c r="M810" s="109"/>
      <c r="N810" s="109"/>
      <c r="O810" s="109"/>
      <c r="P810" s="109"/>
      <c r="Q810" s="476"/>
    </row>
    <row r="811" spans="1:18" ht="21.2" hidden="1" customHeight="1" outlineLevel="1">
      <c r="A811" s="477">
        <f>A776+1</f>
        <v>24</v>
      </c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476"/>
    </row>
    <row r="812" spans="1:18" ht="21.2" hidden="1" customHeight="1" outlineLevel="1">
      <c r="A812" s="473" t="s">
        <v>1102</v>
      </c>
      <c r="B812" s="125"/>
      <c r="C812" s="125" t="s">
        <v>2297</v>
      </c>
      <c r="D812" s="125"/>
      <c r="E812" s="125"/>
      <c r="F812" s="125"/>
      <c r="G812" s="125"/>
      <c r="H812" s="125"/>
      <c r="I812" s="125"/>
      <c r="J812" s="125"/>
      <c r="K812" s="125"/>
      <c r="L812" s="125"/>
      <c r="M812" s="125"/>
      <c r="N812" s="125"/>
      <c r="O812" s="125"/>
      <c r="P812" s="125"/>
      <c r="Q812" s="474"/>
    </row>
    <row r="813" spans="1:18" ht="21.2" hidden="1" customHeight="1" outlineLevel="1">
      <c r="A813" s="475" t="s">
        <v>2298</v>
      </c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476"/>
    </row>
    <row r="814" spans="1:18" ht="21.2" hidden="1" customHeight="1" outlineLevel="1">
      <c r="A814" s="475"/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476"/>
    </row>
    <row r="815" spans="1:18" ht="21.2" hidden="1" customHeight="1" outlineLevel="1">
      <c r="A815" s="473" t="s">
        <v>1104</v>
      </c>
      <c r="B815" s="125"/>
      <c r="C815" s="125"/>
      <c r="D815" s="125"/>
      <c r="E815" s="125"/>
      <c r="F815" s="125"/>
      <c r="G815" s="125"/>
      <c r="H815" s="125"/>
      <c r="I815" s="125"/>
      <c r="J815" s="125"/>
      <c r="K815" s="125"/>
      <c r="L815" s="125"/>
      <c r="M815" s="125"/>
      <c r="N815" s="125"/>
      <c r="O815" s="125"/>
      <c r="P815" s="125"/>
      <c r="Q815" s="474"/>
    </row>
    <row r="816" spans="1:18" ht="21.2" hidden="1" customHeight="1" outlineLevel="1">
      <c r="A816" s="475" t="s">
        <v>1105</v>
      </c>
      <c r="B816" s="118" t="s">
        <v>1582</v>
      </c>
      <c r="C816" s="478">
        <v>1</v>
      </c>
      <c r="D816" s="109" t="s">
        <v>2299</v>
      </c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476"/>
    </row>
    <row r="817" spans="1:17" ht="21.2" hidden="1" customHeight="1" outlineLevel="1">
      <c r="A817" s="475"/>
      <c r="B817" s="118"/>
      <c r="C817" s="485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476"/>
    </row>
    <row r="818" spans="1:17" ht="21.2" hidden="1" customHeight="1" outlineLevel="1">
      <c r="A818" s="475"/>
      <c r="B818" s="118"/>
      <c r="C818" s="478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476"/>
    </row>
    <row r="819" spans="1:17" ht="21.2" hidden="1" customHeight="1" outlineLevel="1">
      <c r="A819" s="475"/>
      <c r="B819" s="118"/>
      <c r="C819" s="478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476"/>
    </row>
    <row r="820" spans="1:17" ht="21.2" hidden="1" customHeight="1" outlineLevel="1">
      <c r="A820" s="475"/>
      <c r="B820" s="118"/>
      <c r="C820" s="478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476"/>
    </row>
    <row r="821" spans="1:17" ht="21.2" hidden="1" customHeight="1" outlineLevel="1">
      <c r="A821" s="475"/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476"/>
    </row>
    <row r="822" spans="1:17" ht="21.2" hidden="1" customHeight="1" outlineLevel="1">
      <c r="A822" s="473" t="s">
        <v>1110</v>
      </c>
      <c r="B822" s="125"/>
      <c r="C822" s="125"/>
      <c r="D822" s="125"/>
      <c r="E822" s="125"/>
      <c r="F822" s="125"/>
      <c r="G822" s="125"/>
      <c r="H822" s="125"/>
      <c r="I822" s="125"/>
      <c r="J822" s="125"/>
      <c r="K822" s="125"/>
      <c r="L822" s="125"/>
      <c r="M822" s="125"/>
      <c r="N822" s="125"/>
      <c r="O822" s="125"/>
      <c r="P822" s="125"/>
      <c r="Q822" s="474"/>
    </row>
    <row r="823" spans="1:17" ht="21.2" hidden="1" customHeight="1" outlineLevel="1">
      <c r="A823" s="475" t="s">
        <v>1111</v>
      </c>
      <c r="B823" s="118" t="s">
        <v>1582</v>
      </c>
      <c r="C823" s="118" t="s">
        <v>1105</v>
      </c>
      <c r="D823" s="118"/>
      <c r="E823" s="109" t="s">
        <v>2297</v>
      </c>
      <c r="F823" s="118"/>
      <c r="G823" s="118"/>
      <c r="H823" s="118"/>
      <c r="I823" s="118"/>
      <c r="J823" s="118"/>
      <c r="K823" s="109"/>
      <c r="L823" s="479"/>
      <c r="M823" s="118"/>
      <c r="N823" s="109"/>
      <c r="O823" s="109"/>
      <c r="P823" s="109"/>
      <c r="Q823" s="476"/>
    </row>
    <row r="824" spans="1:17" ht="21.2" hidden="1" customHeight="1" outlineLevel="1">
      <c r="A824" s="475"/>
      <c r="B824" s="118" t="s">
        <v>1113</v>
      </c>
      <c r="C824" s="486">
        <f>C816</f>
        <v>1</v>
      </c>
      <c r="D824" s="118"/>
      <c r="E824" s="487"/>
      <c r="F824" s="118"/>
      <c r="G824" s="486"/>
      <c r="H824" s="118"/>
      <c r="I824" s="486"/>
      <c r="J824" s="118"/>
      <c r="K824" s="318"/>
      <c r="L824" s="118"/>
      <c r="M824" s="275"/>
      <c r="N824" s="118" t="s">
        <v>1582</v>
      </c>
      <c r="O824" s="486">
        <f>C824</f>
        <v>1</v>
      </c>
      <c r="P824" s="109"/>
      <c r="Q824" s="476"/>
    </row>
    <row r="825" spans="1:17" ht="21.2" hidden="1" customHeight="1" outlineLevel="1">
      <c r="A825" s="475"/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476"/>
    </row>
    <row r="826" spans="1:17" ht="21.2" hidden="1" customHeight="1" outlineLevel="1">
      <c r="A826" s="473" t="s">
        <v>1114</v>
      </c>
      <c r="B826" s="125"/>
      <c r="C826" s="125"/>
      <c r="D826" s="125"/>
      <c r="E826" s="125"/>
      <c r="F826" s="125"/>
      <c r="G826" s="125"/>
      <c r="H826" s="125"/>
      <c r="I826" s="125"/>
      <c r="J826" s="125"/>
      <c r="K826" s="125"/>
      <c r="L826" s="125"/>
      <c r="M826" s="125"/>
      <c r="N826" s="125"/>
      <c r="O826" s="125"/>
      <c r="P826" s="125"/>
      <c r="Q826" s="474"/>
    </row>
    <row r="827" spans="1:17" ht="21.2" hidden="1" customHeight="1" outlineLevel="1">
      <c r="A827" s="475" t="s">
        <v>1436</v>
      </c>
      <c r="B827" s="109" t="s">
        <v>1582</v>
      </c>
      <c r="C827" s="480">
        <f>중기사용료!M1278</f>
        <v>1460</v>
      </c>
      <c r="D827" s="479" t="s">
        <v>1112</v>
      </c>
      <c r="E827" s="118" t="s">
        <v>1111</v>
      </c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476"/>
    </row>
    <row r="828" spans="1:17" ht="21.2" hidden="1" customHeight="1" outlineLevel="1">
      <c r="A828" s="475"/>
      <c r="B828" s="118" t="s">
        <v>1113</v>
      </c>
      <c r="C828" s="480">
        <f>C827</f>
        <v>1460</v>
      </c>
      <c r="D828" s="118" t="str">
        <f>D827</f>
        <v>/</v>
      </c>
      <c r="E828" s="134">
        <f>O824</f>
        <v>1</v>
      </c>
      <c r="F828" s="109" t="s">
        <v>1582</v>
      </c>
      <c r="G828" s="481">
        <f>TRUNC(C828/E828)</f>
        <v>1460</v>
      </c>
      <c r="H828" s="109"/>
      <c r="I828" s="109"/>
      <c r="J828" s="109"/>
      <c r="K828" s="109"/>
      <c r="L828" s="109"/>
      <c r="M828" s="109"/>
      <c r="N828" s="109"/>
      <c r="O828" s="109"/>
      <c r="P828" s="109"/>
      <c r="Q828" s="476"/>
    </row>
    <row r="829" spans="1:17" ht="21.2" hidden="1" customHeight="1" outlineLevel="1">
      <c r="A829" s="475"/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476"/>
    </row>
    <row r="830" spans="1:17" ht="21.2" hidden="1" customHeight="1" outlineLevel="1">
      <c r="A830" s="475" t="s">
        <v>1115</v>
      </c>
      <c r="B830" s="109" t="s">
        <v>1582</v>
      </c>
      <c r="C830" s="480">
        <f>중기사용료!M1284</f>
        <v>18939</v>
      </c>
      <c r="D830" s="479" t="s">
        <v>1112</v>
      </c>
      <c r="E830" s="118" t="s">
        <v>1111</v>
      </c>
      <c r="F830" s="118"/>
      <c r="G830" s="118"/>
      <c r="H830" s="109"/>
      <c r="I830" s="109"/>
      <c r="J830" s="109"/>
      <c r="K830" s="109"/>
      <c r="L830" s="109"/>
      <c r="M830" s="109"/>
      <c r="N830" s="109"/>
      <c r="O830" s="109"/>
      <c r="P830" s="109"/>
      <c r="Q830" s="476"/>
    </row>
    <row r="831" spans="1:17" ht="21.2" hidden="1" customHeight="1" outlineLevel="1">
      <c r="A831" s="475"/>
      <c r="B831" s="118" t="s">
        <v>1113</v>
      </c>
      <c r="C831" s="480">
        <f>C830</f>
        <v>18939</v>
      </c>
      <c r="D831" s="479" t="str">
        <f>D830</f>
        <v>/</v>
      </c>
      <c r="E831" s="134">
        <f>O824</f>
        <v>1</v>
      </c>
      <c r="F831" s="118" t="s">
        <v>1582</v>
      </c>
      <c r="G831" s="481">
        <f>TRUNC(C831/E831)</f>
        <v>18939</v>
      </c>
      <c r="H831" s="109"/>
      <c r="I831" s="109"/>
      <c r="J831" s="109"/>
      <c r="K831" s="109"/>
      <c r="L831" s="109"/>
      <c r="M831" s="109"/>
      <c r="N831" s="109"/>
      <c r="O831" s="109"/>
      <c r="P831" s="109"/>
      <c r="Q831" s="476"/>
    </row>
    <row r="832" spans="1:17" ht="21.2" hidden="1" customHeight="1" outlineLevel="1">
      <c r="A832" s="475"/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476"/>
    </row>
    <row r="833" spans="1:18" ht="21.2" hidden="1" customHeight="1" outlineLevel="1">
      <c r="A833" s="475" t="s">
        <v>1116</v>
      </c>
      <c r="B833" s="118" t="s">
        <v>1582</v>
      </c>
      <c r="C833" s="480">
        <f>중기사용료!M1290</f>
        <v>8899</v>
      </c>
      <c r="D833" s="479" t="s">
        <v>1112</v>
      </c>
      <c r="E833" s="118" t="s">
        <v>1111</v>
      </c>
      <c r="F833" s="118"/>
      <c r="G833" s="118"/>
      <c r="H833" s="109"/>
      <c r="I833" s="109"/>
      <c r="J833" s="109"/>
      <c r="K833" s="109"/>
      <c r="L833" s="109"/>
      <c r="M833" s="109"/>
      <c r="N833" s="109"/>
      <c r="O833" s="109"/>
      <c r="P833" s="109"/>
      <c r="Q833" s="476"/>
    </row>
    <row r="834" spans="1:18" ht="21.2" hidden="1" customHeight="1" outlineLevel="1">
      <c r="A834" s="475"/>
      <c r="B834" s="118" t="s">
        <v>1113</v>
      </c>
      <c r="C834" s="480">
        <f>C833</f>
        <v>8899</v>
      </c>
      <c r="D834" s="118" t="str">
        <f>D833</f>
        <v>/</v>
      </c>
      <c r="E834" s="134">
        <f>O824</f>
        <v>1</v>
      </c>
      <c r="F834" s="118" t="s">
        <v>1582</v>
      </c>
      <c r="G834" s="481">
        <f>TRUNC(C834/E834)</f>
        <v>8899</v>
      </c>
      <c r="H834" s="109"/>
      <c r="I834" s="109"/>
      <c r="J834" s="109"/>
      <c r="K834" s="109"/>
      <c r="L834" s="109"/>
      <c r="M834" s="109"/>
      <c r="N834" s="109"/>
      <c r="O834" s="109"/>
      <c r="P834" s="109"/>
      <c r="Q834" s="476"/>
    </row>
    <row r="835" spans="1:18" ht="21.2" hidden="1" customHeight="1" outlineLevel="1">
      <c r="A835" s="475"/>
      <c r="B835" s="109"/>
      <c r="C835" s="109"/>
      <c r="D835" s="109"/>
      <c r="E835" s="109"/>
      <c r="F835" s="109"/>
      <c r="G835" s="109"/>
      <c r="H835" s="118" t="s">
        <v>1117</v>
      </c>
      <c r="I835" s="118" t="s">
        <v>1118</v>
      </c>
      <c r="J835" s="118" t="s">
        <v>1113</v>
      </c>
      <c r="K835" s="797">
        <f>G828+G831+G834</f>
        <v>29298</v>
      </c>
      <c r="L835" s="797"/>
      <c r="M835" s="797"/>
      <c r="N835" s="118" t="s">
        <v>1119</v>
      </c>
      <c r="O835" s="109"/>
      <c r="P835" s="109"/>
      <c r="Q835" s="476"/>
    </row>
    <row r="836" spans="1:18" ht="21.2" hidden="1" customHeight="1" outlineLevel="1">
      <c r="A836" s="475"/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476"/>
    </row>
    <row r="837" spans="1:18" ht="21.2" hidden="1" customHeight="1" outlineLevel="1">
      <c r="A837" s="475"/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476"/>
    </row>
    <row r="838" spans="1:18" ht="21.2" hidden="1" customHeight="1" outlineLevel="1">
      <c r="A838" s="475"/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476"/>
    </row>
    <row r="839" spans="1:18" ht="21.2" hidden="1" customHeight="1" outlineLevel="1">
      <c r="A839" s="475"/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476"/>
    </row>
    <row r="840" spans="1:18" ht="21.2" hidden="1" customHeight="1" outlineLevel="1">
      <c r="A840" s="475"/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476"/>
    </row>
    <row r="841" spans="1:18" ht="21.2" hidden="1" customHeight="1" outlineLevel="1">
      <c r="A841" s="482"/>
      <c r="B841" s="136"/>
      <c r="C841" s="136"/>
      <c r="D841" s="136"/>
      <c r="E841" s="136"/>
      <c r="F841" s="136"/>
      <c r="G841" s="136"/>
      <c r="H841" s="136"/>
      <c r="I841" s="136"/>
      <c r="J841" s="136"/>
      <c r="K841" s="136"/>
      <c r="L841" s="136"/>
      <c r="M841" s="136"/>
      <c r="N841" s="136"/>
      <c r="O841" s="136"/>
      <c r="P841" s="136"/>
      <c r="Q841" s="483"/>
    </row>
    <row r="842" spans="1:18" ht="21.2" hidden="1" customHeight="1" outlineLevel="1"/>
    <row r="843" spans="1:18" ht="21.2" hidden="1" customHeight="1" outlineLevel="1">
      <c r="A843" s="796" t="s">
        <v>3329</v>
      </c>
      <c r="B843" s="796"/>
      <c r="C843" s="796"/>
      <c r="D843" s="796"/>
      <c r="E843" s="796"/>
      <c r="F843" s="796"/>
      <c r="G843" s="796"/>
      <c r="H843" s="796"/>
      <c r="I843" s="796"/>
      <c r="J843" s="796"/>
      <c r="K843" s="796"/>
      <c r="L843" s="796"/>
      <c r="M843" s="796"/>
      <c r="N843" s="796"/>
      <c r="O843" s="796"/>
      <c r="P843" s="796"/>
      <c r="Q843" s="796"/>
      <c r="R843" s="472"/>
    </row>
    <row r="844" spans="1:18" ht="21.2" hidden="1" customHeight="1" outlineLevel="1">
      <c r="A844" s="473" t="s">
        <v>1437</v>
      </c>
      <c r="B844" s="142" t="s">
        <v>1526</v>
      </c>
      <c r="C844" s="125" t="s">
        <v>2300</v>
      </c>
      <c r="D844" s="125"/>
      <c r="E844" s="125"/>
      <c r="F844" s="125"/>
      <c r="G844" s="125"/>
      <c r="H844" s="125"/>
      <c r="I844" s="125"/>
      <c r="J844" s="125"/>
      <c r="K844" s="125"/>
      <c r="L844" s="125"/>
      <c r="M844" s="125"/>
      <c r="N844" s="125"/>
      <c r="O844" s="125"/>
      <c r="P844" s="125"/>
      <c r="Q844" s="474"/>
    </row>
    <row r="845" spans="1:18" ht="21.2" hidden="1" customHeight="1" outlineLevel="1">
      <c r="A845" s="475" t="s">
        <v>1100</v>
      </c>
      <c r="B845" s="118" t="s">
        <v>1526</v>
      </c>
      <c r="C845" s="799" t="s">
        <v>2300</v>
      </c>
      <c r="D845" s="799"/>
      <c r="E845" s="799"/>
      <c r="F845" s="799"/>
      <c r="G845" s="109" t="s">
        <v>1527</v>
      </c>
      <c r="H845" s="109" t="s">
        <v>1526</v>
      </c>
      <c r="I845" s="109" t="s">
        <v>2301</v>
      </c>
      <c r="J845" s="109"/>
      <c r="K845" s="109"/>
      <c r="L845" s="109"/>
      <c r="M845" s="109"/>
      <c r="N845" s="109"/>
      <c r="O845" s="109"/>
      <c r="P845" s="109"/>
      <c r="Q845" s="476"/>
    </row>
    <row r="846" spans="1:18" ht="21.2" hidden="1" customHeight="1" outlineLevel="1">
      <c r="A846" s="477">
        <f>A811+1</f>
        <v>25</v>
      </c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476"/>
    </row>
    <row r="847" spans="1:18" ht="21.2" hidden="1" customHeight="1" outlineLevel="1">
      <c r="A847" s="473" t="s">
        <v>1102</v>
      </c>
      <c r="B847" s="125"/>
      <c r="C847" s="125" t="s">
        <v>2302</v>
      </c>
      <c r="D847" s="125"/>
      <c r="E847" s="125"/>
      <c r="F847" s="125"/>
      <c r="G847" s="125"/>
      <c r="H847" s="125"/>
      <c r="I847" s="125"/>
      <c r="J847" s="125"/>
      <c r="K847" s="125"/>
      <c r="L847" s="125"/>
      <c r="M847" s="125"/>
      <c r="N847" s="125"/>
      <c r="O847" s="125"/>
      <c r="P847" s="125"/>
      <c r="Q847" s="474"/>
    </row>
    <row r="848" spans="1:18" ht="21.2" hidden="1" customHeight="1" outlineLevel="1">
      <c r="A848" s="475" t="s">
        <v>2298</v>
      </c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476"/>
    </row>
    <row r="849" spans="1:17" ht="21.2" hidden="1" customHeight="1" outlineLevel="1">
      <c r="A849" s="475"/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476"/>
    </row>
    <row r="850" spans="1:17" ht="21.2" hidden="1" customHeight="1" outlineLevel="1">
      <c r="A850" s="473" t="s">
        <v>1104</v>
      </c>
      <c r="B850" s="125"/>
      <c r="C850" s="125"/>
      <c r="D850" s="125"/>
      <c r="E850" s="125"/>
      <c r="F850" s="125"/>
      <c r="G850" s="125"/>
      <c r="H850" s="125"/>
      <c r="I850" s="125"/>
      <c r="J850" s="125"/>
      <c r="K850" s="125"/>
      <c r="L850" s="125"/>
      <c r="M850" s="125"/>
      <c r="N850" s="125"/>
      <c r="O850" s="125"/>
      <c r="P850" s="125"/>
      <c r="Q850" s="474"/>
    </row>
    <row r="851" spans="1:17" ht="21.2" hidden="1" customHeight="1" outlineLevel="1">
      <c r="A851" s="475" t="s">
        <v>1105</v>
      </c>
      <c r="B851" s="118" t="s">
        <v>1582</v>
      </c>
      <c r="C851" s="478">
        <v>9</v>
      </c>
      <c r="D851" s="109" t="s">
        <v>2299</v>
      </c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476"/>
    </row>
    <row r="852" spans="1:17" ht="21.2" hidden="1" customHeight="1" outlineLevel="1">
      <c r="A852" s="475"/>
      <c r="B852" s="118"/>
      <c r="C852" s="485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476"/>
    </row>
    <row r="853" spans="1:17" ht="21.2" hidden="1" customHeight="1" outlineLevel="1">
      <c r="A853" s="475"/>
      <c r="B853" s="118"/>
      <c r="C853" s="478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476"/>
    </row>
    <row r="854" spans="1:17" ht="21.2" hidden="1" customHeight="1" outlineLevel="1">
      <c r="A854" s="475"/>
      <c r="B854" s="118"/>
      <c r="C854" s="478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476"/>
    </row>
    <row r="855" spans="1:17" ht="21.2" hidden="1" customHeight="1" outlineLevel="1">
      <c r="A855" s="475"/>
      <c r="B855" s="118"/>
      <c r="C855" s="478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476"/>
    </row>
    <row r="856" spans="1:17" ht="21.2" hidden="1" customHeight="1" outlineLevel="1">
      <c r="A856" s="475"/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476"/>
    </row>
    <row r="857" spans="1:17" ht="21.2" hidden="1" customHeight="1" outlineLevel="1">
      <c r="A857" s="473" t="s">
        <v>1110</v>
      </c>
      <c r="B857" s="125"/>
      <c r="C857" s="125"/>
      <c r="D857" s="125"/>
      <c r="E857" s="125"/>
      <c r="F857" s="125"/>
      <c r="G857" s="125"/>
      <c r="H857" s="125"/>
      <c r="I857" s="125"/>
      <c r="J857" s="125"/>
      <c r="K857" s="125"/>
      <c r="L857" s="125"/>
      <c r="M857" s="125"/>
      <c r="N857" s="125"/>
      <c r="O857" s="125"/>
      <c r="P857" s="125"/>
      <c r="Q857" s="474"/>
    </row>
    <row r="858" spans="1:17" ht="21.2" hidden="1" customHeight="1" outlineLevel="1">
      <c r="A858" s="475" t="s">
        <v>1111</v>
      </c>
      <c r="B858" s="118" t="s">
        <v>1582</v>
      </c>
      <c r="C858" s="118" t="s">
        <v>1105</v>
      </c>
      <c r="D858" s="118"/>
      <c r="E858" s="109" t="s">
        <v>2297</v>
      </c>
      <c r="F858" s="118"/>
      <c r="G858" s="118"/>
      <c r="H858" s="118"/>
      <c r="I858" s="118"/>
      <c r="J858" s="118"/>
      <c r="K858" s="109"/>
      <c r="L858" s="479"/>
      <c r="M858" s="118"/>
      <c r="N858" s="109"/>
      <c r="O858" s="109"/>
      <c r="P858" s="109"/>
      <c r="Q858" s="476"/>
    </row>
    <row r="859" spans="1:17" ht="21.2" hidden="1" customHeight="1" outlineLevel="1">
      <c r="A859" s="475"/>
      <c r="B859" s="118" t="s">
        <v>1113</v>
      </c>
      <c r="C859" s="486">
        <f>C851</f>
        <v>9</v>
      </c>
      <c r="D859" s="118"/>
      <c r="E859" s="487"/>
      <c r="F859" s="118"/>
      <c r="G859" s="486"/>
      <c r="H859" s="118"/>
      <c r="I859" s="486"/>
      <c r="J859" s="118"/>
      <c r="K859" s="318"/>
      <c r="L859" s="118"/>
      <c r="M859" s="275"/>
      <c r="N859" s="118" t="s">
        <v>1582</v>
      </c>
      <c r="O859" s="486">
        <f>C859</f>
        <v>9</v>
      </c>
      <c r="P859" s="109"/>
      <c r="Q859" s="476"/>
    </row>
    <row r="860" spans="1:17" ht="21.2" hidden="1" customHeight="1" outlineLevel="1">
      <c r="A860" s="475"/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476"/>
    </row>
    <row r="861" spans="1:17" ht="21.2" hidden="1" customHeight="1" outlineLevel="1">
      <c r="A861" s="473" t="s">
        <v>1114</v>
      </c>
      <c r="B861" s="125"/>
      <c r="C861" s="125"/>
      <c r="D861" s="125"/>
      <c r="E861" s="125"/>
      <c r="F861" s="125"/>
      <c r="G861" s="125"/>
      <c r="H861" s="125"/>
      <c r="I861" s="125"/>
      <c r="J861" s="125"/>
      <c r="K861" s="125"/>
      <c r="L861" s="125"/>
      <c r="M861" s="125"/>
      <c r="N861" s="125"/>
      <c r="O861" s="125"/>
      <c r="P861" s="125"/>
      <c r="Q861" s="474"/>
    </row>
    <row r="862" spans="1:17" ht="21.2" hidden="1" customHeight="1" outlineLevel="1">
      <c r="A862" s="475" t="s">
        <v>1436</v>
      </c>
      <c r="B862" s="109" t="s">
        <v>1582</v>
      </c>
      <c r="C862" s="480">
        <f>중기사용료!M803</f>
        <v>555</v>
      </c>
      <c r="D862" s="479" t="s">
        <v>1112</v>
      </c>
      <c r="E862" s="118" t="s">
        <v>1111</v>
      </c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476"/>
    </row>
    <row r="863" spans="1:17" ht="21.2" hidden="1" customHeight="1" outlineLevel="1">
      <c r="A863" s="475"/>
      <c r="B863" s="118" t="s">
        <v>1113</v>
      </c>
      <c r="C863" s="480">
        <f>C862</f>
        <v>555</v>
      </c>
      <c r="D863" s="118" t="str">
        <f>D862</f>
        <v>/</v>
      </c>
      <c r="E863" s="134">
        <f>O859</f>
        <v>9</v>
      </c>
      <c r="F863" s="109" t="s">
        <v>1582</v>
      </c>
      <c r="G863" s="481">
        <f>TRUNC(C863/E863)</f>
        <v>61</v>
      </c>
      <c r="H863" s="109"/>
      <c r="I863" s="109"/>
      <c r="J863" s="109"/>
      <c r="K863" s="109"/>
      <c r="L863" s="109"/>
      <c r="M863" s="109"/>
      <c r="N863" s="109"/>
      <c r="O863" s="109"/>
      <c r="P863" s="109"/>
      <c r="Q863" s="476"/>
    </row>
    <row r="864" spans="1:17" ht="21.2" hidden="1" customHeight="1" outlineLevel="1">
      <c r="A864" s="475"/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476"/>
    </row>
    <row r="865" spans="1:18" ht="21.2" hidden="1" customHeight="1" outlineLevel="1">
      <c r="A865" s="475" t="s">
        <v>1115</v>
      </c>
      <c r="B865" s="109" t="s">
        <v>1582</v>
      </c>
      <c r="C865" s="480">
        <f>중기사용료!M809</f>
        <v>18939</v>
      </c>
      <c r="D865" s="479" t="s">
        <v>1112</v>
      </c>
      <c r="E865" s="118" t="s">
        <v>1111</v>
      </c>
      <c r="F865" s="118"/>
      <c r="G865" s="118"/>
      <c r="H865" s="109"/>
      <c r="I865" s="109"/>
      <c r="J865" s="109"/>
      <c r="K865" s="109"/>
      <c r="L865" s="109"/>
      <c r="M865" s="109"/>
      <c r="N865" s="109"/>
      <c r="O865" s="109"/>
      <c r="P865" s="109"/>
      <c r="Q865" s="476"/>
    </row>
    <row r="866" spans="1:18" ht="21.2" hidden="1" customHeight="1" outlineLevel="1">
      <c r="A866" s="475"/>
      <c r="B866" s="118" t="s">
        <v>1113</v>
      </c>
      <c r="C866" s="480">
        <f>C865</f>
        <v>18939</v>
      </c>
      <c r="D866" s="479" t="str">
        <f>D865</f>
        <v>/</v>
      </c>
      <c r="E866" s="134">
        <f>O859</f>
        <v>9</v>
      </c>
      <c r="F866" s="118" t="s">
        <v>1582</v>
      </c>
      <c r="G866" s="481">
        <f>TRUNC(C866/E866)</f>
        <v>2104</v>
      </c>
      <c r="H866" s="109"/>
      <c r="I866" s="109"/>
      <c r="J866" s="109"/>
      <c r="K866" s="109"/>
      <c r="L866" s="109"/>
      <c r="M866" s="109"/>
      <c r="N866" s="109"/>
      <c r="O866" s="109"/>
      <c r="P866" s="109"/>
      <c r="Q866" s="476"/>
    </row>
    <row r="867" spans="1:18" ht="21.2" hidden="1" customHeight="1" outlineLevel="1">
      <c r="A867" s="475"/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476"/>
    </row>
    <row r="868" spans="1:18" ht="21.2" hidden="1" customHeight="1" outlineLevel="1">
      <c r="A868" s="475" t="s">
        <v>1116</v>
      </c>
      <c r="B868" s="118" t="s">
        <v>1582</v>
      </c>
      <c r="C868" s="480">
        <f>중기사용료!M815</f>
        <v>1589</v>
      </c>
      <c r="D868" s="479" t="s">
        <v>1112</v>
      </c>
      <c r="E868" s="118" t="s">
        <v>1111</v>
      </c>
      <c r="F868" s="118"/>
      <c r="G868" s="118"/>
      <c r="H868" s="109"/>
      <c r="I868" s="109"/>
      <c r="J868" s="109"/>
      <c r="K868" s="109"/>
      <c r="L868" s="109"/>
      <c r="M868" s="109"/>
      <c r="N868" s="109"/>
      <c r="O868" s="109"/>
      <c r="P868" s="109"/>
      <c r="Q868" s="476"/>
    </row>
    <row r="869" spans="1:18" ht="21.2" hidden="1" customHeight="1" outlineLevel="1">
      <c r="A869" s="475"/>
      <c r="B869" s="118" t="s">
        <v>1113</v>
      </c>
      <c r="C869" s="480">
        <f>C868</f>
        <v>1589</v>
      </c>
      <c r="D869" s="118" t="str">
        <f>D868</f>
        <v>/</v>
      </c>
      <c r="E869" s="134">
        <f>O859</f>
        <v>9</v>
      </c>
      <c r="F869" s="118" t="s">
        <v>1582</v>
      </c>
      <c r="G869" s="481">
        <f>TRUNC(C869/E869)</f>
        <v>176</v>
      </c>
      <c r="H869" s="109"/>
      <c r="I869" s="109"/>
      <c r="J869" s="109"/>
      <c r="K869" s="109"/>
      <c r="L869" s="109"/>
      <c r="M869" s="109"/>
      <c r="N869" s="109"/>
      <c r="O869" s="109"/>
      <c r="P869" s="109"/>
      <c r="Q869" s="476"/>
    </row>
    <row r="870" spans="1:18" ht="21.2" hidden="1" customHeight="1" outlineLevel="1">
      <c r="A870" s="475"/>
      <c r="B870" s="109"/>
      <c r="C870" s="109"/>
      <c r="D870" s="109"/>
      <c r="E870" s="109"/>
      <c r="F870" s="109"/>
      <c r="G870" s="109"/>
      <c r="H870" s="118" t="s">
        <v>1117</v>
      </c>
      <c r="I870" s="118" t="s">
        <v>1118</v>
      </c>
      <c r="J870" s="118" t="s">
        <v>1113</v>
      </c>
      <c r="K870" s="797">
        <f>G863+G866+G869</f>
        <v>2341</v>
      </c>
      <c r="L870" s="797"/>
      <c r="M870" s="797"/>
      <c r="N870" s="118" t="s">
        <v>1119</v>
      </c>
      <c r="O870" s="109"/>
      <c r="P870" s="109"/>
      <c r="Q870" s="476"/>
    </row>
    <row r="871" spans="1:18" ht="21.2" hidden="1" customHeight="1" outlineLevel="1">
      <c r="A871" s="475"/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476"/>
    </row>
    <row r="872" spans="1:18" ht="21.2" hidden="1" customHeight="1" outlineLevel="1">
      <c r="A872" s="475"/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476"/>
    </row>
    <row r="873" spans="1:18" ht="21.2" hidden="1" customHeight="1" outlineLevel="1">
      <c r="A873" s="475"/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476"/>
    </row>
    <row r="874" spans="1:18" ht="21.2" hidden="1" customHeight="1" outlineLevel="1">
      <c r="A874" s="475"/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476"/>
    </row>
    <row r="875" spans="1:18" ht="21.2" hidden="1" customHeight="1" outlineLevel="1">
      <c r="A875" s="475"/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476"/>
    </row>
    <row r="876" spans="1:18" ht="21.2" hidden="1" customHeight="1" outlineLevel="1">
      <c r="A876" s="482"/>
      <c r="B876" s="136"/>
      <c r="C876" s="136"/>
      <c r="D876" s="136"/>
      <c r="E876" s="136"/>
      <c r="F876" s="136"/>
      <c r="G876" s="136"/>
      <c r="H876" s="136"/>
      <c r="I876" s="136"/>
      <c r="J876" s="136"/>
      <c r="K876" s="136"/>
      <c r="L876" s="136"/>
      <c r="M876" s="136"/>
      <c r="N876" s="136"/>
      <c r="O876" s="136"/>
      <c r="P876" s="136"/>
      <c r="Q876" s="483"/>
    </row>
    <row r="877" spans="1:18" ht="21.2" hidden="1" customHeight="1" outlineLevel="1"/>
    <row r="878" spans="1:18" ht="21.2" hidden="1" customHeight="1" outlineLevel="1">
      <c r="A878" s="796" t="s">
        <v>3329</v>
      </c>
      <c r="B878" s="796"/>
      <c r="C878" s="796"/>
      <c r="D878" s="796"/>
      <c r="E878" s="796"/>
      <c r="F878" s="796"/>
      <c r="G878" s="796"/>
      <c r="H878" s="796"/>
      <c r="I878" s="796"/>
      <c r="J878" s="796"/>
      <c r="K878" s="796"/>
      <c r="L878" s="796"/>
      <c r="M878" s="796"/>
      <c r="N878" s="796"/>
      <c r="O878" s="796"/>
      <c r="P878" s="796"/>
      <c r="Q878" s="796"/>
      <c r="R878" s="472"/>
    </row>
    <row r="879" spans="1:18" ht="21.2" hidden="1" customHeight="1" outlineLevel="1">
      <c r="A879" s="473" t="s">
        <v>1437</v>
      </c>
      <c r="B879" s="142" t="s">
        <v>1526</v>
      </c>
      <c r="C879" s="125" t="s">
        <v>4030</v>
      </c>
      <c r="D879" s="125"/>
      <c r="E879" s="125"/>
      <c r="F879" s="125"/>
      <c r="G879" s="125"/>
      <c r="H879" s="125"/>
      <c r="I879" s="125"/>
      <c r="J879" s="125"/>
      <c r="K879" s="125"/>
      <c r="L879" s="125"/>
      <c r="M879" s="125"/>
      <c r="N879" s="125"/>
      <c r="O879" s="125"/>
      <c r="P879" s="125"/>
      <c r="Q879" s="474"/>
    </row>
    <row r="880" spans="1:18" ht="21.2" hidden="1" customHeight="1" outlineLevel="1">
      <c r="A880" s="475" t="s">
        <v>1100</v>
      </c>
      <c r="B880" s="118" t="s">
        <v>1526</v>
      </c>
      <c r="C880" s="707" t="s">
        <v>4028</v>
      </c>
      <c r="D880" s="109"/>
      <c r="E880" s="109"/>
      <c r="F880" s="109"/>
      <c r="G880" s="109" t="s">
        <v>1527</v>
      </c>
      <c r="H880" s="109" t="s">
        <v>1526</v>
      </c>
      <c r="I880" s="109" t="s">
        <v>1101</v>
      </c>
      <c r="J880" s="109"/>
      <c r="K880" s="109"/>
      <c r="L880" s="109"/>
      <c r="M880" s="109"/>
      <c r="N880" s="109"/>
      <c r="O880" s="109"/>
      <c r="P880" s="109"/>
      <c r="Q880" s="476"/>
    </row>
    <row r="881" spans="1:17" ht="21.2" hidden="1" customHeight="1" outlineLevel="1">
      <c r="A881" s="477">
        <f>A846+1</f>
        <v>26</v>
      </c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476"/>
    </row>
    <row r="882" spans="1:17" ht="21.2" hidden="1" customHeight="1" outlineLevel="1">
      <c r="A882" s="473" t="s">
        <v>1102</v>
      </c>
      <c r="B882" s="125"/>
      <c r="C882" s="125" t="s">
        <v>4024</v>
      </c>
      <c r="D882" s="125"/>
      <c r="E882" s="125"/>
      <c r="F882" s="125"/>
      <c r="G882" s="125"/>
      <c r="H882" s="125"/>
      <c r="I882" s="125"/>
      <c r="J882" s="125"/>
      <c r="K882" s="125"/>
      <c r="L882" s="125"/>
      <c r="M882" s="125"/>
      <c r="N882" s="125"/>
      <c r="O882" s="125"/>
      <c r="P882" s="125"/>
      <c r="Q882" s="474"/>
    </row>
    <row r="883" spans="1:17" ht="21.2" hidden="1" customHeight="1" outlineLevel="1">
      <c r="A883" s="475" t="s">
        <v>1103</v>
      </c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476"/>
    </row>
    <row r="884" spans="1:17" ht="21.2" hidden="1" customHeight="1" outlineLevel="1">
      <c r="A884" s="475"/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476"/>
    </row>
    <row r="885" spans="1:17" ht="21.2" hidden="1" customHeight="1" outlineLevel="1">
      <c r="A885" s="473" t="s">
        <v>1104</v>
      </c>
      <c r="B885" s="125"/>
      <c r="C885" s="125"/>
      <c r="D885" s="125"/>
      <c r="E885" s="125"/>
      <c r="F885" s="125"/>
      <c r="G885" s="125"/>
      <c r="H885" s="125"/>
      <c r="I885" s="125"/>
      <c r="J885" s="125"/>
      <c r="K885" s="125"/>
      <c r="L885" s="125"/>
      <c r="M885" s="125"/>
      <c r="N885" s="125"/>
      <c r="O885" s="125"/>
      <c r="P885" s="125"/>
      <c r="Q885" s="474"/>
    </row>
    <row r="886" spans="1:17" ht="21.2" hidden="1" customHeight="1" outlineLevel="1">
      <c r="A886" s="475" t="s">
        <v>1105</v>
      </c>
      <c r="B886" s="118" t="s">
        <v>1582</v>
      </c>
      <c r="C886" s="478">
        <v>0.2</v>
      </c>
      <c r="D886" s="109" t="s">
        <v>1106</v>
      </c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476"/>
    </row>
    <row r="887" spans="1:17" ht="21.2" hidden="1" customHeight="1" outlineLevel="1">
      <c r="A887" s="475" t="s">
        <v>1107</v>
      </c>
      <c r="B887" s="118" t="s">
        <v>1582</v>
      </c>
      <c r="C887" s="478">
        <v>0.9</v>
      </c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476"/>
    </row>
    <row r="888" spans="1:17" ht="21.2" hidden="1" customHeight="1" outlineLevel="1">
      <c r="A888" s="475" t="s">
        <v>1108</v>
      </c>
      <c r="B888" s="118" t="s">
        <v>1582</v>
      </c>
      <c r="C888" s="478">
        <v>0.8</v>
      </c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476"/>
    </row>
    <row r="889" spans="1:17" ht="21.2" hidden="1" customHeight="1" outlineLevel="1">
      <c r="A889" s="475" t="s">
        <v>1109</v>
      </c>
      <c r="B889" s="118" t="s">
        <v>1582</v>
      </c>
      <c r="C889" s="478">
        <v>0.26</v>
      </c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476"/>
    </row>
    <row r="890" spans="1:17" ht="21.2" hidden="1" customHeight="1" outlineLevel="1">
      <c r="A890" s="475" t="s">
        <v>1583</v>
      </c>
      <c r="B890" s="118" t="s">
        <v>1582</v>
      </c>
      <c r="C890" s="478">
        <v>20</v>
      </c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476"/>
    </row>
    <row r="891" spans="1:17" ht="21.2" hidden="1" customHeight="1" outlineLevel="1">
      <c r="A891" s="475"/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476"/>
    </row>
    <row r="892" spans="1:17" ht="21.2" hidden="1" customHeight="1" outlineLevel="1">
      <c r="A892" s="473" t="s">
        <v>1110</v>
      </c>
      <c r="B892" s="125"/>
      <c r="C892" s="125"/>
      <c r="D892" s="125"/>
      <c r="E892" s="125"/>
      <c r="F892" s="125"/>
      <c r="G892" s="125"/>
      <c r="H892" s="125"/>
      <c r="I892" s="125"/>
      <c r="J892" s="125"/>
      <c r="K892" s="125"/>
      <c r="L892" s="125"/>
      <c r="M892" s="125"/>
      <c r="N892" s="125"/>
      <c r="O892" s="125"/>
      <c r="P892" s="125"/>
      <c r="Q892" s="474"/>
    </row>
    <row r="893" spans="1:17" ht="21.2" hidden="1" customHeight="1" outlineLevel="1">
      <c r="A893" s="475" t="s">
        <v>1111</v>
      </c>
      <c r="B893" s="118" t="s">
        <v>1582</v>
      </c>
      <c r="C893" s="118">
        <v>3600</v>
      </c>
      <c r="D893" s="118" t="s">
        <v>86</v>
      </c>
      <c r="E893" s="118" t="s">
        <v>1105</v>
      </c>
      <c r="F893" s="118" t="s">
        <v>86</v>
      </c>
      <c r="G893" s="118" t="s">
        <v>1107</v>
      </c>
      <c r="H893" s="118" t="s">
        <v>86</v>
      </c>
      <c r="I893" s="118" t="s">
        <v>1108</v>
      </c>
      <c r="J893" s="118" t="s">
        <v>86</v>
      </c>
      <c r="K893" s="118" t="s">
        <v>1109</v>
      </c>
      <c r="L893" s="479" t="s">
        <v>1112</v>
      </c>
      <c r="M893" s="118" t="s">
        <v>1583</v>
      </c>
      <c r="N893" s="707" t="s">
        <v>4025</v>
      </c>
      <c r="O893" s="109"/>
      <c r="P893" s="109"/>
      <c r="Q893" s="476"/>
    </row>
    <row r="894" spans="1:17" ht="21.2" hidden="1" customHeight="1" outlineLevel="1">
      <c r="A894" s="475"/>
      <c r="B894" s="118" t="s">
        <v>1113</v>
      </c>
      <c r="C894" s="118">
        <f>C893</f>
        <v>3600</v>
      </c>
      <c r="D894" s="118" t="str">
        <f>D893</f>
        <v>*</v>
      </c>
      <c r="E894" s="275">
        <f>C886</f>
        <v>0.2</v>
      </c>
      <c r="F894" s="118" t="str">
        <f>F893</f>
        <v>*</v>
      </c>
      <c r="G894" s="275">
        <f>C887</f>
        <v>0.9</v>
      </c>
      <c r="H894" s="118" t="str">
        <f>H893</f>
        <v>*</v>
      </c>
      <c r="I894" s="275">
        <f>C888</f>
        <v>0.8</v>
      </c>
      <c r="J894" s="118" t="str">
        <f>J893</f>
        <v>*</v>
      </c>
      <c r="K894" s="275">
        <f>C889</f>
        <v>0.26</v>
      </c>
      <c r="L894" s="118" t="str">
        <f>L893</f>
        <v>/</v>
      </c>
      <c r="M894" s="275">
        <f>C890</f>
        <v>20</v>
      </c>
      <c r="N894" s="118" t="s">
        <v>1582</v>
      </c>
      <c r="O894" s="134">
        <f>INT((C894*E894*G894*I894*K894/M894)*100)/100</f>
        <v>6.73</v>
      </c>
      <c r="P894" s="109"/>
      <c r="Q894" s="476"/>
    </row>
    <row r="895" spans="1:17" ht="21.2" hidden="1" customHeight="1" outlineLevel="1">
      <c r="A895" s="475"/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476"/>
    </row>
    <row r="896" spans="1:17" ht="21.2" hidden="1" customHeight="1" outlineLevel="1">
      <c r="A896" s="473" t="s">
        <v>1114</v>
      </c>
      <c r="B896" s="125"/>
      <c r="C896" s="125"/>
      <c r="D896" s="125"/>
      <c r="E896" s="125"/>
      <c r="F896" s="125"/>
      <c r="G896" s="125"/>
      <c r="H896" s="125"/>
      <c r="I896" s="125"/>
      <c r="J896" s="125"/>
      <c r="K896" s="125"/>
      <c r="L896" s="125"/>
      <c r="M896" s="125"/>
      <c r="N896" s="125"/>
      <c r="O896" s="125"/>
      <c r="P896" s="125"/>
      <c r="Q896" s="474"/>
    </row>
    <row r="897" spans="1:19" ht="21.2" hidden="1" customHeight="1" outlineLevel="1">
      <c r="A897" s="475" t="s">
        <v>1436</v>
      </c>
      <c r="B897" s="109" t="s">
        <v>1582</v>
      </c>
      <c r="C897" s="480">
        <f>중기사용료!M81</f>
        <v>11251</v>
      </c>
      <c r="D897" s="479" t="s">
        <v>1112</v>
      </c>
      <c r="E897" s="118" t="s">
        <v>1111</v>
      </c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476"/>
    </row>
    <row r="898" spans="1:19" ht="21.2" hidden="1" customHeight="1" outlineLevel="1">
      <c r="A898" s="475"/>
      <c r="B898" s="118" t="s">
        <v>1113</v>
      </c>
      <c r="C898" s="480">
        <f>C897</f>
        <v>11251</v>
      </c>
      <c r="D898" s="118" t="str">
        <f>D897</f>
        <v>/</v>
      </c>
      <c r="E898" s="134">
        <f>O894</f>
        <v>6.73</v>
      </c>
      <c r="F898" s="109" t="s">
        <v>1582</v>
      </c>
      <c r="G898" s="481">
        <f>TRUNC(C898/E898)</f>
        <v>1671</v>
      </c>
      <c r="H898" s="109"/>
      <c r="I898" s="109"/>
      <c r="J898" s="109"/>
      <c r="K898" s="109"/>
      <c r="L898" s="109"/>
      <c r="M898" s="109"/>
      <c r="N898" s="109"/>
      <c r="O898" s="109"/>
      <c r="P898" s="109"/>
      <c r="Q898" s="476"/>
    </row>
    <row r="899" spans="1:19" ht="21.2" hidden="1" customHeight="1" outlineLevel="1">
      <c r="A899" s="475"/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476"/>
    </row>
    <row r="900" spans="1:19" ht="21.2" hidden="1" customHeight="1" outlineLevel="1">
      <c r="A900" s="475" t="s">
        <v>1115</v>
      </c>
      <c r="B900" s="109" t="s">
        <v>1582</v>
      </c>
      <c r="C900" s="480">
        <f>중기사용료!M87</f>
        <v>27168</v>
      </c>
      <c r="D900" s="479" t="s">
        <v>1112</v>
      </c>
      <c r="E900" s="118" t="s">
        <v>1111</v>
      </c>
      <c r="F900" s="118"/>
      <c r="G900" s="118"/>
      <c r="H900" s="109"/>
      <c r="I900" s="109"/>
      <c r="J900" s="109"/>
      <c r="K900" s="109"/>
      <c r="L900" s="109"/>
      <c r="M900" s="109"/>
      <c r="N900" s="109"/>
      <c r="O900" s="109"/>
      <c r="P900" s="109"/>
      <c r="Q900" s="476"/>
    </row>
    <row r="901" spans="1:19" ht="21.2" hidden="1" customHeight="1" outlineLevel="1">
      <c r="A901" s="475"/>
      <c r="B901" s="118" t="s">
        <v>1113</v>
      </c>
      <c r="C901" s="480">
        <f>C900</f>
        <v>27168</v>
      </c>
      <c r="D901" s="479" t="str">
        <f>D900</f>
        <v>/</v>
      </c>
      <c r="E901" s="134">
        <f>O894</f>
        <v>6.73</v>
      </c>
      <c r="F901" s="118" t="s">
        <v>1582</v>
      </c>
      <c r="G901" s="481">
        <f>TRUNC(C901/E901)</f>
        <v>4036</v>
      </c>
      <c r="H901" s="109"/>
      <c r="I901" s="109"/>
      <c r="J901" s="109"/>
      <c r="K901" s="109"/>
      <c r="L901" s="109"/>
      <c r="M901" s="109"/>
      <c r="N901" s="109"/>
      <c r="O901" s="109"/>
      <c r="P901" s="109"/>
      <c r="Q901" s="476"/>
    </row>
    <row r="902" spans="1:19" ht="21.2" hidden="1" customHeight="1" outlineLevel="1">
      <c r="A902" s="475"/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476"/>
    </row>
    <row r="903" spans="1:19" ht="21.2" hidden="1" customHeight="1" outlineLevel="1">
      <c r="A903" s="475" t="s">
        <v>1116</v>
      </c>
      <c r="B903" s="118" t="s">
        <v>1582</v>
      </c>
      <c r="C903" s="480">
        <f>중기사용료!M93</f>
        <v>6745</v>
      </c>
      <c r="D903" s="479" t="s">
        <v>1112</v>
      </c>
      <c r="E903" s="118" t="s">
        <v>1111</v>
      </c>
      <c r="F903" s="118"/>
      <c r="G903" s="118"/>
      <c r="H903" s="109"/>
      <c r="I903" s="109"/>
      <c r="J903" s="109"/>
      <c r="K903" s="109"/>
      <c r="L903" s="109"/>
      <c r="M903" s="109"/>
      <c r="N903" s="109"/>
      <c r="O903" s="109"/>
      <c r="P903" s="109"/>
      <c r="Q903" s="476"/>
    </row>
    <row r="904" spans="1:19" ht="21.2" hidden="1" customHeight="1" outlineLevel="1">
      <c r="A904" s="475"/>
      <c r="B904" s="118" t="s">
        <v>1113</v>
      </c>
      <c r="C904" s="480">
        <f>C903</f>
        <v>6745</v>
      </c>
      <c r="D904" s="118" t="str">
        <f>D903</f>
        <v>/</v>
      </c>
      <c r="E904" s="134">
        <f>O894</f>
        <v>6.73</v>
      </c>
      <c r="F904" s="118" t="s">
        <v>1582</v>
      </c>
      <c r="G904" s="481">
        <f>TRUNC(C904/E904)</f>
        <v>1002</v>
      </c>
      <c r="H904" s="109"/>
      <c r="I904" s="109"/>
      <c r="J904" s="109"/>
      <c r="K904" s="109"/>
      <c r="L904" s="109"/>
      <c r="M904" s="109"/>
      <c r="N904" s="109"/>
      <c r="O904" s="109"/>
      <c r="P904" s="109"/>
      <c r="Q904" s="476"/>
    </row>
    <row r="905" spans="1:19" ht="21.2" hidden="1" customHeight="1" outlineLevel="1">
      <c r="A905" s="475"/>
      <c r="B905" s="109"/>
      <c r="C905" s="109"/>
      <c r="D905" s="109"/>
      <c r="E905" s="109"/>
      <c r="F905" s="109"/>
      <c r="G905" s="109"/>
      <c r="H905" s="118" t="s">
        <v>1117</v>
      </c>
      <c r="I905" s="118" t="s">
        <v>1118</v>
      </c>
      <c r="J905" s="118" t="s">
        <v>1113</v>
      </c>
      <c r="K905" s="797">
        <f>G898+G901+G904</f>
        <v>6709</v>
      </c>
      <c r="L905" s="797"/>
      <c r="M905" s="797"/>
      <c r="N905" s="118" t="s">
        <v>1119</v>
      </c>
      <c r="O905" s="109"/>
      <c r="P905" s="109"/>
      <c r="Q905" s="476"/>
    </row>
    <row r="906" spans="1:19" ht="21.2" hidden="1" customHeight="1" outlineLevel="1">
      <c r="A906" s="475"/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476"/>
    </row>
    <row r="907" spans="1:19" ht="21.2" hidden="1" customHeight="1" outlineLevel="1">
      <c r="A907" s="475"/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476"/>
      <c r="S907" s="116" t="s">
        <v>492</v>
      </c>
    </row>
    <row r="908" spans="1:19" ht="21.2" hidden="1" customHeight="1" outlineLevel="1">
      <c r="A908" s="475"/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476"/>
    </row>
    <row r="909" spans="1:19" ht="21.2" hidden="1" customHeight="1" outlineLevel="1">
      <c r="A909" s="475"/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476"/>
    </row>
    <row r="910" spans="1:19" ht="21.2" hidden="1" customHeight="1" outlineLevel="1">
      <c r="A910" s="475"/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476"/>
    </row>
    <row r="911" spans="1:19" ht="21.2" hidden="1" customHeight="1" outlineLevel="1">
      <c r="A911" s="482"/>
      <c r="B911" s="136"/>
      <c r="C911" s="136"/>
      <c r="D911" s="136"/>
      <c r="E911" s="136"/>
      <c r="F911" s="136"/>
      <c r="G911" s="136"/>
      <c r="H911" s="136"/>
      <c r="I911" s="136"/>
      <c r="J911" s="136"/>
      <c r="K911" s="136"/>
      <c r="L911" s="136"/>
      <c r="M911" s="136"/>
      <c r="N911" s="136"/>
      <c r="O911" s="136"/>
      <c r="P911" s="136"/>
      <c r="Q911" s="483"/>
    </row>
    <row r="912" spans="1:19" ht="21.2" hidden="1" customHeight="1" outlineLevel="1"/>
    <row r="913" spans="1:18" ht="21.2" hidden="1" customHeight="1" outlineLevel="1">
      <c r="A913" s="796" t="s">
        <v>817</v>
      </c>
      <c r="B913" s="796"/>
      <c r="C913" s="796"/>
      <c r="D913" s="796"/>
      <c r="E913" s="796"/>
      <c r="F913" s="796"/>
      <c r="G913" s="796"/>
      <c r="H913" s="796"/>
      <c r="I913" s="796"/>
      <c r="J913" s="796"/>
      <c r="K913" s="796"/>
      <c r="L913" s="796"/>
      <c r="M913" s="796"/>
      <c r="N913" s="796"/>
      <c r="O913" s="796"/>
      <c r="P913" s="796"/>
      <c r="Q913" s="796"/>
      <c r="R913" s="472"/>
    </row>
    <row r="914" spans="1:18" ht="21.2" hidden="1" customHeight="1" outlineLevel="1">
      <c r="A914" s="473" t="s">
        <v>1437</v>
      </c>
      <c r="B914" s="142" t="s">
        <v>1526</v>
      </c>
      <c r="C914" s="125" t="s">
        <v>2303</v>
      </c>
      <c r="D914" s="125"/>
      <c r="E914" s="125"/>
      <c r="F914" s="125"/>
      <c r="G914" s="125"/>
      <c r="H914" s="125"/>
      <c r="I914" s="142"/>
      <c r="J914" s="142"/>
      <c r="K914" s="125"/>
      <c r="L914" s="125"/>
      <c r="M914" s="125"/>
      <c r="N914" s="125"/>
      <c r="O914" s="125"/>
      <c r="P914" s="125"/>
      <c r="Q914" s="474"/>
    </row>
    <row r="915" spans="1:18" ht="21.2" hidden="1" customHeight="1" outlineLevel="1">
      <c r="A915" s="475" t="s">
        <v>1100</v>
      </c>
      <c r="B915" s="118" t="s">
        <v>1526</v>
      </c>
      <c r="C915" s="109" t="s">
        <v>2304</v>
      </c>
      <c r="D915" s="109"/>
      <c r="E915" s="109"/>
      <c r="F915" s="109"/>
      <c r="G915" s="109"/>
      <c r="H915" s="109"/>
      <c r="I915" s="118" t="s">
        <v>1527</v>
      </c>
      <c r="J915" s="118" t="s">
        <v>1526</v>
      </c>
      <c r="K915" s="109" t="s">
        <v>2305</v>
      </c>
      <c r="L915" s="109"/>
      <c r="M915" s="109"/>
      <c r="N915" s="109"/>
      <c r="O915" s="109"/>
      <c r="P915" s="109"/>
      <c r="Q915" s="476"/>
    </row>
    <row r="916" spans="1:18" ht="21.2" hidden="1" customHeight="1" outlineLevel="1">
      <c r="A916" s="477">
        <f>A881+1</f>
        <v>27</v>
      </c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476"/>
    </row>
    <row r="917" spans="1:18" ht="21.2" hidden="1" customHeight="1" outlineLevel="1">
      <c r="A917" s="473" t="s">
        <v>1102</v>
      </c>
      <c r="B917" s="125"/>
      <c r="C917" s="125" t="s">
        <v>2306</v>
      </c>
      <c r="D917" s="125"/>
      <c r="E917" s="125"/>
      <c r="F917" s="125"/>
      <c r="G917" s="125"/>
      <c r="H917" s="125"/>
      <c r="I917" s="125"/>
      <c r="J917" s="125"/>
      <c r="K917" s="125"/>
      <c r="L917" s="125"/>
      <c r="M917" s="125"/>
      <c r="N917" s="125"/>
      <c r="O917" s="125"/>
      <c r="P917" s="125"/>
      <c r="Q917" s="474"/>
    </row>
    <row r="918" spans="1:18" ht="21.2" hidden="1" customHeight="1" outlineLevel="1">
      <c r="A918" s="475" t="s">
        <v>1103</v>
      </c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476"/>
    </row>
    <row r="919" spans="1:18" ht="21.2" hidden="1" customHeight="1" outlineLevel="1">
      <c r="A919" s="475"/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476"/>
    </row>
    <row r="920" spans="1:18" ht="21.2" hidden="1" customHeight="1" outlineLevel="1">
      <c r="A920" s="473" t="s">
        <v>1104</v>
      </c>
      <c r="B920" s="125"/>
      <c r="C920" s="125"/>
      <c r="D920" s="125"/>
      <c r="E920" s="125"/>
      <c r="F920" s="125"/>
      <c r="G920" s="125"/>
      <c r="H920" s="125"/>
      <c r="I920" s="125"/>
      <c r="J920" s="125"/>
      <c r="K920" s="125"/>
      <c r="L920" s="125"/>
      <c r="M920" s="125"/>
      <c r="N920" s="125"/>
      <c r="O920" s="125"/>
      <c r="P920" s="125"/>
      <c r="Q920" s="474"/>
    </row>
    <row r="921" spans="1:18" ht="21.2" hidden="1" customHeight="1" outlineLevel="1">
      <c r="A921" s="475" t="s">
        <v>1105</v>
      </c>
      <c r="B921" s="118" t="s">
        <v>1582</v>
      </c>
      <c r="C921" s="478">
        <v>2.2000000000000002</v>
      </c>
      <c r="D921" s="109" t="s">
        <v>1106</v>
      </c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476"/>
    </row>
    <row r="922" spans="1:18" ht="21.2" hidden="1" customHeight="1" outlineLevel="1">
      <c r="A922" s="475" t="s">
        <v>1107</v>
      </c>
      <c r="B922" s="118" t="s">
        <v>1582</v>
      </c>
      <c r="C922" s="478">
        <v>1</v>
      </c>
      <c r="D922" s="109" t="s">
        <v>2307</v>
      </c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476"/>
    </row>
    <row r="923" spans="1:18" ht="21.2" hidden="1" customHeight="1" outlineLevel="1">
      <c r="A923" s="475" t="s">
        <v>1108</v>
      </c>
      <c r="B923" s="118" t="s">
        <v>1582</v>
      </c>
      <c r="C923" s="478">
        <v>1</v>
      </c>
      <c r="D923" s="109" t="s">
        <v>1156</v>
      </c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476"/>
    </row>
    <row r="924" spans="1:18" ht="21.2" hidden="1" customHeight="1" outlineLevel="1">
      <c r="A924" s="475" t="s">
        <v>1109</v>
      </c>
      <c r="B924" s="118" t="s">
        <v>1582</v>
      </c>
      <c r="C924" s="478">
        <v>1</v>
      </c>
      <c r="D924" s="109" t="s">
        <v>1207</v>
      </c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476"/>
    </row>
    <row r="925" spans="1:18" ht="21.2" hidden="1" customHeight="1" outlineLevel="1">
      <c r="A925" s="475" t="s">
        <v>1190</v>
      </c>
      <c r="B925" s="118" t="s">
        <v>1582</v>
      </c>
      <c r="C925" s="488">
        <v>3600</v>
      </c>
      <c r="D925" s="109" t="s">
        <v>2308</v>
      </c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476"/>
    </row>
    <row r="926" spans="1:18" ht="21.2" hidden="1" customHeight="1" outlineLevel="1">
      <c r="A926" s="475" t="s">
        <v>2309</v>
      </c>
      <c r="B926" s="118" t="s">
        <v>1582</v>
      </c>
      <c r="C926" s="488">
        <v>1</v>
      </c>
      <c r="D926" s="109" t="s">
        <v>2310</v>
      </c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476"/>
    </row>
    <row r="927" spans="1:18" ht="21.2" hidden="1" customHeight="1" outlineLevel="1">
      <c r="A927" s="475" t="s">
        <v>2311</v>
      </c>
      <c r="B927" s="118" t="s">
        <v>1582</v>
      </c>
      <c r="C927" s="478">
        <v>0</v>
      </c>
      <c r="D927" s="109" t="s">
        <v>2312</v>
      </c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476"/>
    </row>
    <row r="928" spans="1:18" ht="21.2" hidden="1" customHeight="1" outlineLevel="1">
      <c r="A928" s="475" t="s">
        <v>2313</v>
      </c>
      <c r="B928" s="109" t="s">
        <v>1582</v>
      </c>
      <c r="C928" s="109">
        <v>0</v>
      </c>
      <c r="D928" s="109" t="s">
        <v>2314</v>
      </c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476"/>
    </row>
    <row r="929" spans="1:17" ht="21.2" hidden="1" customHeight="1" outlineLevel="1">
      <c r="A929" s="473" t="s">
        <v>1110</v>
      </c>
      <c r="B929" s="125"/>
      <c r="C929" s="125"/>
      <c r="D929" s="125"/>
      <c r="E929" s="125"/>
      <c r="F929" s="125"/>
      <c r="G929" s="125"/>
      <c r="H929" s="125"/>
      <c r="I929" s="125"/>
      <c r="J929" s="125"/>
      <c r="K929" s="125"/>
      <c r="L929" s="125"/>
      <c r="M929" s="125"/>
      <c r="N929" s="125"/>
      <c r="O929" s="125"/>
      <c r="P929" s="125"/>
      <c r="Q929" s="474"/>
    </row>
    <row r="930" spans="1:17" ht="21.2" hidden="1" customHeight="1" outlineLevel="1">
      <c r="A930" s="475" t="s">
        <v>1111</v>
      </c>
      <c r="B930" s="118" t="s">
        <v>1582</v>
      </c>
      <c r="C930" s="118">
        <v>3600</v>
      </c>
      <c r="D930" s="118" t="s">
        <v>86</v>
      </c>
      <c r="E930" s="118" t="s">
        <v>1105</v>
      </c>
      <c r="F930" s="118" t="s">
        <v>86</v>
      </c>
      <c r="G930" s="118" t="s">
        <v>1107</v>
      </c>
      <c r="H930" s="118" t="s">
        <v>86</v>
      </c>
      <c r="I930" s="118" t="s">
        <v>1108</v>
      </c>
      <c r="J930" s="118" t="s">
        <v>86</v>
      </c>
      <c r="K930" s="118" t="s">
        <v>1109</v>
      </c>
      <c r="L930" s="479" t="s">
        <v>1112</v>
      </c>
      <c r="M930" s="118" t="s">
        <v>1583</v>
      </c>
      <c r="N930" s="707" t="s">
        <v>4025</v>
      </c>
      <c r="O930" s="109"/>
      <c r="P930" s="109"/>
      <c r="Q930" s="476"/>
    </row>
    <row r="931" spans="1:17" ht="21.2" hidden="1" customHeight="1" outlineLevel="1">
      <c r="A931" s="475"/>
      <c r="B931" s="118" t="s">
        <v>1113</v>
      </c>
      <c r="C931" s="118">
        <f>C930</f>
        <v>3600</v>
      </c>
      <c r="D931" s="118" t="str">
        <f>D930</f>
        <v>*</v>
      </c>
      <c r="E931" s="275">
        <f>C921</f>
        <v>2.2000000000000002</v>
      </c>
      <c r="F931" s="118" t="str">
        <f>F930</f>
        <v>*</v>
      </c>
      <c r="G931" s="275">
        <f>C922</f>
        <v>1</v>
      </c>
      <c r="H931" s="118" t="str">
        <f>H930</f>
        <v>*</v>
      </c>
      <c r="I931" s="275">
        <f>C923</f>
        <v>1</v>
      </c>
      <c r="J931" s="118" t="str">
        <f>J930</f>
        <v>*</v>
      </c>
      <c r="K931" s="275">
        <f>C924</f>
        <v>1</v>
      </c>
      <c r="L931" s="118" t="str">
        <f>L930</f>
        <v>/</v>
      </c>
      <c r="M931" s="318">
        <f>P932</f>
        <v>3600</v>
      </c>
      <c r="N931" s="118" t="s">
        <v>1582</v>
      </c>
      <c r="O931" s="134">
        <f>INT((C931*E931*G931*I931*K931/M931)*100)/100</f>
        <v>2.2000000000000002</v>
      </c>
      <c r="P931" s="109"/>
      <c r="Q931" s="476"/>
    </row>
    <row r="932" spans="1:17" ht="21.2" hidden="1" customHeight="1" outlineLevel="1">
      <c r="A932" s="475" t="s">
        <v>1583</v>
      </c>
      <c r="B932" s="109" t="s">
        <v>1582</v>
      </c>
      <c r="C932" s="118" t="s">
        <v>1190</v>
      </c>
      <c r="D932" s="118" t="s">
        <v>86</v>
      </c>
      <c r="E932" s="118" t="s">
        <v>2309</v>
      </c>
      <c r="F932" s="118" t="s">
        <v>397</v>
      </c>
      <c r="G932" s="118" t="s">
        <v>2311</v>
      </c>
      <c r="H932" s="118" t="s">
        <v>397</v>
      </c>
      <c r="I932" s="118" t="s">
        <v>2313</v>
      </c>
      <c r="J932" s="118" t="s">
        <v>1582</v>
      </c>
      <c r="K932" s="489">
        <f>C925</f>
        <v>3600</v>
      </c>
      <c r="L932" s="118" t="s">
        <v>86</v>
      </c>
      <c r="M932" s="489">
        <f>C926</f>
        <v>1</v>
      </c>
      <c r="N932" s="109" t="s">
        <v>397</v>
      </c>
      <c r="O932" s="490" t="s">
        <v>2315</v>
      </c>
      <c r="P932" s="131">
        <f>K932*M932+C927+C928</f>
        <v>3600</v>
      </c>
      <c r="Q932" s="491"/>
    </row>
    <row r="933" spans="1:17" ht="21.2" hidden="1" customHeight="1" outlineLevel="1">
      <c r="A933" s="473" t="s">
        <v>1114</v>
      </c>
      <c r="B933" s="125"/>
      <c r="C933" s="125"/>
      <c r="D933" s="125"/>
      <c r="E933" s="125"/>
      <c r="F933" s="125"/>
      <c r="G933" s="125"/>
      <c r="H933" s="125"/>
      <c r="I933" s="125"/>
      <c r="J933" s="125"/>
      <c r="K933" s="125"/>
      <c r="L933" s="125"/>
      <c r="M933" s="125"/>
      <c r="N933" s="125"/>
      <c r="O933" s="125"/>
      <c r="P933" s="125"/>
      <c r="Q933" s="474"/>
    </row>
    <row r="934" spans="1:17" ht="21.2" hidden="1" customHeight="1" outlineLevel="1">
      <c r="A934" s="475" t="s">
        <v>1436</v>
      </c>
      <c r="B934" s="109" t="s">
        <v>1582</v>
      </c>
      <c r="C934" s="480" t="e">
        <f>중기사용료!#REF!</f>
        <v>#REF!</v>
      </c>
      <c r="D934" s="479" t="s">
        <v>1112</v>
      </c>
      <c r="E934" s="118" t="s">
        <v>1111</v>
      </c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476"/>
    </row>
    <row r="935" spans="1:17" ht="21.2" hidden="1" customHeight="1" outlineLevel="1">
      <c r="A935" s="475"/>
      <c r="B935" s="118" t="s">
        <v>1113</v>
      </c>
      <c r="C935" s="480" t="e">
        <f>C934</f>
        <v>#REF!</v>
      </c>
      <c r="D935" s="118" t="str">
        <f>D934</f>
        <v>/</v>
      </c>
      <c r="E935" s="134">
        <f>O931</f>
        <v>2.2000000000000002</v>
      </c>
      <c r="F935" s="109" t="s">
        <v>1582</v>
      </c>
      <c r="G935" s="481" t="e">
        <f>INT(C935/E935)</f>
        <v>#REF!</v>
      </c>
      <c r="H935" s="109"/>
      <c r="I935" s="109"/>
      <c r="J935" s="109"/>
      <c r="K935" s="109"/>
      <c r="L935" s="109"/>
      <c r="M935" s="109"/>
      <c r="N935" s="109"/>
      <c r="O935" s="109"/>
      <c r="P935" s="109"/>
      <c r="Q935" s="476"/>
    </row>
    <row r="936" spans="1:17" ht="21.2" hidden="1" customHeight="1" outlineLevel="1">
      <c r="A936" s="475"/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476"/>
    </row>
    <row r="937" spans="1:17" ht="21.2" hidden="1" customHeight="1" outlineLevel="1">
      <c r="A937" s="475" t="s">
        <v>1115</v>
      </c>
      <c r="B937" s="109" t="s">
        <v>1582</v>
      </c>
      <c r="C937" s="480" t="e">
        <f>중기사용료!#REF!</f>
        <v>#REF!</v>
      </c>
      <c r="D937" s="479" t="s">
        <v>1112</v>
      </c>
      <c r="E937" s="118" t="s">
        <v>1111</v>
      </c>
      <c r="F937" s="118"/>
      <c r="G937" s="118"/>
      <c r="H937" s="109"/>
      <c r="I937" s="109"/>
      <c r="J937" s="109"/>
      <c r="K937" s="109"/>
      <c r="L937" s="109"/>
      <c r="M937" s="109"/>
      <c r="N937" s="109"/>
      <c r="O937" s="109"/>
      <c r="P937" s="109"/>
      <c r="Q937" s="476"/>
    </row>
    <row r="938" spans="1:17" ht="21.2" hidden="1" customHeight="1" outlineLevel="1">
      <c r="A938" s="475"/>
      <c r="B938" s="118" t="s">
        <v>1113</v>
      </c>
      <c r="C938" s="480" t="e">
        <f>C937</f>
        <v>#REF!</v>
      </c>
      <c r="D938" s="479" t="str">
        <f>D937</f>
        <v>/</v>
      </c>
      <c r="E938" s="134">
        <f>O931</f>
        <v>2.2000000000000002</v>
      </c>
      <c r="F938" s="118" t="s">
        <v>1582</v>
      </c>
      <c r="G938" s="480" t="e">
        <f>INT(C938/E938)</f>
        <v>#REF!</v>
      </c>
      <c r="H938" s="109"/>
      <c r="I938" s="109"/>
      <c r="J938" s="109"/>
      <c r="K938" s="109"/>
      <c r="L938" s="109"/>
      <c r="M938" s="109"/>
      <c r="N938" s="109"/>
      <c r="O938" s="109"/>
      <c r="P938" s="109"/>
      <c r="Q938" s="476"/>
    </row>
    <row r="939" spans="1:17" ht="21.2" hidden="1" customHeight="1" outlineLevel="1">
      <c r="A939" s="475"/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476"/>
    </row>
    <row r="940" spans="1:17" ht="21.2" hidden="1" customHeight="1" outlineLevel="1">
      <c r="A940" s="475" t="s">
        <v>1116</v>
      </c>
      <c r="B940" s="118" t="s">
        <v>1582</v>
      </c>
      <c r="C940" s="480" t="e">
        <f>중기사용료!#REF!</f>
        <v>#REF!</v>
      </c>
      <c r="D940" s="479" t="s">
        <v>1112</v>
      </c>
      <c r="E940" s="118" t="s">
        <v>1111</v>
      </c>
      <c r="F940" s="118"/>
      <c r="G940" s="118"/>
      <c r="H940" s="109"/>
      <c r="I940" s="109"/>
      <c r="J940" s="109"/>
      <c r="K940" s="109"/>
      <c r="L940" s="109"/>
      <c r="M940" s="109"/>
      <c r="N940" s="109"/>
      <c r="O940" s="109"/>
      <c r="P940" s="109"/>
      <c r="Q940" s="476"/>
    </row>
    <row r="941" spans="1:17" ht="21.2" hidden="1" customHeight="1" outlineLevel="1">
      <c r="A941" s="475"/>
      <c r="B941" s="118" t="s">
        <v>1113</v>
      </c>
      <c r="C941" s="480" t="e">
        <f>C940</f>
        <v>#REF!</v>
      </c>
      <c r="D941" s="118" t="str">
        <f>D940</f>
        <v>/</v>
      </c>
      <c r="E941" s="134">
        <f>O931</f>
        <v>2.2000000000000002</v>
      </c>
      <c r="F941" s="118" t="s">
        <v>1582</v>
      </c>
      <c r="G941" s="480" t="e">
        <f>INT(C941/E941)</f>
        <v>#REF!</v>
      </c>
      <c r="H941" s="109"/>
      <c r="I941" s="109"/>
      <c r="J941" s="109"/>
      <c r="K941" s="109"/>
      <c r="L941" s="109"/>
      <c r="M941" s="109"/>
      <c r="N941" s="109"/>
      <c r="O941" s="109"/>
      <c r="P941" s="109"/>
      <c r="Q941" s="476"/>
    </row>
    <row r="942" spans="1:17" ht="21.2" hidden="1" customHeight="1" outlineLevel="1">
      <c r="A942" s="475"/>
      <c r="B942" s="109"/>
      <c r="C942" s="109"/>
      <c r="D942" s="109"/>
      <c r="E942" s="109"/>
      <c r="F942" s="109"/>
      <c r="G942" s="109"/>
      <c r="H942" s="118" t="s">
        <v>1117</v>
      </c>
      <c r="I942" s="118" t="s">
        <v>1118</v>
      </c>
      <c r="J942" s="118" t="s">
        <v>1113</v>
      </c>
      <c r="K942" s="797" t="e">
        <f>G935+G938+G941</f>
        <v>#REF!</v>
      </c>
      <c r="L942" s="797"/>
      <c r="M942" s="797"/>
      <c r="N942" s="118" t="s">
        <v>1119</v>
      </c>
      <c r="O942" s="109"/>
      <c r="P942" s="109"/>
      <c r="Q942" s="476"/>
    </row>
    <row r="943" spans="1:17" ht="21.2" hidden="1" customHeight="1" outlineLevel="1">
      <c r="A943" s="475"/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476"/>
    </row>
    <row r="944" spans="1:17" ht="21.2" hidden="1" customHeight="1" outlineLevel="1">
      <c r="A944" s="475"/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476"/>
    </row>
    <row r="945" spans="1:18" ht="21.2" hidden="1" customHeight="1" outlineLevel="1">
      <c r="A945" s="475"/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476"/>
    </row>
    <row r="946" spans="1:18" ht="21.2" hidden="1" customHeight="1" outlineLevel="1">
      <c r="A946" s="482"/>
      <c r="B946" s="136"/>
      <c r="C946" s="136"/>
      <c r="D946" s="136"/>
      <c r="E946" s="136"/>
      <c r="F946" s="136"/>
      <c r="G946" s="136"/>
      <c r="H946" s="136"/>
      <c r="I946" s="136"/>
      <c r="J946" s="136"/>
      <c r="K946" s="136"/>
      <c r="L946" s="136"/>
      <c r="M946" s="136"/>
      <c r="N946" s="136"/>
      <c r="O946" s="136"/>
      <c r="P946" s="136"/>
      <c r="Q946" s="483"/>
    </row>
    <row r="947" spans="1:18" ht="21.2" hidden="1" customHeight="1" outlineLevel="1"/>
    <row r="948" spans="1:18" ht="21.2" hidden="1" customHeight="1" outlineLevel="1">
      <c r="A948" s="796" t="s">
        <v>817</v>
      </c>
      <c r="B948" s="796"/>
      <c r="C948" s="796"/>
      <c r="D948" s="796"/>
      <c r="E948" s="796"/>
      <c r="F948" s="796"/>
      <c r="G948" s="796"/>
      <c r="H948" s="796"/>
      <c r="I948" s="796"/>
      <c r="J948" s="796"/>
      <c r="K948" s="796"/>
      <c r="L948" s="796"/>
      <c r="M948" s="796"/>
      <c r="N948" s="796"/>
      <c r="O948" s="796"/>
      <c r="P948" s="796"/>
      <c r="Q948" s="796"/>
      <c r="R948" s="472"/>
    </row>
    <row r="949" spans="1:18" ht="21.2" hidden="1" customHeight="1" outlineLevel="1">
      <c r="A949" s="473" t="s">
        <v>1437</v>
      </c>
      <c r="B949" s="142" t="s">
        <v>1526</v>
      </c>
      <c r="C949" s="125" t="s">
        <v>2316</v>
      </c>
      <c r="D949" s="125"/>
      <c r="E949" s="125"/>
      <c r="F949" s="125"/>
      <c r="G949" s="125"/>
      <c r="H949" s="125"/>
      <c r="I949" s="142"/>
      <c r="J949" s="142"/>
      <c r="K949" s="125"/>
      <c r="L949" s="125"/>
      <c r="M949" s="125"/>
      <c r="N949" s="125"/>
      <c r="O949" s="125"/>
      <c r="P949" s="125"/>
      <c r="Q949" s="474"/>
    </row>
    <row r="950" spans="1:18" ht="21.2" hidden="1" customHeight="1" outlineLevel="1">
      <c r="A950" s="475" t="s">
        <v>1100</v>
      </c>
      <c r="B950" s="118" t="s">
        <v>1526</v>
      </c>
      <c r="C950" s="109" t="s">
        <v>2317</v>
      </c>
      <c r="D950" s="109"/>
      <c r="E950" s="109"/>
      <c r="F950" s="109"/>
      <c r="G950" s="109"/>
      <c r="H950" s="109"/>
      <c r="I950" s="118" t="s">
        <v>1527</v>
      </c>
      <c r="J950" s="118" t="s">
        <v>1526</v>
      </c>
      <c r="K950" s="109" t="s">
        <v>2305</v>
      </c>
      <c r="L950" s="109"/>
      <c r="M950" s="109"/>
      <c r="N950" s="109"/>
      <c r="O950" s="109"/>
      <c r="P950" s="109"/>
      <c r="Q950" s="476"/>
    </row>
    <row r="951" spans="1:18" ht="21.2" hidden="1" customHeight="1" outlineLevel="1">
      <c r="A951" s="477">
        <f>A916+1</f>
        <v>28</v>
      </c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476"/>
    </row>
    <row r="952" spans="1:18" ht="21.2" hidden="1" customHeight="1" outlineLevel="1">
      <c r="A952" s="473" t="s">
        <v>1102</v>
      </c>
      <c r="B952" s="125"/>
      <c r="C952" s="125" t="s">
        <v>2306</v>
      </c>
      <c r="D952" s="125"/>
      <c r="E952" s="125"/>
      <c r="F952" s="125"/>
      <c r="G952" s="125"/>
      <c r="H952" s="125"/>
      <c r="I952" s="125"/>
      <c r="J952" s="125"/>
      <c r="K952" s="125"/>
      <c r="L952" s="125"/>
      <c r="M952" s="125"/>
      <c r="N952" s="125"/>
      <c r="O952" s="125"/>
      <c r="P952" s="125"/>
      <c r="Q952" s="474"/>
    </row>
    <row r="953" spans="1:18" ht="21.2" hidden="1" customHeight="1" outlineLevel="1">
      <c r="A953" s="475" t="s">
        <v>1103</v>
      </c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476"/>
    </row>
    <row r="954" spans="1:18" ht="21.2" hidden="1" customHeight="1" outlineLevel="1">
      <c r="A954" s="475"/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476"/>
    </row>
    <row r="955" spans="1:18" ht="21.2" hidden="1" customHeight="1" outlineLevel="1">
      <c r="A955" s="473" t="s">
        <v>1104</v>
      </c>
      <c r="B955" s="125"/>
      <c r="C955" s="125"/>
      <c r="D955" s="125"/>
      <c r="E955" s="125"/>
      <c r="F955" s="125"/>
      <c r="G955" s="125"/>
      <c r="H955" s="125"/>
      <c r="I955" s="125"/>
      <c r="J955" s="125"/>
      <c r="K955" s="125"/>
      <c r="L955" s="125"/>
      <c r="M955" s="125"/>
      <c r="N955" s="125"/>
      <c r="O955" s="125"/>
      <c r="P955" s="125"/>
      <c r="Q955" s="474"/>
    </row>
    <row r="956" spans="1:18" ht="21.2" hidden="1" customHeight="1" outlineLevel="1">
      <c r="A956" s="475" t="s">
        <v>1105</v>
      </c>
      <c r="B956" s="118" t="s">
        <v>1582</v>
      </c>
      <c r="C956" s="488">
        <v>1</v>
      </c>
      <c r="D956" s="109" t="s">
        <v>1106</v>
      </c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476"/>
    </row>
    <row r="957" spans="1:18" ht="21.2" hidden="1" customHeight="1" outlineLevel="1">
      <c r="A957" s="475" t="s">
        <v>1107</v>
      </c>
      <c r="B957" s="118" t="s">
        <v>1582</v>
      </c>
      <c r="C957" s="488">
        <v>1</v>
      </c>
      <c r="D957" s="109" t="s">
        <v>2307</v>
      </c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476"/>
    </row>
    <row r="958" spans="1:18" ht="21.2" hidden="1" customHeight="1" outlineLevel="1">
      <c r="A958" s="475" t="s">
        <v>1108</v>
      </c>
      <c r="B958" s="118" t="s">
        <v>1582</v>
      </c>
      <c r="C958" s="488">
        <v>1</v>
      </c>
      <c r="D958" s="109" t="s">
        <v>1156</v>
      </c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476"/>
    </row>
    <row r="959" spans="1:18" ht="21.2" hidden="1" customHeight="1" outlineLevel="1">
      <c r="A959" s="475" t="s">
        <v>1109</v>
      </c>
      <c r="B959" s="118" t="s">
        <v>1582</v>
      </c>
      <c r="C959" s="485">
        <v>0.33</v>
      </c>
      <c r="D959" s="109" t="s">
        <v>1207</v>
      </c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476"/>
    </row>
    <row r="960" spans="1:18" ht="21.2" hidden="1" customHeight="1" outlineLevel="1">
      <c r="A960" s="475" t="s">
        <v>1190</v>
      </c>
      <c r="B960" s="118" t="s">
        <v>1582</v>
      </c>
      <c r="C960" s="488">
        <v>3600</v>
      </c>
      <c r="D960" s="109" t="s">
        <v>2308</v>
      </c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476"/>
    </row>
    <row r="961" spans="1:17" ht="21.2" hidden="1" customHeight="1" outlineLevel="1">
      <c r="A961" s="475" t="s">
        <v>2309</v>
      </c>
      <c r="B961" s="118" t="s">
        <v>1582</v>
      </c>
      <c r="C961" s="488">
        <v>1</v>
      </c>
      <c r="D961" s="109" t="s">
        <v>2310</v>
      </c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476"/>
    </row>
    <row r="962" spans="1:17" ht="21.2" hidden="1" customHeight="1" outlineLevel="1">
      <c r="A962" s="475" t="s">
        <v>2311</v>
      </c>
      <c r="B962" s="118" t="s">
        <v>1582</v>
      </c>
      <c r="C962" s="478">
        <v>0</v>
      </c>
      <c r="D962" s="109" t="s">
        <v>2312</v>
      </c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476"/>
    </row>
    <row r="963" spans="1:17" ht="21.2" hidden="1" customHeight="1" outlineLevel="1">
      <c r="A963" s="475" t="s">
        <v>2313</v>
      </c>
      <c r="B963" s="109" t="s">
        <v>1582</v>
      </c>
      <c r="C963" s="109">
        <v>0</v>
      </c>
      <c r="D963" s="109" t="s">
        <v>2314</v>
      </c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476"/>
    </row>
    <row r="964" spans="1:17" ht="21.2" hidden="1" customHeight="1" outlineLevel="1">
      <c r="A964" s="473" t="s">
        <v>1110</v>
      </c>
      <c r="B964" s="125"/>
      <c r="C964" s="125"/>
      <c r="D964" s="125"/>
      <c r="E964" s="125"/>
      <c r="F964" s="125"/>
      <c r="G964" s="125"/>
      <c r="H964" s="125"/>
      <c r="I964" s="125"/>
      <c r="J964" s="125"/>
      <c r="K964" s="125"/>
      <c r="L964" s="125"/>
      <c r="M964" s="125"/>
      <c r="N964" s="125"/>
      <c r="O964" s="125"/>
      <c r="P964" s="125"/>
      <c r="Q964" s="474"/>
    </row>
    <row r="965" spans="1:17" ht="21.2" hidden="1" customHeight="1" outlineLevel="1">
      <c r="A965" s="475" t="s">
        <v>1111</v>
      </c>
      <c r="B965" s="118" t="s">
        <v>1582</v>
      </c>
      <c r="C965" s="118">
        <v>3600</v>
      </c>
      <c r="D965" s="118" t="s">
        <v>86</v>
      </c>
      <c r="E965" s="118" t="s">
        <v>1105</v>
      </c>
      <c r="F965" s="118" t="s">
        <v>86</v>
      </c>
      <c r="G965" s="118" t="s">
        <v>1107</v>
      </c>
      <c r="H965" s="118" t="s">
        <v>86</v>
      </c>
      <c r="I965" s="118" t="s">
        <v>1108</v>
      </c>
      <c r="J965" s="118" t="s">
        <v>86</v>
      </c>
      <c r="K965" s="118" t="s">
        <v>1109</v>
      </c>
      <c r="L965" s="479" t="s">
        <v>1112</v>
      </c>
      <c r="M965" s="118" t="s">
        <v>1583</v>
      </c>
      <c r="N965" s="707" t="s">
        <v>4025</v>
      </c>
      <c r="O965" s="109"/>
      <c r="P965" s="109"/>
      <c r="Q965" s="476"/>
    </row>
    <row r="966" spans="1:17" ht="21.2" hidden="1" customHeight="1" outlineLevel="1">
      <c r="A966" s="475"/>
      <c r="B966" s="118" t="s">
        <v>1113</v>
      </c>
      <c r="C966" s="118">
        <f>C965</f>
        <v>3600</v>
      </c>
      <c r="D966" s="118" t="str">
        <f>D965</f>
        <v>*</v>
      </c>
      <c r="E966" s="275">
        <f>C956</f>
        <v>1</v>
      </c>
      <c r="F966" s="118" t="str">
        <f>F965</f>
        <v>*</v>
      </c>
      <c r="G966" s="275">
        <f>C957</f>
        <v>1</v>
      </c>
      <c r="H966" s="118" t="str">
        <f>H965</f>
        <v>*</v>
      </c>
      <c r="I966" s="275">
        <f>C958</f>
        <v>1</v>
      </c>
      <c r="J966" s="118" t="str">
        <f>J965</f>
        <v>*</v>
      </c>
      <c r="K966" s="275">
        <f>C959</f>
        <v>0.33</v>
      </c>
      <c r="L966" s="118" t="str">
        <f>L965</f>
        <v>/</v>
      </c>
      <c r="M966" s="318">
        <f>P967</f>
        <v>3600</v>
      </c>
      <c r="N966" s="118" t="s">
        <v>1582</v>
      </c>
      <c r="O966" s="134">
        <f>INT((C966*E966*G966*I966*K966/M966)*100)/100</f>
        <v>0.33</v>
      </c>
      <c r="P966" s="109"/>
      <c r="Q966" s="476"/>
    </row>
    <row r="967" spans="1:17" ht="21.2" hidden="1" customHeight="1" outlineLevel="1">
      <c r="A967" s="475" t="s">
        <v>1583</v>
      </c>
      <c r="B967" s="109" t="s">
        <v>1582</v>
      </c>
      <c r="C967" s="118" t="s">
        <v>1190</v>
      </c>
      <c r="D967" s="118" t="s">
        <v>86</v>
      </c>
      <c r="E967" s="118" t="s">
        <v>2309</v>
      </c>
      <c r="F967" s="118" t="s">
        <v>397</v>
      </c>
      <c r="G967" s="118" t="s">
        <v>2311</v>
      </c>
      <c r="H967" s="118" t="s">
        <v>397</v>
      </c>
      <c r="I967" s="118" t="s">
        <v>2313</v>
      </c>
      <c r="J967" s="118" t="s">
        <v>1582</v>
      </c>
      <c r="K967" s="489">
        <f>C960</f>
        <v>3600</v>
      </c>
      <c r="L967" s="118" t="s">
        <v>86</v>
      </c>
      <c r="M967" s="489">
        <f>C961</f>
        <v>1</v>
      </c>
      <c r="N967" s="109" t="s">
        <v>397</v>
      </c>
      <c r="O967" s="490" t="s">
        <v>2315</v>
      </c>
      <c r="P967" s="131">
        <f>K967*M967+C962+C963</f>
        <v>3600</v>
      </c>
      <c r="Q967" s="491"/>
    </row>
    <row r="968" spans="1:17" ht="21.2" hidden="1" customHeight="1" outlineLevel="1">
      <c r="A968" s="473" t="s">
        <v>1114</v>
      </c>
      <c r="B968" s="125"/>
      <c r="C968" s="125"/>
      <c r="D968" s="125"/>
      <c r="E968" s="125"/>
      <c r="F968" s="125"/>
      <c r="G968" s="125"/>
      <c r="H968" s="125"/>
      <c r="I968" s="125"/>
      <c r="J968" s="125"/>
      <c r="K968" s="125"/>
      <c r="L968" s="125"/>
      <c r="M968" s="125"/>
      <c r="N968" s="125"/>
      <c r="O968" s="125"/>
      <c r="P968" s="125"/>
      <c r="Q968" s="474"/>
    </row>
    <row r="969" spans="1:17" ht="21.2" hidden="1" customHeight="1" outlineLevel="1">
      <c r="A969" s="475" t="s">
        <v>1436</v>
      </c>
      <c r="B969" s="109" t="s">
        <v>1582</v>
      </c>
      <c r="C969" s="480" t="e">
        <f>중기사용료!#REF!</f>
        <v>#REF!</v>
      </c>
      <c r="D969" s="479" t="s">
        <v>1112</v>
      </c>
      <c r="E969" s="118" t="s">
        <v>1111</v>
      </c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476"/>
    </row>
    <row r="970" spans="1:17" ht="21.2" hidden="1" customHeight="1" outlineLevel="1">
      <c r="A970" s="475"/>
      <c r="B970" s="118" t="s">
        <v>1113</v>
      </c>
      <c r="C970" s="480" t="e">
        <f>C969</f>
        <v>#REF!</v>
      </c>
      <c r="D970" s="118" t="str">
        <f>D969</f>
        <v>/</v>
      </c>
      <c r="E970" s="134">
        <f>O966</f>
        <v>0.33</v>
      </c>
      <c r="F970" s="109" t="s">
        <v>1582</v>
      </c>
      <c r="G970" s="481" t="e">
        <f>TRUNC(C970/E970)</f>
        <v>#REF!</v>
      </c>
      <c r="H970" s="109"/>
      <c r="I970" s="109"/>
      <c r="J970" s="109"/>
      <c r="K970" s="109"/>
      <c r="L970" s="109"/>
      <c r="M970" s="109"/>
      <c r="N970" s="109"/>
      <c r="O970" s="109"/>
      <c r="P970" s="109"/>
      <c r="Q970" s="476"/>
    </row>
    <row r="971" spans="1:17" ht="21.2" hidden="1" customHeight="1" outlineLevel="1">
      <c r="A971" s="475"/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476"/>
    </row>
    <row r="972" spans="1:17" ht="21.2" hidden="1" customHeight="1" outlineLevel="1">
      <c r="A972" s="475" t="s">
        <v>1115</v>
      </c>
      <c r="B972" s="109" t="s">
        <v>1582</v>
      </c>
      <c r="C972" s="480" t="e">
        <f>중기사용료!#REF!</f>
        <v>#REF!</v>
      </c>
      <c r="D972" s="479" t="s">
        <v>1112</v>
      </c>
      <c r="E972" s="118" t="s">
        <v>1111</v>
      </c>
      <c r="F972" s="118"/>
      <c r="G972" s="118"/>
      <c r="H972" s="109"/>
      <c r="I972" s="109"/>
      <c r="J972" s="109"/>
      <c r="K972" s="109"/>
      <c r="L972" s="109"/>
      <c r="M972" s="109"/>
      <c r="N972" s="109"/>
      <c r="O972" s="109"/>
      <c r="P972" s="109"/>
      <c r="Q972" s="476"/>
    </row>
    <row r="973" spans="1:17" ht="21.2" hidden="1" customHeight="1" outlineLevel="1">
      <c r="A973" s="475"/>
      <c r="B973" s="118" t="s">
        <v>1113</v>
      </c>
      <c r="C973" s="480" t="e">
        <f>C972</f>
        <v>#REF!</v>
      </c>
      <c r="D973" s="479" t="str">
        <f>D972</f>
        <v>/</v>
      </c>
      <c r="E973" s="134">
        <f>O966</f>
        <v>0.33</v>
      </c>
      <c r="F973" s="118" t="s">
        <v>1582</v>
      </c>
      <c r="G973" s="481" t="e">
        <f>TRUNC(C973/E973)</f>
        <v>#REF!</v>
      </c>
      <c r="H973" s="109"/>
      <c r="I973" s="109"/>
      <c r="J973" s="109"/>
      <c r="K973" s="109"/>
      <c r="L973" s="109"/>
      <c r="M973" s="109"/>
      <c r="N973" s="109"/>
      <c r="O973" s="109"/>
      <c r="P973" s="109"/>
      <c r="Q973" s="476"/>
    </row>
    <row r="974" spans="1:17" ht="21.2" hidden="1" customHeight="1" outlineLevel="1">
      <c r="A974" s="475"/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476"/>
    </row>
    <row r="975" spans="1:17" ht="21.2" hidden="1" customHeight="1" outlineLevel="1">
      <c r="A975" s="475" t="s">
        <v>1116</v>
      </c>
      <c r="B975" s="118" t="s">
        <v>1582</v>
      </c>
      <c r="C975" s="480" t="e">
        <f>중기사용료!#REF!</f>
        <v>#REF!</v>
      </c>
      <c r="D975" s="479" t="s">
        <v>1112</v>
      </c>
      <c r="E975" s="118" t="s">
        <v>1111</v>
      </c>
      <c r="F975" s="118"/>
      <c r="G975" s="118"/>
      <c r="H975" s="109"/>
      <c r="I975" s="109"/>
      <c r="J975" s="109"/>
      <c r="K975" s="109"/>
      <c r="L975" s="109"/>
      <c r="M975" s="109"/>
      <c r="N975" s="109"/>
      <c r="O975" s="109"/>
      <c r="P975" s="109"/>
      <c r="Q975" s="476"/>
    </row>
    <row r="976" spans="1:17" ht="21.2" hidden="1" customHeight="1" outlineLevel="1">
      <c r="A976" s="475"/>
      <c r="B976" s="118" t="s">
        <v>1113</v>
      </c>
      <c r="C976" s="480" t="e">
        <f>C975</f>
        <v>#REF!</v>
      </c>
      <c r="D976" s="118" t="str">
        <f>D975</f>
        <v>/</v>
      </c>
      <c r="E976" s="134">
        <f>O966</f>
        <v>0.33</v>
      </c>
      <c r="F976" s="118" t="s">
        <v>1582</v>
      </c>
      <c r="G976" s="481" t="e">
        <f>TRUNC(C976/E976)</f>
        <v>#REF!</v>
      </c>
      <c r="H976" s="109"/>
      <c r="I976" s="109"/>
      <c r="J976" s="109"/>
      <c r="K976" s="109"/>
      <c r="L976" s="109"/>
      <c r="M976" s="109"/>
      <c r="N976" s="109"/>
      <c r="O976" s="109"/>
      <c r="P976" s="109"/>
      <c r="Q976" s="476"/>
    </row>
    <row r="977" spans="1:18" ht="21.2" hidden="1" customHeight="1" outlineLevel="1">
      <c r="A977" s="475"/>
      <c r="B977" s="109"/>
      <c r="C977" s="109"/>
      <c r="D977" s="109"/>
      <c r="E977" s="109"/>
      <c r="F977" s="109"/>
      <c r="G977" s="109"/>
      <c r="H977" s="118" t="s">
        <v>1117</v>
      </c>
      <c r="I977" s="118" t="s">
        <v>1118</v>
      </c>
      <c r="J977" s="118" t="s">
        <v>1113</v>
      </c>
      <c r="K977" s="797" t="e">
        <f>G970+G973+G976</f>
        <v>#REF!</v>
      </c>
      <c r="L977" s="797"/>
      <c r="M977" s="797"/>
      <c r="N977" s="118" t="s">
        <v>1119</v>
      </c>
      <c r="O977" s="109"/>
      <c r="P977" s="109"/>
      <c r="Q977" s="476"/>
    </row>
    <row r="978" spans="1:18" ht="21.2" hidden="1" customHeight="1" outlineLevel="1">
      <c r="A978" s="475"/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476"/>
    </row>
    <row r="979" spans="1:18" ht="21.2" hidden="1" customHeight="1" outlineLevel="1">
      <c r="A979" s="475"/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476"/>
    </row>
    <row r="980" spans="1:18" ht="21.2" hidden="1" customHeight="1" outlineLevel="1">
      <c r="A980" s="475"/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476"/>
    </row>
    <row r="981" spans="1:18" ht="21.2" hidden="1" customHeight="1" outlineLevel="1">
      <c r="A981" s="482"/>
      <c r="B981" s="136"/>
      <c r="C981" s="136"/>
      <c r="D981" s="136"/>
      <c r="E981" s="136"/>
      <c r="F981" s="136"/>
      <c r="G981" s="136"/>
      <c r="H981" s="136"/>
      <c r="I981" s="136"/>
      <c r="J981" s="136"/>
      <c r="K981" s="136"/>
      <c r="L981" s="136"/>
      <c r="M981" s="136"/>
      <c r="N981" s="136"/>
      <c r="O981" s="136"/>
      <c r="P981" s="136"/>
      <c r="Q981" s="483"/>
    </row>
    <row r="982" spans="1:18" ht="21.2" hidden="1" customHeight="1" outlineLevel="1"/>
    <row r="983" spans="1:18" ht="21.2" hidden="1" customHeight="1" outlineLevel="1">
      <c r="A983" s="796" t="s">
        <v>817</v>
      </c>
      <c r="B983" s="796"/>
      <c r="C983" s="796"/>
      <c r="D983" s="796"/>
      <c r="E983" s="796"/>
      <c r="F983" s="796"/>
      <c r="G983" s="796"/>
      <c r="H983" s="796"/>
      <c r="I983" s="796"/>
      <c r="J983" s="796"/>
      <c r="K983" s="796"/>
      <c r="L983" s="796"/>
      <c r="M983" s="796"/>
      <c r="N983" s="796"/>
      <c r="O983" s="796"/>
      <c r="P983" s="796"/>
      <c r="Q983" s="796"/>
      <c r="R983" s="472"/>
    </row>
    <row r="984" spans="1:18" ht="21.2" hidden="1" customHeight="1" outlineLevel="1">
      <c r="A984" s="473" t="s">
        <v>1437</v>
      </c>
      <c r="B984" s="142" t="s">
        <v>1526</v>
      </c>
      <c r="C984" s="125" t="s">
        <v>2318</v>
      </c>
      <c r="D984" s="125"/>
      <c r="E984" s="125"/>
      <c r="F984" s="125"/>
      <c r="G984" s="125"/>
      <c r="H984" s="125"/>
      <c r="I984" s="125"/>
      <c r="J984" s="125"/>
      <c r="K984" s="125"/>
      <c r="L984" s="125"/>
      <c r="M984" s="125"/>
      <c r="N984" s="125"/>
      <c r="O984" s="125"/>
      <c r="P984" s="125"/>
      <c r="Q984" s="474"/>
    </row>
    <row r="985" spans="1:18" ht="21.2" hidden="1" customHeight="1" outlineLevel="1">
      <c r="A985" s="475" t="s">
        <v>1100</v>
      </c>
      <c r="B985" s="118" t="s">
        <v>1526</v>
      </c>
      <c r="C985" s="707" t="s">
        <v>4028</v>
      </c>
      <c r="D985" s="109"/>
      <c r="E985" s="109"/>
      <c r="F985" s="109"/>
      <c r="G985" s="109" t="s">
        <v>1527</v>
      </c>
      <c r="H985" s="109" t="s">
        <v>1526</v>
      </c>
      <c r="I985" s="109" t="s">
        <v>841</v>
      </c>
      <c r="J985" s="109"/>
      <c r="K985" s="109"/>
      <c r="L985" s="109"/>
      <c r="M985" s="109"/>
      <c r="N985" s="109"/>
      <c r="O985" s="109"/>
      <c r="P985" s="109"/>
      <c r="Q985" s="476"/>
    </row>
    <row r="986" spans="1:18" ht="21.2" hidden="1" customHeight="1" outlineLevel="1">
      <c r="A986" s="477">
        <f>A951+1</f>
        <v>29</v>
      </c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476"/>
    </row>
    <row r="987" spans="1:18" ht="21.2" hidden="1" customHeight="1" outlineLevel="1">
      <c r="A987" s="473" t="s">
        <v>1102</v>
      </c>
      <c r="B987" s="125"/>
      <c r="C987" s="125" t="s">
        <v>4024</v>
      </c>
      <c r="D987" s="125"/>
      <c r="E987" s="125"/>
      <c r="F987" s="125"/>
      <c r="G987" s="125"/>
      <c r="H987" s="125"/>
      <c r="I987" s="125"/>
      <c r="J987" s="125"/>
      <c r="K987" s="125"/>
      <c r="L987" s="125"/>
      <c r="M987" s="125"/>
      <c r="N987" s="125"/>
      <c r="O987" s="125"/>
      <c r="P987" s="125"/>
      <c r="Q987" s="474"/>
    </row>
    <row r="988" spans="1:18" ht="21.2" hidden="1" customHeight="1" outlineLevel="1">
      <c r="A988" s="475" t="s">
        <v>1103</v>
      </c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476"/>
    </row>
    <row r="989" spans="1:18" ht="21.2" hidden="1" customHeight="1" outlineLevel="1">
      <c r="A989" s="475"/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476"/>
    </row>
    <row r="990" spans="1:18" ht="21.2" hidden="1" customHeight="1" outlineLevel="1">
      <c r="A990" s="473" t="s">
        <v>1104</v>
      </c>
      <c r="B990" s="125"/>
      <c r="C990" s="125"/>
      <c r="D990" s="125"/>
      <c r="E990" s="125"/>
      <c r="F990" s="125"/>
      <c r="G990" s="125"/>
      <c r="H990" s="125"/>
      <c r="I990" s="125"/>
      <c r="J990" s="125"/>
      <c r="K990" s="125"/>
      <c r="L990" s="125"/>
      <c r="M990" s="125"/>
      <c r="N990" s="125"/>
      <c r="O990" s="125"/>
      <c r="P990" s="125"/>
      <c r="Q990" s="474"/>
    </row>
    <row r="991" spans="1:18" ht="21.2" hidden="1" customHeight="1" outlineLevel="1">
      <c r="A991" s="475" t="s">
        <v>1105</v>
      </c>
      <c r="B991" s="118" t="s">
        <v>1582</v>
      </c>
      <c r="C991" s="478">
        <v>0.7</v>
      </c>
      <c r="D991" s="109" t="s">
        <v>1106</v>
      </c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476"/>
    </row>
    <row r="992" spans="1:18" ht="21.2" hidden="1" customHeight="1" outlineLevel="1">
      <c r="A992" s="475" t="s">
        <v>1107</v>
      </c>
      <c r="B992" s="118" t="s">
        <v>1582</v>
      </c>
      <c r="C992" s="478">
        <v>0.55000000000000004</v>
      </c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476"/>
    </row>
    <row r="993" spans="1:17" ht="21.2" hidden="1" customHeight="1" outlineLevel="1">
      <c r="A993" s="475" t="s">
        <v>1108</v>
      </c>
      <c r="B993" s="118" t="s">
        <v>1582</v>
      </c>
      <c r="C993" s="478">
        <v>0.71</v>
      </c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476"/>
    </row>
    <row r="994" spans="1:17" ht="21.2" hidden="1" customHeight="1" outlineLevel="1">
      <c r="A994" s="475" t="s">
        <v>1109</v>
      </c>
      <c r="B994" s="118" t="s">
        <v>1582</v>
      </c>
      <c r="C994" s="478">
        <v>0.45</v>
      </c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476"/>
    </row>
    <row r="995" spans="1:17" ht="21.2" hidden="1" customHeight="1" outlineLevel="1">
      <c r="A995" s="475" t="s">
        <v>1583</v>
      </c>
      <c r="B995" s="118" t="s">
        <v>1582</v>
      </c>
      <c r="C995" s="478">
        <v>18</v>
      </c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476"/>
    </row>
    <row r="996" spans="1:17" ht="21.2" hidden="1" customHeight="1" outlineLevel="1">
      <c r="A996" s="475"/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476"/>
    </row>
    <row r="997" spans="1:17" ht="21.2" hidden="1" customHeight="1" outlineLevel="1">
      <c r="A997" s="473" t="s">
        <v>1110</v>
      </c>
      <c r="B997" s="125"/>
      <c r="C997" s="125"/>
      <c r="D997" s="125"/>
      <c r="E997" s="125"/>
      <c r="F997" s="125"/>
      <c r="G997" s="125"/>
      <c r="H997" s="125"/>
      <c r="I997" s="125"/>
      <c r="J997" s="125"/>
      <c r="K997" s="125"/>
      <c r="L997" s="125"/>
      <c r="M997" s="125"/>
      <c r="N997" s="125"/>
      <c r="O997" s="125"/>
      <c r="P997" s="125"/>
      <c r="Q997" s="474"/>
    </row>
    <row r="998" spans="1:17" ht="21.2" hidden="1" customHeight="1" outlineLevel="1">
      <c r="A998" s="475" t="s">
        <v>1111</v>
      </c>
      <c r="B998" s="118" t="s">
        <v>1582</v>
      </c>
      <c r="C998" s="118">
        <v>3600</v>
      </c>
      <c r="D998" s="118" t="s">
        <v>86</v>
      </c>
      <c r="E998" s="118" t="s">
        <v>1105</v>
      </c>
      <c r="F998" s="118" t="s">
        <v>86</v>
      </c>
      <c r="G998" s="118" t="s">
        <v>1107</v>
      </c>
      <c r="H998" s="118" t="s">
        <v>86</v>
      </c>
      <c r="I998" s="118" t="s">
        <v>1108</v>
      </c>
      <c r="J998" s="118" t="s">
        <v>86</v>
      </c>
      <c r="K998" s="118" t="s">
        <v>1109</v>
      </c>
      <c r="L998" s="479" t="s">
        <v>1112</v>
      </c>
      <c r="M998" s="118" t="s">
        <v>1583</v>
      </c>
      <c r="N998" s="707" t="s">
        <v>4025</v>
      </c>
      <c r="O998" s="109"/>
      <c r="P998" s="109"/>
      <c r="Q998" s="476"/>
    </row>
    <row r="999" spans="1:17" ht="21.2" hidden="1" customHeight="1" outlineLevel="1">
      <c r="A999" s="475"/>
      <c r="B999" s="118" t="s">
        <v>1113</v>
      </c>
      <c r="C999" s="118">
        <f>C998</f>
        <v>3600</v>
      </c>
      <c r="D999" s="118" t="str">
        <f>D998</f>
        <v>*</v>
      </c>
      <c r="E999" s="275">
        <f>C991</f>
        <v>0.7</v>
      </c>
      <c r="F999" s="118" t="str">
        <f>F998</f>
        <v>*</v>
      </c>
      <c r="G999" s="275">
        <f>C992</f>
        <v>0.55000000000000004</v>
      </c>
      <c r="H999" s="118" t="str">
        <f>H998</f>
        <v>*</v>
      </c>
      <c r="I999" s="275">
        <f>C993</f>
        <v>0.71</v>
      </c>
      <c r="J999" s="118" t="str">
        <f>J998</f>
        <v>*</v>
      </c>
      <c r="K999" s="275">
        <f>C994</f>
        <v>0.45</v>
      </c>
      <c r="L999" s="118" t="str">
        <f>L998</f>
        <v>/</v>
      </c>
      <c r="M999" s="275">
        <f>C995</f>
        <v>18</v>
      </c>
      <c r="N999" s="118" t="s">
        <v>1582</v>
      </c>
      <c r="O999" s="134">
        <f>INT((C999*E999*G999*I999*K999/M999)*100)/100</f>
        <v>24.6</v>
      </c>
      <c r="P999" s="109"/>
      <c r="Q999" s="476"/>
    </row>
    <row r="1000" spans="1:17" ht="21.2" hidden="1" customHeight="1" outlineLevel="1">
      <c r="A1000" s="475"/>
      <c r="B1000" s="109"/>
      <c r="C1000" s="109"/>
      <c r="D1000" s="109"/>
      <c r="E1000" s="109"/>
      <c r="F1000" s="109"/>
      <c r="G1000" s="109"/>
      <c r="H1000" s="109"/>
      <c r="I1000" s="109"/>
      <c r="J1000" s="109"/>
      <c r="K1000" s="109"/>
      <c r="L1000" s="109"/>
      <c r="M1000" s="109"/>
      <c r="N1000" s="109"/>
      <c r="O1000" s="109"/>
      <c r="P1000" s="109"/>
      <c r="Q1000" s="476"/>
    </row>
    <row r="1001" spans="1:17" ht="21.2" hidden="1" customHeight="1" outlineLevel="1">
      <c r="A1001" s="473" t="s">
        <v>1114</v>
      </c>
      <c r="B1001" s="125"/>
      <c r="C1001" s="125"/>
      <c r="D1001" s="125"/>
      <c r="E1001" s="125"/>
      <c r="F1001" s="125"/>
      <c r="G1001" s="125"/>
      <c r="H1001" s="125"/>
      <c r="I1001" s="125"/>
      <c r="J1001" s="125"/>
      <c r="K1001" s="125"/>
      <c r="L1001" s="125"/>
      <c r="M1001" s="125"/>
      <c r="N1001" s="125"/>
      <c r="O1001" s="125"/>
      <c r="P1001" s="125"/>
      <c r="Q1001" s="474"/>
    </row>
    <row r="1002" spans="1:17" ht="21.2" hidden="1" customHeight="1" outlineLevel="1">
      <c r="A1002" s="475" t="s">
        <v>1436</v>
      </c>
      <c r="B1002" s="109" t="s">
        <v>1582</v>
      </c>
      <c r="C1002" s="480">
        <f>중기사용료!$M$138</f>
        <v>19708</v>
      </c>
      <c r="D1002" s="479" t="s">
        <v>1112</v>
      </c>
      <c r="E1002" s="118" t="s">
        <v>1111</v>
      </c>
      <c r="F1002" s="109"/>
      <c r="G1002" s="109"/>
      <c r="H1002" s="109"/>
      <c r="I1002" s="109"/>
      <c r="J1002" s="109"/>
      <c r="K1002" s="109"/>
      <c r="L1002" s="109"/>
      <c r="M1002" s="109"/>
      <c r="N1002" s="109"/>
      <c r="O1002" s="109"/>
      <c r="P1002" s="109"/>
      <c r="Q1002" s="476"/>
    </row>
    <row r="1003" spans="1:17" ht="21.2" hidden="1" customHeight="1" outlineLevel="1">
      <c r="A1003" s="475"/>
      <c r="B1003" s="118" t="s">
        <v>1113</v>
      </c>
      <c r="C1003" s="480">
        <f>C1002</f>
        <v>19708</v>
      </c>
      <c r="D1003" s="118" t="str">
        <f>D1002</f>
        <v>/</v>
      </c>
      <c r="E1003" s="134">
        <f>O999</f>
        <v>24.6</v>
      </c>
      <c r="F1003" s="109" t="s">
        <v>1582</v>
      </c>
      <c r="G1003" s="481">
        <f>TRUNC(C1003/E1003)</f>
        <v>801</v>
      </c>
      <c r="H1003" s="109"/>
      <c r="I1003" s="109"/>
      <c r="J1003" s="109"/>
      <c r="K1003" s="109"/>
      <c r="L1003" s="109"/>
      <c r="M1003" s="109"/>
      <c r="N1003" s="109"/>
      <c r="O1003" s="109"/>
      <c r="P1003" s="109"/>
      <c r="Q1003" s="476"/>
    </row>
    <row r="1004" spans="1:17" ht="21.2" hidden="1" customHeight="1" outlineLevel="1">
      <c r="A1004" s="475"/>
      <c r="B1004" s="109"/>
      <c r="C1004" s="109"/>
      <c r="D1004" s="109"/>
      <c r="E1004" s="109"/>
      <c r="F1004" s="109"/>
      <c r="G1004" s="109"/>
      <c r="H1004" s="109"/>
      <c r="I1004" s="109"/>
      <c r="J1004" s="109"/>
      <c r="K1004" s="109"/>
      <c r="L1004" s="109"/>
      <c r="M1004" s="109"/>
      <c r="N1004" s="109"/>
      <c r="O1004" s="109"/>
      <c r="P1004" s="109"/>
      <c r="Q1004" s="476"/>
    </row>
    <row r="1005" spans="1:17" ht="21.2" hidden="1" customHeight="1" outlineLevel="1">
      <c r="A1005" s="475" t="s">
        <v>1115</v>
      </c>
      <c r="B1005" s="109" t="s">
        <v>1582</v>
      </c>
      <c r="C1005" s="480">
        <f>중기사용료!$M$144</f>
        <v>27168</v>
      </c>
      <c r="D1005" s="479" t="s">
        <v>1112</v>
      </c>
      <c r="E1005" s="118" t="s">
        <v>1111</v>
      </c>
      <c r="F1005" s="118"/>
      <c r="G1005" s="118"/>
      <c r="H1005" s="109"/>
      <c r="I1005" s="109"/>
      <c r="J1005" s="109"/>
      <c r="K1005" s="109"/>
      <c r="L1005" s="109"/>
      <c r="M1005" s="109"/>
      <c r="N1005" s="109"/>
      <c r="O1005" s="109"/>
      <c r="P1005" s="109"/>
      <c r="Q1005" s="476"/>
    </row>
    <row r="1006" spans="1:17" ht="21.2" hidden="1" customHeight="1" outlineLevel="1">
      <c r="A1006" s="475"/>
      <c r="B1006" s="118" t="s">
        <v>1113</v>
      </c>
      <c r="C1006" s="480">
        <f>C1005</f>
        <v>27168</v>
      </c>
      <c r="D1006" s="479" t="str">
        <f>D1005</f>
        <v>/</v>
      </c>
      <c r="E1006" s="134">
        <f>O999</f>
        <v>24.6</v>
      </c>
      <c r="F1006" s="118" t="s">
        <v>1582</v>
      </c>
      <c r="G1006" s="481">
        <f>TRUNC(C1006/E1006)</f>
        <v>1104</v>
      </c>
      <c r="H1006" s="109"/>
      <c r="I1006" s="109"/>
      <c r="J1006" s="109"/>
      <c r="K1006" s="109"/>
      <c r="L1006" s="109"/>
      <c r="M1006" s="109"/>
      <c r="N1006" s="109"/>
      <c r="O1006" s="109"/>
      <c r="P1006" s="109"/>
      <c r="Q1006" s="476"/>
    </row>
    <row r="1007" spans="1:17" ht="21.2" hidden="1" customHeight="1" outlineLevel="1">
      <c r="A1007" s="475"/>
      <c r="B1007" s="109"/>
      <c r="C1007" s="109"/>
      <c r="D1007" s="109"/>
      <c r="E1007" s="109"/>
      <c r="F1007" s="109"/>
      <c r="G1007" s="109"/>
      <c r="H1007" s="109"/>
      <c r="I1007" s="109"/>
      <c r="J1007" s="109"/>
      <c r="K1007" s="109"/>
      <c r="L1007" s="109"/>
      <c r="M1007" s="109"/>
      <c r="N1007" s="109"/>
      <c r="O1007" s="109"/>
      <c r="P1007" s="109"/>
      <c r="Q1007" s="476"/>
    </row>
    <row r="1008" spans="1:17" ht="21.2" hidden="1" customHeight="1" outlineLevel="1">
      <c r="A1008" s="475" t="s">
        <v>1116</v>
      </c>
      <c r="B1008" s="118" t="s">
        <v>1582</v>
      </c>
      <c r="C1008" s="480">
        <f>중기사용료!$M$150</f>
        <v>15778</v>
      </c>
      <c r="D1008" s="479" t="s">
        <v>1112</v>
      </c>
      <c r="E1008" s="118" t="s">
        <v>1111</v>
      </c>
      <c r="F1008" s="118"/>
      <c r="G1008" s="118"/>
      <c r="H1008" s="109"/>
      <c r="I1008" s="109"/>
      <c r="J1008" s="109"/>
      <c r="K1008" s="109"/>
      <c r="L1008" s="109"/>
      <c r="M1008" s="109"/>
      <c r="N1008" s="109"/>
      <c r="O1008" s="109"/>
      <c r="P1008" s="109"/>
      <c r="Q1008" s="476"/>
    </row>
    <row r="1009" spans="1:18" ht="21.2" hidden="1" customHeight="1" outlineLevel="1">
      <c r="A1009" s="475"/>
      <c r="B1009" s="118" t="s">
        <v>1113</v>
      </c>
      <c r="C1009" s="480">
        <f>C1008</f>
        <v>15778</v>
      </c>
      <c r="D1009" s="118" t="str">
        <f>D1008</f>
        <v>/</v>
      </c>
      <c r="E1009" s="134">
        <f>O999</f>
        <v>24.6</v>
      </c>
      <c r="F1009" s="118" t="s">
        <v>1582</v>
      </c>
      <c r="G1009" s="481">
        <f>TRUNC(C1009/E1009)</f>
        <v>641</v>
      </c>
      <c r="H1009" s="109"/>
      <c r="I1009" s="109"/>
      <c r="J1009" s="109"/>
      <c r="K1009" s="109"/>
      <c r="L1009" s="109"/>
      <c r="M1009" s="109"/>
      <c r="N1009" s="109"/>
      <c r="O1009" s="109"/>
      <c r="P1009" s="109"/>
      <c r="Q1009" s="476"/>
    </row>
    <row r="1010" spans="1:18" ht="21.2" hidden="1" customHeight="1" outlineLevel="1">
      <c r="A1010" s="475"/>
      <c r="B1010" s="109"/>
      <c r="C1010" s="109"/>
      <c r="D1010" s="109"/>
      <c r="E1010" s="109"/>
      <c r="F1010" s="109"/>
      <c r="G1010" s="109"/>
      <c r="H1010" s="118" t="s">
        <v>1117</v>
      </c>
      <c r="I1010" s="118" t="s">
        <v>1118</v>
      </c>
      <c r="J1010" s="118" t="s">
        <v>1113</v>
      </c>
      <c r="K1010" s="797">
        <f>G1003+G1006+G1009</f>
        <v>2546</v>
      </c>
      <c r="L1010" s="797"/>
      <c r="M1010" s="797"/>
      <c r="N1010" s="118" t="s">
        <v>1119</v>
      </c>
      <c r="O1010" s="109"/>
      <c r="P1010" s="109"/>
      <c r="Q1010" s="476"/>
    </row>
    <row r="1011" spans="1:18" ht="21.2" hidden="1" customHeight="1" outlineLevel="1">
      <c r="A1011" s="475"/>
      <c r="B1011" s="109"/>
      <c r="C1011" s="109"/>
      <c r="D1011" s="109"/>
      <c r="E1011" s="109"/>
      <c r="F1011" s="109"/>
      <c r="G1011" s="109"/>
      <c r="H1011" s="109"/>
      <c r="I1011" s="109"/>
      <c r="J1011" s="109"/>
      <c r="K1011" s="109"/>
      <c r="L1011" s="109"/>
      <c r="M1011" s="109"/>
      <c r="N1011" s="109"/>
      <c r="O1011" s="109"/>
      <c r="P1011" s="109"/>
      <c r="Q1011" s="476"/>
    </row>
    <row r="1012" spans="1:18" ht="21.2" hidden="1" customHeight="1" outlineLevel="1">
      <c r="A1012" s="475"/>
      <c r="B1012" s="109"/>
      <c r="C1012" s="109"/>
      <c r="D1012" s="109"/>
      <c r="E1012" s="109"/>
      <c r="F1012" s="109"/>
      <c r="G1012" s="109"/>
      <c r="H1012" s="109"/>
      <c r="I1012" s="109"/>
      <c r="J1012" s="109"/>
      <c r="K1012" s="109"/>
      <c r="L1012" s="109"/>
      <c r="M1012" s="109"/>
      <c r="N1012" s="109"/>
      <c r="O1012" s="109"/>
      <c r="P1012" s="109"/>
      <c r="Q1012" s="476"/>
    </row>
    <row r="1013" spans="1:18" ht="21.2" hidden="1" customHeight="1" outlineLevel="1">
      <c r="A1013" s="475"/>
      <c r="B1013" s="109"/>
      <c r="C1013" s="109"/>
      <c r="D1013" s="109"/>
      <c r="E1013" s="109"/>
      <c r="F1013" s="109"/>
      <c r="G1013" s="109"/>
      <c r="H1013" s="109"/>
      <c r="I1013" s="109"/>
      <c r="J1013" s="109"/>
      <c r="K1013" s="109"/>
      <c r="L1013" s="109"/>
      <c r="M1013" s="109"/>
      <c r="N1013" s="109"/>
      <c r="O1013" s="109"/>
      <c r="P1013" s="109"/>
      <c r="Q1013" s="476"/>
    </row>
    <row r="1014" spans="1:18" ht="21.2" hidden="1" customHeight="1" outlineLevel="1">
      <c r="A1014" s="475"/>
      <c r="B1014" s="109"/>
      <c r="C1014" s="109"/>
      <c r="D1014" s="109"/>
      <c r="E1014" s="109"/>
      <c r="F1014" s="109"/>
      <c r="G1014" s="109"/>
      <c r="H1014" s="109"/>
      <c r="I1014" s="109"/>
      <c r="J1014" s="109"/>
      <c r="K1014" s="109"/>
      <c r="L1014" s="109"/>
      <c r="M1014" s="109"/>
      <c r="N1014" s="109"/>
      <c r="O1014" s="109"/>
      <c r="P1014" s="109"/>
      <c r="Q1014" s="476"/>
    </row>
    <row r="1015" spans="1:18" ht="21.2" hidden="1" customHeight="1" outlineLevel="1">
      <c r="A1015" s="475"/>
      <c r="B1015" s="109"/>
      <c r="C1015" s="109"/>
      <c r="D1015" s="109"/>
      <c r="E1015" s="109"/>
      <c r="F1015" s="109"/>
      <c r="G1015" s="109"/>
      <c r="H1015" s="109"/>
      <c r="I1015" s="109"/>
      <c r="J1015" s="109"/>
      <c r="K1015" s="109"/>
      <c r="L1015" s="109"/>
      <c r="M1015" s="109"/>
      <c r="N1015" s="109"/>
      <c r="O1015" s="109"/>
      <c r="P1015" s="109"/>
      <c r="Q1015" s="476"/>
    </row>
    <row r="1016" spans="1:18" ht="21.2" hidden="1" customHeight="1" outlineLevel="1">
      <c r="A1016" s="482"/>
      <c r="B1016" s="136"/>
      <c r="C1016" s="136"/>
      <c r="D1016" s="136"/>
      <c r="E1016" s="136"/>
      <c r="F1016" s="136"/>
      <c r="G1016" s="136"/>
      <c r="H1016" s="136"/>
      <c r="I1016" s="136"/>
      <c r="J1016" s="136"/>
      <c r="K1016" s="136"/>
      <c r="L1016" s="136"/>
      <c r="M1016" s="136"/>
      <c r="N1016" s="136"/>
      <c r="O1016" s="136"/>
      <c r="P1016" s="136"/>
      <c r="Q1016" s="483"/>
    </row>
    <row r="1017" spans="1:18" ht="21.2" hidden="1" customHeight="1" outlineLevel="1"/>
    <row r="1018" spans="1:18" ht="21.2" hidden="1" customHeight="1" outlineLevel="1">
      <c r="A1018" s="796" t="s">
        <v>817</v>
      </c>
      <c r="B1018" s="796"/>
      <c r="C1018" s="796"/>
      <c r="D1018" s="796"/>
      <c r="E1018" s="796"/>
      <c r="F1018" s="796"/>
      <c r="G1018" s="796"/>
      <c r="H1018" s="796"/>
      <c r="I1018" s="796"/>
      <c r="J1018" s="796"/>
      <c r="K1018" s="796"/>
      <c r="L1018" s="796"/>
      <c r="M1018" s="796"/>
      <c r="N1018" s="796"/>
      <c r="O1018" s="796"/>
      <c r="P1018" s="796"/>
      <c r="Q1018" s="796"/>
      <c r="R1018" s="472"/>
    </row>
    <row r="1019" spans="1:18" ht="21.2" hidden="1" customHeight="1" outlineLevel="1">
      <c r="A1019" s="473" t="s">
        <v>1437</v>
      </c>
      <c r="B1019" s="142" t="s">
        <v>1526</v>
      </c>
      <c r="C1019" s="125" t="s">
        <v>2319</v>
      </c>
      <c r="D1019" s="125"/>
      <c r="E1019" s="125"/>
      <c r="F1019" s="125"/>
      <c r="G1019" s="125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474"/>
    </row>
    <row r="1020" spans="1:18" ht="21.2" hidden="1" customHeight="1" outlineLevel="1">
      <c r="A1020" s="475" t="s">
        <v>1100</v>
      </c>
      <c r="B1020" s="118" t="s">
        <v>1526</v>
      </c>
      <c r="C1020" s="799" t="s">
        <v>2320</v>
      </c>
      <c r="D1020" s="799"/>
      <c r="E1020" s="799"/>
      <c r="F1020" s="799"/>
      <c r="G1020" s="109" t="s">
        <v>1527</v>
      </c>
      <c r="H1020" s="109" t="s">
        <v>1526</v>
      </c>
      <c r="I1020" s="109" t="s">
        <v>2321</v>
      </c>
      <c r="J1020" s="109"/>
      <c r="K1020" s="109"/>
      <c r="L1020" s="109"/>
      <c r="M1020" s="109"/>
      <c r="N1020" s="109"/>
      <c r="O1020" s="109"/>
      <c r="P1020" s="109"/>
      <c r="Q1020" s="476"/>
    </row>
    <row r="1021" spans="1:18" ht="21.2" hidden="1" customHeight="1" outlineLevel="1">
      <c r="A1021" s="477">
        <f>A986+1</f>
        <v>30</v>
      </c>
      <c r="B1021" s="109"/>
      <c r="C1021" s="109"/>
      <c r="D1021" s="109"/>
      <c r="E1021" s="109"/>
      <c r="F1021" s="109"/>
      <c r="G1021" s="109"/>
      <c r="H1021" s="109"/>
      <c r="I1021" s="109"/>
      <c r="J1021" s="109"/>
      <c r="K1021" s="109"/>
      <c r="L1021" s="109"/>
      <c r="M1021" s="109"/>
      <c r="N1021" s="109"/>
      <c r="O1021" s="109"/>
      <c r="P1021" s="109"/>
      <c r="Q1021" s="476"/>
    </row>
    <row r="1022" spans="1:18" ht="21.2" hidden="1" customHeight="1" outlineLevel="1">
      <c r="A1022" s="473" t="s">
        <v>1102</v>
      </c>
      <c r="B1022" s="125"/>
      <c r="C1022" s="125" t="s">
        <v>2121</v>
      </c>
      <c r="D1022" s="125"/>
      <c r="E1022" s="125"/>
      <c r="F1022" s="125"/>
      <c r="G1022" s="125"/>
      <c r="H1022" s="125"/>
      <c r="I1022" s="125"/>
      <c r="J1022" s="125"/>
      <c r="K1022" s="125"/>
      <c r="L1022" s="125"/>
      <c r="M1022" s="125"/>
      <c r="N1022" s="125"/>
      <c r="O1022" s="125"/>
      <c r="P1022" s="125"/>
      <c r="Q1022" s="474"/>
    </row>
    <row r="1023" spans="1:18" ht="21.2" hidden="1" customHeight="1" outlineLevel="1">
      <c r="A1023" s="475" t="s">
        <v>2322</v>
      </c>
      <c r="B1023" s="109"/>
      <c r="C1023" s="109"/>
      <c r="D1023" s="109"/>
      <c r="E1023" s="109"/>
      <c r="F1023" s="109"/>
      <c r="G1023" s="109"/>
      <c r="H1023" s="109"/>
      <c r="I1023" s="109"/>
      <c r="J1023" s="109"/>
      <c r="K1023" s="109"/>
      <c r="L1023" s="109"/>
      <c r="M1023" s="109"/>
      <c r="N1023" s="109"/>
      <c r="O1023" s="109"/>
      <c r="P1023" s="109"/>
      <c r="Q1023" s="476"/>
    </row>
    <row r="1024" spans="1:18" ht="21.2" hidden="1" customHeight="1" outlineLevel="1">
      <c r="A1024" s="475"/>
      <c r="B1024" s="109"/>
      <c r="C1024" s="109"/>
      <c r="D1024" s="109"/>
      <c r="E1024" s="109"/>
      <c r="F1024" s="109"/>
      <c r="G1024" s="109"/>
      <c r="H1024" s="109"/>
      <c r="I1024" s="109"/>
      <c r="J1024" s="109"/>
      <c r="K1024" s="109"/>
      <c r="L1024" s="109"/>
      <c r="M1024" s="109"/>
      <c r="N1024" s="109"/>
      <c r="O1024" s="109"/>
      <c r="P1024" s="109"/>
      <c r="Q1024" s="476"/>
    </row>
    <row r="1025" spans="1:17" ht="21.2" hidden="1" customHeight="1" outlineLevel="1">
      <c r="A1025" s="473" t="s">
        <v>1104</v>
      </c>
      <c r="B1025" s="125"/>
      <c r="C1025" s="125"/>
      <c r="D1025" s="125"/>
      <c r="E1025" s="125"/>
      <c r="F1025" s="125"/>
      <c r="G1025" s="125"/>
      <c r="H1025" s="125"/>
      <c r="I1025" s="125"/>
      <c r="J1025" s="125"/>
      <c r="K1025" s="125"/>
      <c r="L1025" s="125"/>
      <c r="M1025" s="125"/>
      <c r="N1025" s="125"/>
      <c r="O1025" s="125"/>
      <c r="P1025" s="125"/>
      <c r="Q1025" s="474"/>
    </row>
    <row r="1026" spans="1:17" ht="21.2" hidden="1" customHeight="1" outlineLevel="1">
      <c r="A1026" s="475" t="s">
        <v>1153</v>
      </c>
      <c r="B1026" s="118" t="s">
        <v>1582</v>
      </c>
      <c r="C1026" s="478">
        <v>5</v>
      </c>
      <c r="D1026" s="109" t="s">
        <v>1106</v>
      </c>
      <c r="E1026" s="109"/>
      <c r="F1026" s="109"/>
      <c r="G1026" s="109"/>
      <c r="H1026" s="109"/>
      <c r="I1026" s="109"/>
      <c r="J1026" s="109"/>
      <c r="K1026" s="109"/>
      <c r="L1026" s="109"/>
      <c r="M1026" s="109"/>
      <c r="N1026" s="109"/>
      <c r="O1026" s="109"/>
      <c r="P1026" s="109"/>
      <c r="Q1026" s="476"/>
    </row>
    <row r="1027" spans="1:17" ht="21.2" hidden="1" customHeight="1" outlineLevel="1">
      <c r="A1027" s="475" t="s">
        <v>2289</v>
      </c>
      <c r="B1027" s="118" t="s">
        <v>1582</v>
      </c>
      <c r="C1027" s="478">
        <v>1</v>
      </c>
      <c r="D1027" s="109"/>
      <c r="E1027" s="109"/>
      <c r="F1027" s="109"/>
      <c r="G1027" s="109"/>
      <c r="H1027" s="109"/>
      <c r="I1027" s="109"/>
      <c r="J1027" s="109"/>
      <c r="K1027" s="109"/>
      <c r="L1027" s="109"/>
      <c r="M1027" s="109"/>
      <c r="N1027" s="109"/>
      <c r="O1027" s="109"/>
      <c r="P1027" s="109"/>
      <c r="Q1027" s="476"/>
    </row>
    <row r="1028" spans="1:17" ht="21.2" hidden="1" customHeight="1" outlineLevel="1">
      <c r="A1028" s="475" t="s">
        <v>2287</v>
      </c>
      <c r="B1028" s="118" t="s">
        <v>1582</v>
      </c>
      <c r="C1028" s="478">
        <v>0.45</v>
      </c>
      <c r="D1028" s="109"/>
      <c r="E1028" s="109"/>
      <c r="F1028" s="109"/>
      <c r="G1028" s="109"/>
      <c r="H1028" s="109"/>
      <c r="I1028" s="109"/>
      <c r="J1028" s="109"/>
      <c r="K1028" s="109"/>
      <c r="L1028" s="109"/>
      <c r="M1028" s="109"/>
      <c r="N1028" s="109"/>
      <c r="O1028" s="109"/>
      <c r="P1028" s="109"/>
      <c r="Q1028" s="476"/>
    </row>
    <row r="1029" spans="1:17" ht="21.2" hidden="1" customHeight="1" outlineLevel="1">
      <c r="A1029" s="475" t="s">
        <v>1109</v>
      </c>
      <c r="B1029" s="118" t="s">
        <v>1582</v>
      </c>
      <c r="C1029" s="478">
        <v>0.6</v>
      </c>
      <c r="D1029" s="109"/>
      <c r="E1029" s="109"/>
      <c r="F1029" s="109"/>
      <c r="G1029" s="109"/>
      <c r="H1029" s="109"/>
      <c r="I1029" s="109"/>
      <c r="J1029" s="109"/>
      <c r="K1029" s="109"/>
      <c r="L1029" s="109"/>
      <c r="M1029" s="109"/>
      <c r="N1029" s="109"/>
      <c r="O1029" s="109"/>
      <c r="P1029" s="109"/>
      <c r="Q1029" s="476"/>
    </row>
    <row r="1030" spans="1:17" ht="21.2" hidden="1" customHeight="1" outlineLevel="1">
      <c r="A1030" s="475" t="s">
        <v>2323</v>
      </c>
      <c r="B1030" s="118" t="s">
        <v>1582</v>
      </c>
      <c r="C1030" s="478">
        <v>1</v>
      </c>
      <c r="D1030" s="109"/>
      <c r="E1030" s="109"/>
      <c r="F1030" s="109"/>
      <c r="G1030" s="109"/>
      <c r="H1030" s="109"/>
      <c r="I1030" s="109"/>
      <c r="J1030" s="109"/>
      <c r="K1030" s="109"/>
      <c r="L1030" s="109"/>
      <c r="M1030" s="109"/>
      <c r="N1030" s="109"/>
      <c r="O1030" s="109"/>
      <c r="P1030" s="109"/>
      <c r="Q1030" s="476"/>
    </row>
    <row r="1031" spans="1:17" ht="21.2" hidden="1" customHeight="1" outlineLevel="1">
      <c r="A1031" s="475" t="s">
        <v>2324</v>
      </c>
      <c r="B1031" s="109" t="s">
        <v>1582</v>
      </c>
      <c r="C1031" s="109">
        <v>1</v>
      </c>
      <c r="D1031" s="109"/>
      <c r="E1031" s="109"/>
      <c r="F1031" s="109"/>
      <c r="G1031" s="109"/>
      <c r="H1031" s="109"/>
      <c r="I1031" s="109"/>
      <c r="J1031" s="109"/>
      <c r="K1031" s="109"/>
      <c r="L1031" s="109"/>
      <c r="M1031" s="109"/>
      <c r="N1031" s="109"/>
      <c r="O1031" s="109"/>
      <c r="P1031" s="109"/>
      <c r="Q1031" s="476"/>
    </row>
    <row r="1032" spans="1:17" ht="21.2" hidden="1" customHeight="1" outlineLevel="1">
      <c r="A1032" s="473" t="s">
        <v>1110</v>
      </c>
      <c r="B1032" s="125"/>
      <c r="C1032" s="125"/>
      <c r="D1032" s="125"/>
      <c r="E1032" s="125"/>
      <c r="F1032" s="125"/>
      <c r="G1032" s="125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474"/>
    </row>
    <row r="1033" spans="1:17" ht="21.2" hidden="1" customHeight="1" outlineLevel="1">
      <c r="A1033" s="475" t="s">
        <v>1111</v>
      </c>
      <c r="B1033" s="118" t="s">
        <v>1582</v>
      </c>
      <c r="C1033" s="118">
        <v>1000</v>
      </c>
      <c r="D1033" s="118" t="s">
        <v>86</v>
      </c>
      <c r="E1033" s="118" t="s">
        <v>2289</v>
      </c>
      <c r="F1033" s="118" t="s">
        <v>86</v>
      </c>
      <c r="G1033" s="118" t="s">
        <v>2287</v>
      </c>
      <c r="H1033" s="118" t="s">
        <v>86</v>
      </c>
      <c r="I1033" s="118" t="s">
        <v>1109</v>
      </c>
      <c r="J1033" s="118" t="s">
        <v>86</v>
      </c>
      <c r="K1033" s="118" t="s">
        <v>2323</v>
      </c>
      <c r="L1033" s="118" t="s">
        <v>86</v>
      </c>
      <c r="M1033" s="118" t="s">
        <v>2324</v>
      </c>
      <c r="N1033" s="109" t="s">
        <v>1112</v>
      </c>
      <c r="O1033" s="109" t="s">
        <v>1153</v>
      </c>
      <c r="P1033" s="707" t="s">
        <v>4025</v>
      </c>
      <c r="Q1033" s="476"/>
    </row>
    <row r="1034" spans="1:17" ht="21.2" hidden="1" customHeight="1" outlineLevel="1">
      <c r="A1034" s="475"/>
      <c r="B1034" s="118" t="s">
        <v>1113</v>
      </c>
      <c r="C1034" s="118">
        <f>C1033</f>
        <v>1000</v>
      </c>
      <c r="D1034" s="118" t="str">
        <f>D1033</f>
        <v>*</v>
      </c>
      <c r="E1034" s="275">
        <f>C1027</f>
        <v>1</v>
      </c>
      <c r="F1034" s="118" t="str">
        <f>F1033</f>
        <v>*</v>
      </c>
      <c r="G1034" s="275">
        <f>C1028</f>
        <v>0.45</v>
      </c>
      <c r="H1034" s="118" t="str">
        <f>H1033</f>
        <v>*</v>
      </c>
      <c r="I1034" s="275">
        <f>C1029</f>
        <v>0.6</v>
      </c>
      <c r="J1034" s="118" t="str">
        <f>J1033</f>
        <v>*</v>
      </c>
      <c r="K1034" s="275">
        <f>C1030</f>
        <v>1</v>
      </c>
      <c r="L1034" s="118" t="str">
        <f>L1033</f>
        <v>*</v>
      </c>
      <c r="M1034" s="275">
        <f>C1031</f>
        <v>1</v>
      </c>
      <c r="N1034" s="118" t="s">
        <v>1112</v>
      </c>
      <c r="O1034" s="318">
        <f>C1026</f>
        <v>5</v>
      </c>
      <c r="P1034" s="118" t="s">
        <v>1582</v>
      </c>
      <c r="Q1034" s="492">
        <f>INT((C1034*E1034*G1034*I1034*K1034*M1034/O1034)*100)/100</f>
        <v>54</v>
      </c>
    </row>
    <row r="1035" spans="1:17" ht="21.2" hidden="1" customHeight="1" outlineLevel="1">
      <c r="A1035" s="475"/>
      <c r="B1035" s="109"/>
      <c r="C1035" s="109"/>
      <c r="D1035" s="109"/>
      <c r="E1035" s="109"/>
      <c r="F1035" s="109"/>
      <c r="G1035" s="109"/>
      <c r="H1035" s="109"/>
      <c r="I1035" s="109"/>
      <c r="J1035" s="109"/>
      <c r="K1035" s="109"/>
      <c r="L1035" s="109"/>
      <c r="M1035" s="109"/>
      <c r="N1035" s="109"/>
      <c r="O1035" s="109"/>
      <c r="P1035" s="118" t="s">
        <v>1582</v>
      </c>
      <c r="Q1035" s="493">
        <f>Q1034/100</f>
        <v>0.54</v>
      </c>
    </row>
    <row r="1036" spans="1:17" ht="21.2" hidden="1" customHeight="1" outlineLevel="1">
      <c r="A1036" s="473" t="s">
        <v>1114</v>
      </c>
      <c r="B1036" s="125"/>
      <c r="C1036" s="125"/>
      <c r="D1036" s="125"/>
      <c r="E1036" s="125"/>
      <c r="F1036" s="125"/>
      <c r="G1036" s="125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474"/>
    </row>
    <row r="1037" spans="1:17" ht="21.2" hidden="1" customHeight="1" outlineLevel="1">
      <c r="A1037" s="475" t="s">
        <v>1436</v>
      </c>
      <c r="B1037" s="109" t="s">
        <v>1582</v>
      </c>
      <c r="C1037" s="480">
        <f>중기사용료!M803</f>
        <v>555</v>
      </c>
      <c r="D1037" s="479" t="s">
        <v>1112</v>
      </c>
      <c r="E1037" s="118" t="s">
        <v>1111</v>
      </c>
      <c r="F1037" s="109"/>
      <c r="G1037" s="109"/>
      <c r="H1037" s="109"/>
      <c r="I1037" s="109"/>
      <c r="J1037" s="109"/>
      <c r="K1037" s="109"/>
      <c r="L1037" s="109"/>
      <c r="M1037" s="109"/>
      <c r="N1037" s="109"/>
      <c r="O1037" s="109"/>
      <c r="P1037" s="109"/>
      <c r="Q1037" s="476"/>
    </row>
    <row r="1038" spans="1:17" ht="21.2" hidden="1" customHeight="1" outlineLevel="1">
      <c r="A1038" s="475"/>
      <c r="B1038" s="118" t="s">
        <v>1113</v>
      </c>
      <c r="C1038" s="480">
        <f>C1037</f>
        <v>555</v>
      </c>
      <c r="D1038" s="118" t="str">
        <f>D1037</f>
        <v>/</v>
      </c>
      <c r="E1038" s="494">
        <f>Q1035</f>
        <v>0.54</v>
      </c>
      <c r="F1038" s="109" t="s">
        <v>1582</v>
      </c>
      <c r="G1038" s="481">
        <f>TRUNC(C1038/E1038)</f>
        <v>1027</v>
      </c>
      <c r="H1038" s="109"/>
      <c r="I1038" s="109"/>
      <c r="J1038" s="109"/>
      <c r="K1038" s="109"/>
      <c r="L1038" s="109"/>
      <c r="M1038" s="109"/>
      <c r="N1038" s="109"/>
      <c r="O1038" s="109"/>
      <c r="P1038" s="109"/>
      <c r="Q1038" s="476"/>
    </row>
    <row r="1039" spans="1:17" ht="21.2" hidden="1" customHeight="1" outlineLevel="1">
      <c r="A1039" s="475"/>
      <c r="B1039" s="109"/>
      <c r="C1039" s="109"/>
      <c r="D1039" s="109"/>
      <c r="E1039" s="109"/>
      <c r="F1039" s="109"/>
      <c r="G1039" s="109"/>
      <c r="H1039" s="109"/>
      <c r="I1039" s="109"/>
      <c r="J1039" s="109"/>
      <c r="K1039" s="109"/>
      <c r="L1039" s="109"/>
      <c r="M1039" s="109"/>
      <c r="N1039" s="109"/>
      <c r="O1039" s="109"/>
      <c r="P1039" s="109"/>
      <c r="Q1039" s="476"/>
    </row>
    <row r="1040" spans="1:17" ht="21.2" hidden="1" customHeight="1" outlineLevel="1">
      <c r="A1040" s="475" t="s">
        <v>1115</v>
      </c>
      <c r="B1040" s="109" t="s">
        <v>1582</v>
      </c>
      <c r="C1040" s="480">
        <f>중기사용료!M809</f>
        <v>18939</v>
      </c>
      <c r="D1040" s="479" t="s">
        <v>1112</v>
      </c>
      <c r="E1040" s="118" t="s">
        <v>1111</v>
      </c>
      <c r="F1040" s="118"/>
      <c r="G1040" s="118"/>
      <c r="H1040" s="109"/>
      <c r="I1040" s="109"/>
      <c r="J1040" s="109"/>
      <c r="K1040" s="109"/>
      <c r="L1040" s="109"/>
      <c r="M1040" s="109"/>
      <c r="N1040" s="109"/>
      <c r="O1040" s="109"/>
      <c r="P1040" s="109"/>
      <c r="Q1040" s="476"/>
    </row>
    <row r="1041" spans="1:18" ht="21.2" hidden="1" customHeight="1" outlineLevel="1">
      <c r="A1041" s="475"/>
      <c r="B1041" s="118" t="s">
        <v>1113</v>
      </c>
      <c r="C1041" s="480">
        <f>C1040</f>
        <v>18939</v>
      </c>
      <c r="D1041" s="479" t="str">
        <f>D1040</f>
        <v>/</v>
      </c>
      <c r="E1041" s="494">
        <f>Q1035</f>
        <v>0.54</v>
      </c>
      <c r="F1041" s="118" t="s">
        <v>1582</v>
      </c>
      <c r="G1041" s="481">
        <f>TRUNC(C1041/E1041)</f>
        <v>35072</v>
      </c>
      <c r="H1041" s="109"/>
      <c r="I1041" s="109"/>
      <c r="J1041" s="109"/>
      <c r="K1041" s="109"/>
      <c r="L1041" s="109"/>
      <c r="M1041" s="109"/>
      <c r="N1041" s="109"/>
      <c r="O1041" s="109"/>
      <c r="P1041" s="109"/>
      <c r="Q1041" s="476"/>
    </row>
    <row r="1042" spans="1:18" ht="21.2" hidden="1" customHeight="1" outlineLevel="1">
      <c r="A1042" s="475"/>
      <c r="B1042" s="109"/>
      <c r="C1042" s="109"/>
      <c r="D1042" s="109"/>
      <c r="E1042" s="109"/>
      <c r="F1042" s="109"/>
      <c r="G1042" s="109"/>
      <c r="H1042" s="109"/>
      <c r="I1042" s="109"/>
      <c r="J1042" s="109"/>
      <c r="K1042" s="109"/>
      <c r="L1042" s="109"/>
      <c r="M1042" s="109"/>
      <c r="N1042" s="109"/>
      <c r="O1042" s="109"/>
      <c r="P1042" s="109"/>
      <c r="Q1042" s="476"/>
    </row>
    <row r="1043" spans="1:18" ht="21.2" hidden="1" customHeight="1" outlineLevel="1">
      <c r="A1043" s="475" t="s">
        <v>1116</v>
      </c>
      <c r="B1043" s="118" t="s">
        <v>1582</v>
      </c>
      <c r="C1043" s="480">
        <f>중기사용료!M815</f>
        <v>1589</v>
      </c>
      <c r="D1043" s="479" t="s">
        <v>1112</v>
      </c>
      <c r="E1043" s="118" t="s">
        <v>1111</v>
      </c>
      <c r="F1043" s="118"/>
      <c r="G1043" s="118"/>
      <c r="H1043" s="109"/>
      <c r="I1043" s="109"/>
      <c r="J1043" s="109"/>
      <c r="K1043" s="109"/>
      <c r="L1043" s="109"/>
      <c r="M1043" s="109"/>
      <c r="N1043" s="109"/>
      <c r="O1043" s="109"/>
      <c r="P1043" s="109"/>
      <c r="Q1043" s="476"/>
    </row>
    <row r="1044" spans="1:18" ht="21.2" hidden="1" customHeight="1" outlineLevel="1">
      <c r="A1044" s="475"/>
      <c r="B1044" s="118" t="s">
        <v>1113</v>
      </c>
      <c r="C1044" s="480">
        <f>C1043</f>
        <v>1589</v>
      </c>
      <c r="D1044" s="118" t="str">
        <f>D1043</f>
        <v>/</v>
      </c>
      <c r="E1044" s="494">
        <f>Q1035</f>
        <v>0.54</v>
      </c>
      <c r="F1044" s="118" t="s">
        <v>1582</v>
      </c>
      <c r="G1044" s="481">
        <f>TRUNC(C1044/E1044)</f>
        <v>2942</v>
      </c>
      <c r="H1044" s="109"/>
      <c r="I1044" s="109"/>
      <c r="J1044" s="109"/>
      <c r="K1044" s="109"/>
      <c r="L1044" s="109"/>
      <c r="M1044" s="109"/>
      <c r="N1044" s="109"/>
      <c r="O1044" s="109"/>
      <c r="P1044" s="109"/>
      <c r="Q1044" s="476"/>
    </row>
    <row r="1045" spans="1:18" ht="21.2" hidden="1" customHeight="1" outlineLevel="1">
      <c r="A1045" s="475"/>
      <c r="B1045" s="109"/>
      <c r="C1045" s="109"/>
      <c r="D1045" s="109"/>
      <c r="E1045" s="109"/>
      <c r="F1045" s="109"/>
      <c r="G1045" s="109"/>
      <c r="H1045" s="118" t="s">
        <v>1117</v>
      </c>
      <c r="I1045" s="118" t="s">
        <v>1118</v>
      </c>
      <c r="J1045" s="118" t="s">
        <v>1113</v>
      </c>
      <c r="K1045" s="797">
        <f>G1038+G1041+G1044</f>
        <v>39041</v>
      </c>
      <c r="L1045" s="797"/>
      <c r="M1045" s="797"/>
      <c r="N1045" s="118" t="s">
        <v>1119</v>
      </c>
      <c r="O1045" s="109"/>
      <c r="P1045" s="109"/>
      <c r="Q1045" s="476"/>
    </row>
    <row r="1046" spans="1:18" ht="21.2" hidden="1" customHeight="1" outlineLevel="1">
      <c r="A1046" s="475"/>
      <c r="B1046" s="109"/>
      <c r="C1046" s="109"/>
      <c r="D1046" s="109"/>
      <c r="E1046" s="109"/>
      <c r="F1046" s="109"/>
      <c r="G1046" s="109"/>
      <c r="H1046" s="109"/>
      <c r="I1046" s="109"/>
      <c r="J1046" s="109"/>
      <c r="K1046" s="109"/>
      <c r="L1046" s="109"/>
      <c r="M1046" s="109"/>
      <c r="N1046" s="109"/>
      <c r="O1046" s="109"/>
      <c r="P1046" s="109"/>
      <c r="Q1046" s="476"/>
    </row>
    <row r="1047" spans="1:18" ht="21.2" hidden="1" customHeight="1" outlineLevel="1">
      <c r="A1047" s="475"/>
      <c r="B1047" s="109"/>
      <c r="C1047" s="109"/>
      <c r="D1047" s="109"/>
      <c r="E1047" s="109"/>
      <c r="F1047" s="109"/>
      <c r="G1047" s="109"/>
      <c r="H1047" s="109"/>
      <c r="I1047" s="109"/>
      <c r="J1047" s="109"/>
      <c r="K1047" s="109"/>
      <c r="L1047" s="109"/>
      <c r="M1047" s="109"/>
      <c r="N1047" s="109"/>
      <c r="O1047" s="109"/>
      <c r="P1047" s="109"/>
      <c r="Q1047" s="476"/>
    </row>
    <row r="1048" spans="1:18" ht="21.2" hidden="1" customHeight="1" outlineLevel="1">
      <c r="A1048" s="475"/>
      <c r="B1048" s="109"/>
      <c r="C1048" s="109"/>
      <c r="D1048" s="109"/>
      <c r="E1048" s="109"/>
      <c r="F1048" s="109"/>
      <c r="G1048" s="109"/>
      <c r="H1048" s="109"/>
      <c r="I1048" s="109"/>
      <c r="J1048" s="109"/>
      <c r="K1048" s="109"/>
      <c r="L1048" s="109"/>
      <c r="M1048" s="109"/>
      <c r="N1048" s="109"/>
      <c r="O1048" s="109"/>
      <c r="P1048" s="109"/>
      <c r="Q1048" s="476"/>
    </row>
    <row r="1049" spans="1:18" ht="21.2" hidden="1" customHeight="1" outlineLevel="1">
      <c r="A1049" s="475"/>
      <c r="B1049" s="109"/>
      <c r="C1049" s="109"/>
      <c r="D1049" s="109"/>
      <c r="E1049" s="109"/>
      <c r="F1049" s="109"/>
      <c r="G1049" s="109"/>
      <c r="H1049" s="109"/>
      <c r="I1049" s="109"/>
      <c r="J1049" s="109"/>
      <c r="K1049" s="109"/>
      <c r="L1049" s="109"/>
      <c r="M1049" s="109"/>
      <c r="N1049" s="109"/>
      <c r="O1049" s="109"/>
      <c r="P1049" s="109"/>
      <c r="Q1049" s="476"/>
    </row>
    <row r="1050" spans="1:18" ht="21.2" hidden="1" customHeight="1" outlineLevel="1">
      <c r="A1050" s="475"/>
      <c r="B1050" s="109"/>
      <c r="C1050" s="109"/>
      <c r="D1050" s="109"/>
      <c r="E1050" s="109"/>
      <c r="F1050" s="109"/>
      <c r="G1050" s="109"/>
      <c r="H1050" s="109"/>
      <c r="I1050" s="109"/>
      <c r="J1050" s="109"/>
      <c r="K1050" s="109"/>
      <c r="L1050" s="109"/>
      <c r="M1050" s="109"/>
      <c r="N1050" s="109"/>
      <c r="O1050" s="109"/>
      <c r="P1050" s="109"/>
      <c r="Q1050" s="476"/>
    </row>
    <row r="1051" spans="1:18" ht="21.2" hidden="1" customHeight="1" outlineLevel="1">
      <c r="A1051" s="482"/>
      <c r="B1051" s="136"/>
      <c r="C1051" s="136"/>
      <c r="D1051" s="136"/>
      <c r="E1051" s="136"/>
      <c r="F1051" s="136"/>
      <c r="G1051" s="136"/>
      <c r="H1051" s="136"/>
      <c r="I1051" s="136"/>
      <c r="J1051" s="136"/>
      <c r="K1051" s="136"/>
      <c r="L1051" s="136"/>
      <c r="M1051" s="136"/>
      <c r="N1051" s="136"/>
      <c r="O1051" s="136"/>
      <c r="P1051" s="136"/>
      <c r="Q1051" s="483"/>
    </row>
    <row r="1052" spans="1:18" ht="21.2" customHeight="1" collapsed="1">
      <c r="R1052" s="116">
        <v>1</v>
      </c>
    </row>
    <row r="1053" spans="1:18" s="472" customFormat="1" ht="21.2" customHeight="1">
      <c r="A1053" s="796" t="s">
        <v>3329</v>
      </c>
      <c r="B1053" s="796"/>
      <c r="C1053" s="796"/>
      <c r="D1053" s="796"/>
      <c r="E1053" s="796"/>
      <c r="F1053" s="796"/>
      <c r="G1053" s="796"/>
      <c r="H1053" s="796"/>
      <c r="I1053" s="796"/>
      <c r="J1053" s="796"/>
      <c r="K1053" s="796"/>
      <c r="L1053" s="796"/>
      <c r="M1053" s="796"/>
      <c r="N1053" s="796"/>
      <c r="O1053" s="796"/>
      <c r="P1053" s="796"/>
      <c r="Q1053" s="796"/>
      <c r="R1053" s="116">
        <v>1</v>
      </c>
    </row>
    <row r="1054" spans="1:18" ht="21.2" customHeight="1">
      <c r="A1054" s="473" t="s">
        <v>1437</v>
      </c>
      <c r="B1054" s="142" t="s">
        <v>1526</v>
      </c>
      <c r="C1054" s="125" t="s">
        <v>4031</v>
      </c>
      <c r="D1054" s="125"/>
      <c r="E1054" s="125"/>
      <c r="F1054" s="125"/>
      <c r="G1054" s="125"/>
      <c r="H1054" s="125"/>
      <c r="I1054" s="125"/>
      <c r="J1054" s="125"/>
      <c r="K1054" s="125"/>
      <c r="L1054" s="125"/>
      <c r="M1054" s="125"/>
      <c r="N1054" s="125"/>
      <c r="O1054" s="125"/>
      <c r="P1054" s="125"/>
      <c r="Q1054" s="474"/>
      <c r="R1054" s="116">
        <v>1</v>
      </c>
    </row>
    <row r="1055" spans="1:18" ht="21.2" customHeight="1">
      <c r="A1055" s="475" t="s">
        <v>1100</v>
      </c>
      <c r="B1055" s="118" t="s">
        <v>1526</v>
      </c>
      <c r="C1055" s="707" t="s">
        <v>569</v>
      </c>
      <c r="D1055" s="109"/>
      <c r="E1055" s="109"/>
      <c r="F1055" s="109"/>
      <c r="G1055" s="109" t="s">
        <v>1527</v>
      </c>
      <c r="H1055" s="109" t="s">
        <v>1526</v>
      </c>
      <c r="I1055" s="109" t="s">
        <v>448</v>
      </c>
      <c r="J1055" s="109"/>
      <c r="K1055" s="109"/>
      <c r="L1055" s="109"/>
      <c r="M1055" s="109"/>
      <c r="N1055" s="109"/>
      <c r="O1055" s="109"/>
      <c r="P1055" s="109"/>
      <c r="Q1055" s="476"/>
      <c r="R1055" s="116">
        <v>1</v>
      </c>
    </row>
    <row r="1056" spans="1:18" ht="21.2" customHeight="1">
      <c r="A1056" s="477">
        <f>A566+1</f>
        <v>18</v>
      </c>
      <c r="B1056" s="109"/>
      <c r="C1056" s="109"/>
      <c r="D1056" s="109"/>
      <c r="E1056" s="109"/>
      <c r="F1056" s="109"/>
      <c r="G1056" s="109"/>
      <c r="H1056" s="109"/>
      <c r="I1056" s="109"/>
      <c r="J1056" s="109"/>
      <c r="K1056" s="109"/>
      <c r="L1056" s="109"/>
      <c r="M1056" s="109"/>
      <c r="N1056" s="109"/>
      <c r="O1056" s="109"/>
      <c r="P1056" s="109"/>
      <c r="Q1056" s="476"/>
      <c r="R1056" s="116">
        <v>1</v>
      </c>
    </row>
    <row r="1057" spans="1:18" ht="21.2" customHeight="1">
      <c r="A1057" s="473" t="s">
        <v>1102</v>
      </c>
      <c r="B1057" s="125"/>
      <c r="C1057" s="125" t="s">
        <v>4024</v>
      </c>
      <c r="D1057" s="125"/>
      <c r="E1057" s="125"/>
      <c r="F1057" s="125"/>
      <c r="G1057" s="125"/>
      <c r="H1057" s="125"/>
      <c r="I1057" s="125"/>
      <c r="J1057" s="125"/>
      <c r="K1057" s="125"/>
      <c r="L1057" s="125"/>
      <c r="M1057" s="125"/>
      <c r="N1057" s="125"/>
      <c r="O1057" s="125"/>
      <c r="P1057" s="125"/>
      <c r="Q1057" s="474"/>
      <c r="R1057" s="116">
        <v>1</v>
      </c>
    </row>
    <row r="1058" spans="1:18" ht="21.2" customHeight="1">
      <c r="A1058" s="475" t="s">
        <v>1103</v>
      </c>
      <c r="B1058" s="109"/>
      <c r="C1058" s="109"/>
      <c r="D1058" s="109"/>
      <c r="E1058" s="109"/>
      <c r="F1058" s="109"/>
      <c r="G1058" s="109"/>
      <c r="H1058" s="109"/>
      <c r="I1058" s="109"/>
      <c r="J1058" s="109"/>
      <c r="K1058" s="109"/>
      <c r="L1058" s="109"/>
      <c r="M1058" s="109"/>
      <c r="N1058" s="109"/>
      <c r="O1058" s="109"/>
      <c r="P1058" s="109"/>
      <c r="Q1058" s="476"/>
      <c r="R1058" s="116">
        <v>1</v>
      </c>
    </row>
    <row r="1059" spans="1:18" ht="21.2" customHeight="1">
      <c r="A1059" s="475"/>
      <c r="B1059" s="109"/>
      <c r="C1059" s="109"/>
      <c r="D1059" s="109"/>
      <c r="E1059" s="109"/>
      <c r="F1059" s="109"/>
      <c r="G1059" s="109"/>
      <c r="H1059" s="109"/>
      <c r="I1059" s="109"/>
      <c r="J1059" s="109"/>
      <c r="K1059" s="109"/>
      <c r="L1059" s="109"/>
      <c r="M1059" s="109"/>
      <c r="N1059" s="109"/>
      <c r="O1059" s="109"/>
      <c r="P1059" s="109"/>
      <c r="Q1059" s="476"/>
      <c r="R1059" s="116">
        <v>1</v>
      </c>
    </row>
    <row r="1060" spans="1:18" ht="21.2" customHeight="1">
      <c r="A1060" s="473" t="s">
        <v>1104</v>
      </c>
      <c r="B1060" s="125"/>
      <c r="C1060" s="125"/>
      <c r="D1060" s="125"/>
      <c r="E1060" s="125"/>
      <c r="F1060" s="125"/>
      <c r="G1060" s="125"/>
      <c r="H1060" s="125"/>
      <c r="I1060" s="125"/>
      <c r="J1060" s="125"/>
      <c r="K1060" s="125"/>
      <c r="L1060" s="125"/>
      <c r="M1060" s="125"/>
      <c r="N1060" s="125"/>
      <c r="O1060" s="125"/>
      <c r="P1060" s="125"/>
      <c r="Q1060" s="474"/>
      <c r="R1060" s="116">
        <v>1</v>
      </c>
    </row>
    <row r="1061" spans="1:18" ht="21.2" customHeight="1">
      <c r="A1061" s="475" t="s">
        <v>1105</v>
      </c>
      <c r="B1061" s="118" t="s">
        <v>1582</v>
      </c>
      <c r="C1061" s="478"/>
      <c r="D1061" s="109" t="s">
        <v>1106</v>
      </c>
      <c r="E1061" s="109"/>
      <c r="F1061" s="109"/>
      <c r="G1061" s="109"/>
      <c r="H1061" s="109"/>
      <c r="I1061" s="109"/>
      <c r="J1061" s="109"/>
      <c r="K1061" s="109"/>
      <c r="L1061" s="109"/>
      <c r="M1061" s="109"/>
      <c r="N1061" s="109"/>
      <c r="O1061" s="109"/>
      <c r="P1061" s="109"/>
      <c r="Q1061" s="476"/>
      <c r="R1061" s="116">
        <v>1</v>
      </c>
    </row>
    <row r="1062" spans="1:18" ht="21.2" customHeight="1">
      <c r="A1062" s="475" t="s">
        <v>1107</v>
      </c>
      <c r="B1062" s="118" t="s">
        <v>1582</v>
      </c>
      <c r="C1062" s="478"/>
      <c r="D1062" s="109"/>
      <c r="E1062" s="109"/>
      <c r="F1062" s="109"/>
      <c r="G1062" s="109"/>
      <c r="H1062" s="109"/>
      <c r="I1062" s="109"/>
      <c r="J1062" s="109"/>
      <c r="K1062" s="109"/>
      <c r="L1062" s="109"/>
      <c r="M1062" s="109"/>
      <c r="N1062" s="109"/>
      <c r="O1062" s="109"/>
      <c r="P1062" s="109"/>
      <c r="Q1062" s="476"/>
      <c r="R1062" s="116">
        <v>1</v>
      </c>
    </row>
    <row r="1063" spans="1:18" ht="21.2" customHeight="1">
      <c r="A1063" s="475" t="s">
        <v>1108</v>
      </c>
      <c r="B1063" s="118" t="s">
        <v>1582</v>
      </c>
      <c r="C1063" s="478"/>
      <c r="D1063" s="109"/>
      <c r="E1063" s="109"/>
      <c r="F1063" s="109"/>
      <c r="G1063" s="109"/>
      <c r="H1063" s="109"/>
      <c r="I1063" s="109"/>
      <c r="J1063" s="109"/>
      <c r="K1063" s="109"/>
      <c r="L1063" s="109"/>
      <c r="M1063" s="109"/>
      <c r="N1063" s="109"/>
      <c r="O1063" s="109"/>
      <c r="P1063" s="109"/>
      <c r="Q1063" s="476"/>
      <c r="R1063" s="116">
        <v>1</v>
      </c>
    </row>
    <row r="1064" spans="1:18" ht="21.2" customHeight="1">
      <c r="A1064" s="475" t="s">
        <v>1109</v>
      </c>
      <c r="B1064" s="118" t="s">
        <v>1582</v>
      </c>
      <c r="C1064" s="478"/>
      <c r="D1064" s="109"/>
      <c r="E1064" s="109"/>
      <c r="F1064" s="109"/>
      <c r="G1064" s="109"/>
      <c r="H1064" s="109"/>
      <c r="I1064" s="109"/>
      <c r="J1064" s="109"/>
      <c r="K1064" s="109"/>
      <c r="L1064" s="109"/>
      <c r="M1064" s="109"/>
      <c r="N1064" s="109"/>
      <c r="O1064" s="109"/>
      <c r="P1064" s="109"/>
      <c r="Q1064" s="476"/>
      <c r="R1064" s="116">
        <v>1</v>
      </c>
    </row>
    <row r="1065" spans="1:18" ht="21.2" customHeight="1">
      <c r="A1065" s="475" t="s">
        <v>1583</v>
      </c>
      <c r="B1065" s="118" t="s">
        <v>1582</v>
      </c>
      <c r="C1065" s="478"/>
      <c r="D1065" s="109"/>
      <c r="E1065" s="109"/>
      <c r="F1065" s="109"/>
      <c r="G1065" s="109"/>
      <c r="H1065" s="109"/>
      <c r="I1065" s="109"/>
      <c r="J1065" s="109"/>
      <c r="K1065" s="109"/>
      <c r="L1065" s="109"/>
      <c r="M1065" s="109"/>
      <c r="N1065" s="109"/>
      <c r="O1065" s="109"/>
      <c r="P1065" s="109"/>
      <c r="Q1065" s="476"/>
      <c r="R1065" s="116">
        <v>1</v>
      </c>
    </row>
    <row r="1066" spans="1:18" ht="21.2" customHeight="1">
      <c r="A1066" s="475"/>
      <c r="B1066" s="109"/>
      <c r="C1066" s="109"/>
      <c r="D1066" s="109"/>
      <c r="E1066" s="109"/>
      <c r="F1066" s="109"/>
      <c r="G1066" s="109"/>
      <c r="H1066" s="109"/>
      <c r="I1066" s="109"/>
      <c r="J1066" s="109"/>
      <c r="K1066" s="109"/>
      <c r="L1066" s="109"/>
      <c r="M1066" s="109"/>
      <c r="N1066" s="109"/>
      <c r="O1066" s="109"/>
      <c r="P1066" s="109"/>
      <c r="Q1066" s="476"/>
      <c r="R1066" s="116">
        <v>1</v>
      </c>
    </row>
    <row r="1067" spans="1:18" ht="21.2" customHeight="1">
      <c r="A1067" s="473" t="s">
        <v>1110</v>
      </c>
      <c r="B1067" s="125"/>
      <c r="C1067" s="125"/>
      <c r="D1067" s="125"/>
      <c r="E1067" s="125"/>
      <c r="F1067" s="125"/>
      <c r="G1067" s="125"/>
      <c r="H1067" s="125"/>
      <c r="I1067" s="125"/>
      <c r="J1067" s="125"/>
      <c r="K1067" s="125"/>
      <c r="L1067" s="125"/>
      <c r="M1067" s="125"/>
      <c r="N1067" s="125"/>
      <c r="O1067" s="125"/>
      <c r="P1067" s="125"/>
      <c r="Q1067" s="474"/>
      <c r="R1067" s="116">
        <v>1</v>
      </c>
    </row>
    <row r="1068" spans="1:18" ht="21.2" customHeight="1">
      <c r="A1068" s="475" t="s">
        <v>1111</v>
      </c>
      <c r="B1068" s="118" t="s">
        <v>1582</v>
      </c>
      <c r="C1068" s="118">
        <v>3600</v>
      </c>
      <c r="D1068" s="118" t="s">
        <v>86</v>
      </c>
      <c r="E1068" s="118" t="s">
        <v>1105</v>
      </c>
      <c r="F1068" s="118" t="s">
        <v>86</v>
      </c>
      <c r="G1068" s="118" t="s">
        <v>1107</v>
      </c>
      <c r="H1068" s="118" t="s">
        <v>86</v>
      </c>
      <c r="I1068" s="118" t="s">
        <v>1108</v>
      </c>
      <c r="J1068" s="118" t="s">
        <v>86</v>
      </c>
      <c r="K1068" s="118" t="s">
        <v>1109</v>
      </c>
      <c r="L1068" s="479" t="s">
        <v>1112</v>
      </c>
      <c r="M1068" s="118" t="s">
        <v>1583</v>
      </c>
      <c r="N1068" s="707" t="s">
        <v>4025</v>
      </c>
      <c r="O1068" s="109"/>
      <c r="P1068" s="109"/>
      <c r="Q1068" s="476"/>
      <c r="R1068" s="116">
        <v>1</v>
      </c>
    </row>
    <row r="1069" spans="1:18" ht="21.2" customHeight="1">
      <c r="A1069" s="475"/>
      <c r="B1069" s="118" t="s">
        <v>1113</v>
      </c>
      <c r="C1069" s="118">
        <f>C1068</f>
        <v>3600</v>
      </c>
      <c r="D1069" s="118" t="str">
        <f>D1068</f>
        <v>*</v>
      </c>
      <c r="E1069" s="275">
        <f>C1061</f>
        <v>0</v>
      </c>
      <c r="F1069" s="118" t="str">
        <f>F1068</f>
        <v>*</v>
      </c>
      <c r="G1069" s="275">
        <f>C1062</f>
        <v>0</v>
      </c>
      <c r="H1069" s="118" t="str">
        <f>H1068</f>
        <v>*</v>
      </c>
      <c r="I1069" s="275">
        <f>C1063</f>
        <v>0</v>
      </c>
      <c r="J1069" s="118" t="str">
        <f>J1068</f>
        <v>*</v>
      </c>
      <c r="K1069" s="275">
        <f>C1064</f>
        <v>0</v>
      </c>
      <c r="L1069" s="118" t="str">
        <f>L1068</f>
        <v>/</v>
      </c>
      <c r="M1069" s="275">
        <f>C1065</f>
        <v>0</v>
      </c>
      <c r="N1069" s="118" t="s">
        <v>1582</v>
      </c>
      <c r="O1069" s="134">
        <v>3.91</v>
      </c>
      <c r="P1069" s="109"/>
      <c r="Q1069" s="476"/>
      <c r="R1069" s="116">
        <v>1</v>
      </c>
    </row>
    <row r="1070" spans="1:18" ht="21.2" customHeight="1">
      <c r="A1070" s="475"/>
      <c r="B1070" s="109"/>
      <c r="C1070" s="109"/>
      <c r="D1070" s="109"/>
      <c r="E1070" s="109"/>
      <c r="F1070" s="109"/>
      <c r="G1070" s="109"/>
      <c r="H1070" s="109"/>
      <c r="I1070" s="109"/>
      <c r="J1070" s="109"/>
      <c r="K1070" s="109"/>
      <c r="L1070" s="109"/>
      <c r="M1070" s="109"/>
      <c r="N1070" s="109"/>
      <c r="O1070" s="109"/>
      <c r="P1070" s="109"/>
      <c r="Q1070" s="476"/>
      <c r="R1070" s="116">
        <v>1</v>
      </c>
    </row>
    <row r="1071" spans="1:18" ht="21.2" customHeight="1">
      <c r="A1071" s="473" t="s">
        <v>1114</v>
      </c>
      <c r="B1071" s="125"/>
      <c r="C1071" s="125"/>
      <c r="D1071" s="125"/>
      <c r="E1071" s="125"/>
      <c r="F1071" s="125"/>
      <c r="G1071" s="125"/>
      <c r="H1071" s="125"/>
      <c r="I1071" s="125"/>
      <c r="J1071" s="125"/>
      <c r="K1071" s="125"/>
      <c r="L1071" s="125"/>
      <c r="M1071" s="125"/>
      <c r="N1071" s="125"/>
      <c r="O1071" s="125"/>
      <c r="P1071" s="125"/>
      <c r="Q1071" s="474"/>
      <c r="R1071" s="116">
        <v>1</v>
      </c>
    </row>
    <row r="1072" spans="1:18" ht="21.2" customHeight="1">
      <c r="A1072" s="475" t="s">
        <v>1436</v>
      </c>
      <c r="B1072" s="109" t="s">
        <v>1582</v>
      </c>
      <c r="C1072" s="480">
        <f>중기사용료!$M$100</f>
        <v>12514</v>
      </c>
      <c r="D1072" s="479" t="s">
        <v>1112</v>
      </c>
      <c r="E1072" s="118" t="s">
        <v>1111</v>
      </c>
      <c r="F1072" s="109"/>
      <c r="G1072" s="109"/>
      <c r="H1072" s="109"/>
      <c r="I1072" s="109"/>
      <c r="J1072" s="109"/>
      <c r="K1072" s="109"/>
      <c r="L1072" s="109"/>
      <c r="M1072" s="109"/>
      <c r="N1072" s="109"/>
      <c r="O1072" s="109"/>
      <c r="P1072" s="109"/>
      <c r="Q1072" s="476"/>
      <c r="R1072" s="116">
        <v>1</v>
      </c>
    </row>
    <row r="1073" spans="1:18" ht="21.2" customHeight="1">
      <c r="A1073" s="475"/>
      <c r="B1073" s="118" t="s">
        <v>1113</v>
      </c>
      <c r="C1073" s="480">
        <f>C1072</f>
        <v>12514</v>
      </c>
      <c r="D1073" s="118" t="str">
        <f>D1072</f>
        <v>/</v>
      </c>
      <c r="E1073" s="134">
        <f>O1069</f>
        <v>3.91</v>
      </c>
      <c r="F1073" s="109" t="s">
        <v>1582</v>
      </c>
      <c r="G1073" s="481">
        <f>TRUNC(C1073/E1073)</f>
        <v>3200</v>
      </c>
      <c r="H1073" s="109"/>
      <c r="I1073" s="109"/>
      <c r="J1073" s="109"/>
      <c r="K1073" s="109"/>
      <c r="L1073" s="109"/>
      <c r="M1073" s="109"/>
      <c r="N1073" s="109"/>
      <c r="O1073" s="109"/>
      <c r="P1073" s="109"/>
      <c r="Q1073" s="476"/>
      <c r="R1073" s="116">
        <v>1</v>
      </c>
    </row>
    <row r="1074" spans="1:18" ht="21.2" customHeight="1">
      <c r="A1074" s="475"/>
      <c r="B1074" s="109"/>
      <c r="C1074" s="109"/>
      <c r="D1074" s="109"/>
      <c r="E1074" s="109"/>
      <c r="F1074" s="109"/>
      <c r="G1074" s="109"/>
      <c r="H1074" s="109"/>
      <c r="I1074" s="109"/>
      <c r="J1074" s="109"/>
      <c r="K1074" s="109"/>
      <c r="L1074" s="109"/>
      <c r="M1074" s="109"/>
      <c r="N1074" s="109"/>
      <c r="O1074" s="109"/>
      <c r="P1074" s="109"/>
      <c r="Q1074" s="476"/>
      <c r="R1074" s="116">
        <v>1</v>
      </c>
    </row>
    <row r="1075" spans="1:18" ht="21.2" customHeight="1">
      <c r="A1075" s="475" t="s">
        <v>1115</v>
      </c>
      <c r="B1075" s="109" t="s">
        <v>1582</v>
      </c>
      <c r="C1075" s="480">
        <f>중기사용료!$M$106</f>
        <v>27168</v>
      </c>
      <c r="D1075" s="479" t="s">
        <v>1112</v>
      </c>
      <c r="E1075" s="118" t="s">
        <v>1111</v>
      </c>
      <c r="F1075" s="118"/>
      <c r="G1075" s="118"/>
      <c r="H1075" s="109"/>
      <c r="I1075" s="109"/>
      <c r="J1075" s="109"/>
      <c r="K1075" s="109"/>
      <c r="L1075" s="109"/>
      <c r="M1075" s="109"/>
      <c r="N1075" s="109"/>
      <c r="O1075" s="109"/>
      <c r="P1075" s="109"/>
      <c r="Q1075" s="476"/>
      <c r="R1075" s="116">
        <v>1</v>
      </c>
    </row>
    <row r="1076" spans="1:18" ht="21.2" customHeight="1">
      <c r="A1076" s="475"/>
      <c r="B1076" s="118" t="s">
        <v>1113</v>
      </c>
      <c r="C1076" s="480">
        <f>C1075</f>
        <v>27168</v>
      </c>
      <c r="D1076" s="479" t="str">
        <f>D1075</f>
        <v>/</v>
      </c>
      <c r="E1076" s="134">
        <f>O1069</f>
        <v>3.91</v>
      </c>
      <c r="F1076" s="118" t="s">
        <v>1582</v>
      </c>
      <c r="G1076" s="481">
        <f>TRUNC(C1076/E1076)</f>
        <v>6948</v>
      </c>
      <c r="H1076" s="109"/>
      <c r="I1076" s="109"/>
      <c r="J1076" s="109"/>
      <c r="K1076" s="109"/>
      <c r="L1076" s="109"/>
      <c r="M1076" s="109"/>
      <c r="N1076" s="109"/>
      <c r="O1076" s="109"/>
      <c r="P1076" s="109"/>
      <c r="Q1076" s="476"/>
      <c r="R1076" s="116">
        <v>1</v>
      </c>
    </row>
    <row r="1077" spans="1:18" ht="21.2" customHeight="1">
      <c r="A1077" s="475"/>
      <c r="B1077" s="109"/>
      <c r="C1077" s="109"/>
      <c r="D1077" s="109"/>
      <c r="E1077" s="109"/>
      <c r="F1077" s="109"/>
      <c r="G1077" s="109"/>
      <c r="H1077" s="109"/>
      <c r="I1077" s="109"/>
      <c r="J1077" s="109"/>
      <c r="K1077" s="109"/>
      <c r="L1077" s="109"/>
      <c r="M1077" s="109"/>
      <c r="N1077" s="109"/>
      <c r="O1077" s="109"/>
      <c r="P1077" s="109"/>
      <c r="Q1077" s="476"/>
      <c r="R1077" s="116">
        <v>1</v>
      </c>
    </row>
    <row r="1078" spans="1:18" ht="21.2" customHeight="1">
      <c r="A1078" s="475" t="s">
        <v>1116</v>
      </c>
      <c r="B1078" s="118" t="s">
        <v>1582</v>
      </c>
      <c r="C1078" s="480">
        <f>중기사용료!$M$112</f>
        <v>13465</v>
      </c>
      <c r="D1078" s="479" t="s">
        <v>1112</v>
      </c>
      <c r="E1078" s="118" t="s">
        <v>1111</v>
      </c>
      <c r="F1078" s="118"/>
      <c r="G1078" s="118"/>
      <c r="H1078" s="109"/>
      <c r="I1078" s="109"/>
      <c r="J1078" s="109"/>
      <c r="K1078" s="109"/>
      <c r="L1078" s="109"/>
      <c r="M1078" s="109"/>
      <c r="N1078" s="109"/>
      <c r="O1078" s="109"/>
      <c r="P1078" s="109"/>
      <c r="Q1078" s="476"/>
      <c r="R1078" s="116">
        <v>1</v>
      </c>
    </row>
    <row r="1079" spans="1:18" ht="21.2" customHeight="1">
      <c r="A1079" s="475"/>
      <c r="B1079" s="118" t="s">
        <v>1113</v>
      </c>
      <c r="C1079" s="480">
        <f>C1078</f>
        <v>13465</v>
      </c>
      <c r="D1079" s="118" t="str">
        <f>D1078</f>
        <v>/</v>
      </c>
      <c r="E1079" s="134">
        <f>O1069</f>
        <v>3.91</v>
      </c>
      <c r="F1079" s="118" t="s">
        <v>1582</v>
      </c>
      <c r="G1079" s="481">
        <f>TRUNC(C1079/E1079)</f>
        <v>3443</v>
      </c>
      <c r="H1079" s="109"/>
      <c r="I1079" s="109"/>
      <c r="J1079" s="109"/>
      <c r="K1079" s="109"/>
      <c r="L1079" s="109"/>
      <c r="M1079" s="109"/>
      <c r="N1079" s="109"/>
      <c r="O1079" s="109"/>
      <c r="P1079" s="109"/>
      <c r="Q1079" s="476"/>
      <c r="R1079" s="116">
        <v>1</v>
      </c>
    </row>
    <row r="1080" spans="1:18" ht="21.2" customHeight="1">
      <c r="A1080" s="475"/>
      <c r="B1080" s="109"/>
      <c r="C1080" s="109"/>
      <c r="D1080" s="109"/>
      <c r="E1080" s="109"/>
      <c r="F1080" s="109"/>
      <c r="G1080" s="109"/>
      <c r="H1080" s="118" t="s">
        <v>1117</v>
      </c>
      <c r="I1080" s="118" t="s">
        <v>1118</v>
      </c>
      <c r="J1080" s="118" t="s">
        <v>1113</v>
      </c>
      <c r="K1080" s="797">
        <f>G1073+G1076+G1079</f>
        <v>13591</v>
      </c>
      <c r="L1080" s="797"/>
      <c r="M1080" s="797"/>
      <c r="N1080" s="118" t="s">
        <v>1119</v>
      </c>
      <c r="O1080" s="109"/>
      <c r="P1080" s="109"/>
      <c r="Q1080" s="476"/>
      <c r="R1080" s="116">
        <v>1</v>
      </c>
    </row>
    <row r="1081" spans="1:18" ht="21.2" customHeight="1">
      <c r="A1081" s="475"/>
      <c r="B1081" s="109"/>
      <c r="C1081" s="109"/>
      <c r="D1081" s="109"/>
      <c r="E1081" s="109"/>
      <c r="F1081" s="109"/>
      <c r="G1081" s="109"/>
      <c r="H1081" s="109"/>
      <c r="I1081" s="109"/>
      <c r="J1081" s="109"/>
      <c r="K1081" s="109"/>
      <c r="L1081" s="109"/>
      <c r="M1081" s="109"/>
      <c r="N1081" s="109"/>
      <c r="O1081" s="109"/>
      <c r="P1081" s="109"/>
      <c r="Q1081" s="476"/>
      <c r="R1081" s="116">
        <v>1</v>
      </c>
    </row>
    <row r="1082" spans="1:18" ht="21.2" customHeight="1">
      <c r="A1082" s="475"/>
      <c r="B1082" s="109"/>
      <c r="C1082" s="109"/>
      <c r="D1082" s="109"/>
      <c r="E1082" s="109"/>
      <c r="F1082" s="109"/>
      <c r="G1082" s="109"/>
      <c r="H1082" s="109"/>
      <c r="I1082" s="109"/>
      <c r="J1082" s="109"/>
      <c r="K1082" s="109"/>
      <c r="L1082" s="109"/>
      <c r="M1082" s="109"/>
      <c r="N1082" s="109"/>
      <c r="O1082" s="109"/>
      <c r="P1082" s="109"/>
      <c r="Q1082" s="476"/>
      <c r="R1082" s="116">
        <v>1</v>
      </c>
    </row>
    <row r="1083" spans="1:18" ht="21.2" customHeight="1">
      <c r="A1083" s="475"/>
      <c r="B1083" s="109"/>
      <c r="C1083" s="109"/>
      <c r="D1083" s="109"/>
      <c r="E1083" s="109"/>
      <c r="F1083" s="109"/>
      <c r="G1083" s="109"/>
      <c r="H1083" s="109"/>
      <c r="I1083" s="109"/>
      <c r="J1083" s="109"/>
      <c r="K1083" s="109"/>
      <c r="L1083" s="109"/>
      <c r="M1083" s="109"/>
      <c r="N1083" s="109"/>
      <c r="O1083" s="109"/>
      <c r="P1083" s="109"/>
      <c r="Q1083" s="476"/>
      <c r="R1083" s="116">
        <v>1</v>
      </c>
    </row>
    <row r="1084" spans="1:18" ht="21.2" customHeight="1">
      <c r="A1084" s="475"/>
      <c r="B1084" s="109"/>
      <c r="C1084" s="109"/>
      <c r="D1084" s="109"/>
      <c r="E1084" s="109"/>
      <c r="F1084" s="109"/>
      <c r="G1084" s="109"/>
      <c r="H1084" s="109"/>
      <c r="I1084" s="109"/>
      <c r="J1084" s="109"/>
      <c r="K1084" s="109"/>
      <c r="L1084" s="109"/>
      <c r="M1084" s="109"/>
      <c r="N1084" s="109"/>
      <c r="O1084" s="109"/>
      <c r="P1084" s="109"/>
      <c r="Q1084" s="476"/>
      <c r="R1084" s="116">
        <v>1</v>
      </c>
    </row>
    <row r="1085" spans="1:18" ht="21.2" customHeight="1">
      <c r="A1085" s="475"/>
      <c r="B1085" s="109"/>
      <c r="C1085" s="109"/>
      <c r="D1085" s="109"/>
      <c r="E1085" s="109"/>
      <c r="F1085" s="109"/>
      <c r="G1085" s="109"/>
      <c r="H1085" s="109"/>
      <c r="I1085" s="109"/>
      <c r="J1085" s="109"/>
      <c r="K1085" s="109"/>
      <c r="L1085" s="109"/>
      <c r="M1085" s="109"/>
      <c r="N1085" s="109"/>
      <c r="O1085" s="109"/>
      <c r="P1085" s="109"/>
      <c r="Q1085" s="476"/>
      <c r="R1085" s="116">
        <v>1</v>
      </c>
    </row>
    <row r="1086" spans="1:18" ht="21.2" customHeight="1">
      <c r="A1086" s="482"/>
      <c r="B1086" s="136"/>
      <c r="C1086" s="136"/>
      <c r="D1086" s="136"/>
      <c r="E1086" s="136"/>
      <c r="F1086" s="136"/>
      <c r="G1086" s="136"/>
      <c r="H1086" s="136"/>
      <c r="I1086" s="136"/>
      <c r="J1086" s="136"/>
      <c r="K1086" s="136"/>
      <c r="L1086" s="136"/>
      <c r="M1086" s="136"/>
      <c r="N1086" s="136"/>
      <c r="O1086" s="136"/>
      <c r="P1086" s="136"/>
      <c r="Q1086" s="483"/>
      <c r="R1086" s="116">
        <v>1</v>
      </c>
    </row>
    <row r="1087" spans="1:18" ht="21.2" customHeight="1">
      <c r="R1087" s="116">
        <v>1</v>
      </c>
    </row>
    <row r="1088" spans="1:18" s="472" customFormat="1" ht="21.2" customHeight="1">
      <c r="A1088" s="796" t="s">
        <v>3329</v>
      </c>
      <c r="B1088" s="796"/>
      <c r="C1088" s="796"/>
      <c r="D1088" s="796"/>
      <c r="E1088" s="796"/>
      <c r="F1088" s="796"/>
      <c r="G1088" s="796"/>
      <c r="H1088" s="796"/>
      <c r="I1088" s="796"/>
      <c r="J1088" s="796"/>
      <c r="K1088" s="796"/>
      <c r="L1088" s="796"/>
      <c r="M1088" s="796"/>
      <c r="N1088" s="796"/>
      <c r="O1088" s="796"/>
      <c r="P1088" s="796"/>
      <c r="Q1088" s="796"/>
      <c r="R1088" s="116">
        <v>1</v>
      </c>
    </row>
    <row r="1089" spans="1:18" ht="21.2" customHeight="1">
      <c r="A1089" s="473" t="s">
        <v>1437</v>
      </c>
      <c r="B1089" s="142" t="s">
        <v>1526</v>
      </c>
      <c r="C1089" s="125" t="s">
        <v>3658</v>
      </c>
      <c r="D1089" s="125"/>
      <c r="E1089" s="125"/>
      <c r="F1089" s="125"/>
      <c r="G1089" s="125"/>
      <c r="H1089" s="125"/>
      <c r="I1089" s="125"/>
      <c r="J1089" s="125"/>
      <c r="K1089" s="125"/>
      <c r="L1089" s="125"/>
      <c r="M1089" s="125"/>
      <c r="N1089" s="125"/>
      <c r="O1089" s="125"/>
      <c r="P1089" s="125"/>
      <c r="Q1089" s="474"/>
      <c r="R1089" s="116">
        <v>1</v>
      </c>
    </row>
    <row r="1090" spans="1:18" ht="21.2" customHeight="1">
      <c r="A1090" s="475" t="s">
        <v>1100</v>
      </c>
      <c r="B1090" s="118" t="s">
        <v>1526</v>
      </c>
      <c r="C1090" s="707" t="s">
        <v>569</v>
      </c>
      <c r="D1090" s="109"/>
      <c r="E1090" s="109"/>
      <c r="F1090" s="109"/>
      <c r="G1090" s="109" t="s">
        <v>1527</v>
      </c>
      <c r="H1090" s="109" t="s">
        <v>1526</v>
      </c>
      <c r="I1090" s="755" t="s">
        <v>841</v>
      </c>
      <c r="J1090" s="109" t="s">
        <v>3222</v>
      </c>
      <c r="K1090" s="109"/>
      <c r="L1090" s="109"/>
      <c r="M1090" s="109"/>
      <c r="N1090" s="109"/>
      <c r="O1090" s="109"/>
      <c r="P1090" s="109"/>
      <c r="Q1090" s="476"/>
      <c r="R1090" s="116">
        <v>1</v>
      </c>
    </row>
    <row r="1091" spans="1:18" ht="21.2" customHeight="1">
      <c r="A1091" s="477">
        <f>A1056+1</f>
        <v>19</v>
      </c>
      <c r="B1091" s="109"/>
      <c r="C1091" s="109"/>
      <c r="D1091" s="109"/>
      <c r="E1091" s="109"/>
      <c r="F1091" s="109"/>
      <c r="G1091" s="109"/>
      <c r="H1091" s="109"/>
      <c r="I1091" s="109"/>
      <c r="J1091" s="109"/>
      <c r="K1091" s="109"/>
      <c r="L1091" s="109"/>
      <c r="M1091" s="109"/>
      <c r="N1091" s="109"/>
      <c r="O1091" s="109"/>
      <c r="P1091" s="109"/>
      <c r="Q1091" s="476"/>
      <c r="R1091" s="116">
        <v>1</v>
      </c>
    </row>
    <row r="1092" spans="1:18" ht="21.2" customHeight="1">
      <c r="A1092" s="473" t="s">
        <v>1102</v>
      </c>
      <c r="B1092" s="125"/>
      <c r="C1092" s="125" t="s">
        <v>4024</v>
      </c>
      <c r="D1092" s="125"/>
      <c r="E1092" s="125"/>
      <c r="F1092" s="125"/>
      <c r="G1092" s="125"/>
      <c r="H1092" s="125"/>
      <c r="I1092" s="125"/>
      <c r="J1092" s="125"/>
      <c r="K1092" s="125"/>
      <c r="L1092" s="125"/>
      <c r="M1092" s="125"/>
      <c r="N1092" s="125"/>
      <c r="O1092" s="125"/>
      <c r="P1092" s="125"/>
      <c r="Q1092" s="474"/>
      <c r="R1092" s="116">
        <v>1</v>
      </c>
    </row>
    <row r="1093" spans="1:18" ht="21.2" customHeight="1">
      <c r="A1093" s="475" t="s">
        <v>1103</v>
      </c>
      <c r="B1093" s="109"/>
      <c r="C1093" s="109"/>
      <c r="D1093" s="109"/>
      <c r="E1093" s="109"/>
      <c r="F1093" s="109"/>
      <c r="G1093" s="109"/>
      <c r="H1093" s="109"/>
      <c r="I1093" s="109"/>
      <c r="J1093" s="109"/>
      <c r="K1093" s="109"/>
      <c r="L1093" s="109"/>
      <c r="M1093" s="109"/>
      <c r="N1093" s="109"/>
      <c r="O1093" s="109"/>
      <c r="P1093" s="109"/>
      <c r="Q1093" s="476"/>
      <c r="R1093" s="116">
        <v>1</v>
      </c>
    </row>
    <row r="1094" spans="1:18" ht="21.2" customHeight="1">
      <c r="A1094" s="475"/>
      <c r="B1094" s="109"/>
      <c r="C1094" s="109"/>
      <c r="D1094" s="109"/>
      <c r="E1094" s="109"/>
      <c r="F1094" s="109"/>
      <c r="G1094" s="109"/>
      <c r="H1094" s="109"/>
      <c r="I1094" s="109"/>
      <c r="J1094" s="109"/>
      <c r="K1094" s="109"/>
      <c r="L1094" s="109"/>
      <c r="M1094" s="109"/>
      <c r="N1094" s="109"/>
      <c r="O1094" s="109"/>
      <c r="P1094" s="109"/>
      <c r="Q1094" s="476"/>
      <c r="R1094" s="116">
        <v>1</v>
      </c>
    </row>
    <row r="1095" spans="1:18" ht="21.2" customHeight="1">
      <c r="A1095" s="473" t="s">
        <v>1104</v>
      </c>
      <c r="B1095" s="125"/>
      <c r="C1095" s="125"/>
      <c r="D1095" s="125"/>
      <c r="E1095" s="125"/>
      <c r="F1095" s="125"/>
      <c r="G1095" s="125"/>
      <c r="H1095" s="125"/>
      <c r="I1095" s="125"/>
      <c r="J1095" s="125"/>
      <c r="K1095" s="125"/>
      <c r="L1095" s="125"/>
      <c r="M1095" s="125"/>
      <c r="N1095" s="125"/>
      <c r="O1095" s="125"/>
      <c r="P1095" s="125"/>
      <c r="Q1095" s="474"/>
      <c r="R1095" s="116">
        <v>1</v>
      </c>
    </row>
    <row r="1096" spans="1:18" ht="21.2" customHeight="1">
      <c r="A1096" s="475" t="s">
        <v>1105</v>
      </c>
      <c r="B1096" s="118" t="s">
        <v>1582</v>
      </c>
      <c r="C1096" s="478"/>
      <c r="D1096" s="109" t="s">
        <v>1106</v>
      </c>
      <c r="E1096" s="109"/>
      <c r="F1096" s="109"/>
      <c r="G1096" s="109"/>
      <c r="H1096" s="109"/>
      <c r="I1096" s="109"/>
      <c r="J1096" s="109"/>
      <c r="K1096" s="109"/>
      <c r="L1096" s="109"/>
      <c r="M1096" s="109"/>
      <c r="N1096" s="109"/>
      <c r="O1096" s="109"/>
      <c r="P1096" s="109"/>
      <c r="Q1096" s="476"/>
      <c r="R1096" s="116">
        <v>1</v>
      </c>
    </row>
    <row r="1097" spans="1:18" ht="21.2" customHeight="1">
      <c r="A1097" s="475" t="s">
        <v>1107</v>
      </c>
      <c r="B1097" s="118" t="s">
        <v>1582</v>
      </c>
      <c r="C1097" s="478"/>
      <c r="D1097" s="109"/>
      <c r="E1097" s="109"/>
      <c r="F1097" s="109"/>
      <c r="G1097" s="109"/>
      <c r="H1097" s="109"/>
      <c r="I1097" s="109"/>
      <c r="J1097" s="109"/>
      <c r="K1097" s="109"/>
      <c r="L1097" s="109"/>
      <c r="M1097" s="109"/>
      <c r="N1097" s="109"/>
      <c r="O1097" s="109"/>
      <c r="P1097" s="109"/>
      <c r="Q1097" s="476"/>
      <c r="R1097" s="116">
        <v>1</v>
      </c>
    </row>
    <row r="1098" spans="1:18" ht="21.2" customHeight="1">
      <c r="A1098" s="475" t="s">
        <v>1108</v>
      </c>
      <c r="B1098" s="118" t="s">
        <v>1582</v>
      </c>
      <c r="C1098" s="478"/>
      <c r="D1098" s="109"/>
      <c r="E1098" s="109"/>
      <c r="F1098" s="109"/>
      <c r="G1098" s="109"/>
      <c r="H1098" s="109"/>
      <c r="I1098" s="109"/>
      <c r="J1098" s="109"/>
      <c r="K1098" s="109"/>
      <c r="L1098" s="109"/>
      <c r="M1098" s="109"/>
      <c r="N1098" s="109"/>
      <c r="O1098" s="109"/>
      <c r="P1098" s="109"/>
      <c r="Q1098" s="476"/>
      <c r="R1098" s="116">
        <v>1</v>
      </c>
    </row>
    <row r="1099" spans="1:18" ht="21.2" customHeight="1">
      <c r="A1099" s="475" t="s">
        <v>1109</v>
      </c>
      <c r="B1099" s="118" t="s">
        <v>1582</v>
      </c>
      <c r="C1099" s="478"/>
      <c r="D1099" s="109"/>
      <c r="E1099" s="109"/>
      <c r="F1099" s="109"/>
      <c r="G1099" s="109"/>
      <c r="H1099" s="109"/>
      <c r="I1099" s="109"/>
      <c r="J1099" s="109"/>
      <c r="K1099" s="109"/>
      <c r="L1099" s="109"/>
      <c r="M1099" s="109"/>
      <c r="N1099" s="109"/>
      <c r="O1099" s="109"/>
      <c r="P1099" s="109"/>
      <c r="Q1099" s="476"/>
      <c r="R1099" s="116">
        <v>1</v>
      </c>
    </row>
    <row r="1100" spans="1:18" ht="21.2" customHeight="1">
      <c r="A1100" s="475" t="s">
        <v>1583</v>
      </c>
      <c r="B1100" s="118" t="s">
        <v>1582</v>
      </c>
      <c r="C1100" s="478"/>
      <c r="D1100" s="109"/>
      <c r="E1100" s="109"/>
      <c r="F1100" s="109"/>
      <c r="G1100" s="109"/>
      <c r="H1100" s="109"/>
      <c r="I1100" s="109"/>
      <c r="J1100" s="109"/>
      <c r="K1100" s="109"/>
      <c r="L1100" s="109"/>
      <c r="M1100" s="109"/>
      <c r="N1100" s="109"/>
      <c r="O1100" s="109"/>
      <c r="P1100" s="109"/>
      <c r="Q1100" s="476"/>
      <c r="R1100" s="116">
        <v>1</v>
      </c>
    </row>
    <row r="1101" spans="1:18" ht="21.2" customHeight="1">
      <c r="A1101" s="475"/>
      <c r="B1101" s="109"/>
      <c r="C1101" s="109"/>
      <c r="D1101" s="109"/>
      <c r="E1101" s="109"/>
      <c r="F1101" s="109"/>
      <c r="G1101" s="109"/>
      <c r="H1101" s="109"/>
      <c r="I1101" s="109"/>
      <c r="J1101" s="109"/>
      <c r="K1101" s="109"/>
      <c r="L1101" s="109"/>
      <c r="M1101" s="109"/>
      <c r="N1101" s="109"/>
      <c r="O1101" s="109"/>
      <c r="P1101" s="109"/>
      <c r="Q1101" s="476"/>
      <c r="R1101" s="116">
        <v>1</v>
      </c>
    </row>
    <row r="1102" spans="1:18" ht="21.2" customHeight="1">
      <c r="A1102" s="473" t="s">
        <v>1110</v>
      </c>
      <c r="B1102" s="125"/>
      <c r="C1102" s="125"/>
      <c r="D1102" s="125"/>
      <c r="E1102" s="125"/>
      <c r="F1102" s="125"/>
      <c r="G1102" s="125"/>
      <c r="H1102" s="125"/>
      <c r="I1102" s="125"/>
      <c r="J1102" s="125"/>
      <c r="K1102" s="125"/>
      <c r="L1102" s="125"/>
      <c r="M1102" s="125"/>
      <c r="N1102" s="125"/>
      <c r="O1102" s="125"/>
      <c r="P1102" s="125"/>
      <c r="Q1102" s="474"/>
      <c r="R1102" s="116">
        <v>1</v>
      </c>
    </row>
    <row r="1103" spans="1:18" ht="21.2" customHeight="1">
      <c r="A1103" s="475" t="s">
        <v>1111</v>
      </c>
      <c r="B1103" s="118" t="s">
        <v>1582</v>
      </c>
      <c r="C1103" s="118">
        <v>3600</v>
      </c>
      <c r="D1103" s="118" t="s">
        <v>86</v>
      </c>
      <c r="E1103" s="118" t="s">
        <v>1105</v>
      </c>
      <c r="F1103" s="118" t="s">
        <v>86</v>
      </c>
      <c r="G1103" s="118" t="s">
        <v>1107</v>
      </c>
      <c r="H1103" s="118" t="s">
        <v>86</v>
      </c>
      <c r="I1103" s="118" t="s">
        <v>1108</v>
      </c>
      <c r="J1103" s="118" t="s">
        <v>86</v>
      </c>
      <c r="K1103" s="118" t="s">
        <v>1109</v>
      </c>
      <c r="L1103" s="479" t="s">
        <v>1112</v>
      </c>
      <c r="M1103" s="118" t="s">
        <v>1583</v>
      </c>
      <c r="N1103" s="707" t="s">
        <v>4025</v>
      </c>
      <c r="O1103" s="109"/>
      <c r="P1103" s="109"/>
      <c r="Q1103" s="476"/>
      <c r="R1103" s="116">
        <v>1</v>
      </c>
    </row>
    <row r="1104" spans="1:18" ht="21.2" customHeight="1">
      <c r="A1104" s="475"/>
      <c r="B1104" s="118" t="s">
        <v>1113</v>
      </c>
      <c r="C1104" s="118">
        <f>C1103</f>
        <v>3600</v>
      </c>
      <c r="D1104" s="118" t="str">
        <f>D1103</f>
        <v>*</v>
      </c>
      <c r="E1104" s="275">
        <f>C1096</f>
        <v>0</v>
      </c>
      <c r="F1104" s="118" t="str">
        <f>F1103</f>
        <v>*</v>
      </c>
      <c r="G1104" s="275">
        <f>C1097</f>
        <v>0</v>
      </c>
      <c r="H1104" s="118" t="str">
        <f>H1103</f>
        <v>*</v>
      </c>
      <c r="I1104" s="275">
        <f>C1098</f>
        <v>0</v>
      </c>
      <c r="J1104" s="118" t="str">
        <f>J1103</f>
        <v>*</v>
      </c>
      <c r="K1104" s="275">
        <f>C1099</f>
        <v>0</v>
      </c>
      <c r="L1104" s="118" t="str">
        <f>L1103</f>
        <v>/</v>
      </c>
      <c r="M1104" s="275">
        <f>C1100</f>
        <v>0</v>
      </c>
      <c r="N1104" s="118" t="s">
        <v>1582</v>
      </c>
      <c r="O1104" s="134">
        <v>5.45</v>
      </c>
      <c r="P1104" s="109"/>
      <c r="Q1104" s="476"/>
      <c r="R1104" s="116">
        <v>1</v>
      </c>
    </row>
    <row r="1105" spans="1:18" ht="21.2" customHeight="1">
      <c r="A1105" s="475"/>
      <c r="B1105" s="109"/>
      <c r="C1105" s="109"/>
      <c r="D1105" s="109"/>
      <c r="E1105" s="109"/>
      <c r="F1105" s="109"/>
      <c r="G1105" s="109"/>
      <c r="H1105" s="109"/>
      <c r="I1105" s="109"/>
      <c r="J1105" s="109"/>
      <c r="K1105" s="109"/>
      <c r="L1105" s="109"/>
      <c r="M1105" s="109"/>
      <c r="N1105" s="109"/>
      <c r="O1105" s="109"/>
      <c r="P1105" s="109"/>
      <c r="Q1105" s="476"/>
      <c r="R1105" s="116">
        <v>1</v>
      </c>
    </row>
    <row r="1106" spans="1:18" ht="21.2" customHeight="1">
      <c r="A1106" s="473" t="s">
        <v>1114</v>
      </c>
      <c r="B1106" s="125"/>
      <c r="C1106" s="125"/>
      <c r="D1106" s="125"/>
      <c r="E1106" s="125"/>
      <c r="F1106" s="125"/>
      <c r="G1106" s="125"/>
      <c r="H1106" s="125"/>
      <c r="I1106" s="125"/>
      <c r="J1106" s="125"/>
      <c r="K1106" s="125"/>
      <c r="L1106" s="125"/>
      <c r="M1106" s="125"/>
      <c r="N1106" s="125"/>
      <c r="O1106" s="125"/>
      <c r="P1106" s="125"/>
      <c r="Q1106" s="474"/>
      <c r="R1106" s="116">
        <v>1</v>
      </c>
    </row>
    <row r="1107" spans="1:18" ht="21.2" customHeight="1">
      <c r="A1107" s="475" t="s">
        <v>1436</v>
      </c>
      <c r="B1107" s="109" t="s">
        <v>1582</v>
      </c>
      <c r="C1107" s="480">
        <f>중기사용료!$M$195</f>
        <v>21622</v>
      </c>
      <c r="D1107" s="479" t="s">
        <v>1112</v>
      </c>
      <c r="E1107" s="118" t="s">
        <v>1111</v>
      </c>
      <c r="F1107" s="109"/>
      <c r="G1107" s="109"/>
      <c r="H1107" s="109"/>
      <c r="I1107" s="109"/>
      <c r="J1107" s="109"/>
      <c r="K1107" s="109"/>
      <c r="L1107" s="109"/>
      <c r="M1107" s="109"/>
      <c r="N1107" s="109"/>
      <c r="O1107" s="109"/>
      <c r="P1107" s="109"/>
      <c r="Q1107" s="476"/>
      <c r="R1107" s="116">
        <v>1</v>
      </c>
    </row>
    <row r="1108" spans="1:18" ht="21.2" customHeight="1">
      <c r="A1108" s="475"/>
      <c r="B1108" s="118" t="s">
        <v>1113</v>
      </c>
      <c r="C1108" s="480">
        <f>C1107</f>
        <v>21622</v>
      </c>
      <c r="D1108" s="118" t="str">
        <f>D1107</f>
        <v>/</v>
      </c>
      <c r="E1108" s="134">
        <f>O1104</f>
        <v>5.45</v>
      </c>
      <c r="F1108" s="109" t="s">
        <v>1582</v>
      </c>
      <c r="G1108" s="481">
        <f>TRUNC(C1108/E1108)</f>
        <v>3967</v>
      </c>
      <c r="H1108" s="109"/>
      <c r="I1108" s="109"/>
      <c r="J1108" s="109"/>
      <c r="K1108" s="109"/>
      <c r="L1108" s="109"/>
      <c r="M1108" s="109"/>
      <c r="N1108" s="109"/>
      <c r="O1108" s="109"/>
      <c r="P1108" s="109"/>
      <c r="Q1108" s="476"/>
      <c r="R1108" s="116">
        <v>1</v>
      </c>
    </row>
    <row r="1109" spans="1:18" ht="21.2" customHeight="1">
      <c r="A1109" s="475"/>
      <c r="B1109" s="109"/>
      <c r="C1109" s="109"/>
      <c r="D1109" s="109"/>
      <c r="E1109" s="109"/>
      <c r="F1109" s="109"/>
      <c r="G1109" s="109"/>
      <c r="H1109" s="109"/>
      <c r="I1109" s="109"/>
      <c r="J1109" s="109"/>
      <c r="K1109" s="109"/>
      <c r="L1109" s="109"/>
      <c r="M1109" s="109"/>
      <c r="N1109" s="109"/>
      <c r="O1109" s="109"/>
      <c r="P1109" s="109"/>
      <c r="Q1109" s="476"/>
      <c r="R1109" s="116">
        <v>1</v>
      </c>
    </row>
    <row r="1110" spans="1:18" ht="21.2" customHeight="1">
      <c r="A1110" s="475" t="s">
        <v>1115</v>
      </c>
      <c r="B1110" s="109" t="s">
        <v>1582</v>
      </c>
      <c r="C1110" s="480">
        <f>중기사용료!$M$201</f>
        <v>27168</v>
      </c>
      <c r="D1110" s="479" t="s">
        <v>1112</v>
      </c>
      <c r="E1110" s="118" t="s">
        <v>1111</v>
      </c>
      <c r="F1110" s="118"/>
      <c r="G1110" s="118"/>
      <c r="H1110" s="109"/>
      <c r="I1110" s="109"/>
      <c r="J1110" s="109"/>
      <c r="K1110" s="109"/>
      <c r="L1110" s="109"/>
      <c r="M1110" s="109"/>
      <c r="N1110" s="109"/>
      <c r="O1110" s="109"/>
      <c r="P1110" s="109"/>
      <c r="Q1110" s="476"/>
      <c r="R1110" s="116">
        <v>1</v>
      </c>
    </row>
    <row r="1111" spans="1:18" ht="21.2" customHeight="1">
      <c r="A1111" s="475"/>
      <c r="B1111" s="118" t="s">
        <v>1113</v>
      </c>
      <c r="C1111" s="480">
        <f>C1110</f>
        <v>27168</v>
      </c>
      <c r="D1111" s="479" t="str">
        <f>D1110</f>
        <v>/</v>
      </c>
      <c r="E1111" s="134">
        <f>O1104</f>
        <v>5.45</v>
      </c>
      <c r="F1111" s="118" t="s">
        <v>1582</v>
      </c>
      <c r="G1111" s="481">
        <f>TRUNC(C1111/E1111)</f>
        <v>4984</v>
      </c>
      <c r="H1111" s="109"/>
      <c r="I1111" s="109"/>
      <c r="J1111" s="109"/>
      <c r="K1111" s="109"/>
      <c r="L1111" s="109"/>
      <c r="M1111" s="109"/>
      <c r="N1111" s="109"/>
      <c r="O1111" s="109"/>
      <c r="P1111" s="109"/>
      <c r="Q1111" s="476"/>
      <c r="R1111" s="116">
        <v>1</v>
      </c>
    </row>
    <row r="1112" spans="1:18" ht="21.2" customHeight="1">
      <c r="A1112" s="475"/>
      <c r="B1112" s="109"/>
      <c r="C1112" s="109"/>
      <c r="D1112" s="109"/>
      <c r="E1112" s="109"/>
      <c r="F1112" s="109"/>
      <c r="G1112" s="109"/>
      <c r="H1112" s="109"/>
      <c r="I1112" s="109"/>
      <c r="J1112" s="109"/>
      <c r="K1112" s="109"/>
      <c r="L1112" s="109"/>
      <c r="M1112" s="109"/>
      <c r="N1112" s="109"/>
      <c r="O1112" s="109"/>
      <c r="P1112" s="109"/>
      <c r="Q1112" s="476"/>
      <c r="R1112" s="116">
        <v>1</v>
      </c>
    </row>
    <row r="1113" spans="1:18" ht="21.2" customHeight="1">
      <c r="A1113" s="475" t="s">
        <v>1116</v>
      </c>
      <c r="B1113" s="118" t="s">
        <v>1582</v>
      </c>
      <c r="C1113" s="480">
        <f>중기사용료!$M$207</f>
        <v>16036</v>
      </c>
      <c r="D1113" s="479" t="s">
        <v>1112</v>
      </c>
      <c r="E1113" s="118" t="s">
        <v>1111</v>
      </c>
      <c r="F1113" s="118"/>
      <c r="G1113" s="118"/>
      <c r="H1113" s="109"/>
      <c r="I1113" s="109"/>
      <c r="J1113" s="109"/>
      <c r="K1113" s="109"/>
      <c r="L1113" s="109"/>
      <c r="M1113" s="109"/>
      <c r="N1113" s="109"/>
      <c r="O1113" s="109"/>
      <c r="P1113" s="109"/>
      <c r="Q1113" s="476"/>
      <c r="R1113" s="116">
        <v>1</v>
      </c>
    </row>
    <row r="1114" spans="1:18" ht="21.2" customHeight="1">
      <c r="A1114" s="475"/>
      <c r="B1114" s="118" t="s">
        <v>1113</v>
      </c>
      <c r="C1114" s="480">
        <f>C1113</f>
        <v>16036</v>
      </c>
      <c r="D1114" s="118" t="str">
        <f>D1113</f>
        <v>/</v>
      </c>
      <c r="E1114" s="134">
        <f>O1104</f>
        <v>5.45</v>
      </c>
      <c r="F1114" s="118" t="s">
        <v>1582</v>
      </c>
      <c r="G1114" s="481">
        <f>TRUNC(C1114/E1114)</f>
        <v>2942</v>
      </c>
      <c r="H1114" s="109"/>
      <c r="I1114" s="109"/>
      <c r="J1114" s="109"/>
      <c r="K1114" s="109"/>
      <c r="L1114" s="109"/>
      <c r="M1114" s="109"/>
      <c r="N1114" s="109"/>
      <c r="O1114" s="109"/>
      <c r="P1114" s="109"/>
      <c r="Q1114" s="476"/>
      <c r="R1114" s="116">
        <v>1</v>
      </c>
    </row>
    <row r="1115" spans="1:18" ht="21.2" customHeight="1">
      <c r="A1115" s="475"/>
      <c r="B1115" s="109"/>
      <c r="C1115" s="109"/>
      <c r="D1115" s="109"/>
      <c r="E1115" s="109"/>
      <c r="F1115" s="109"/>
      <c r="G1115" s="109"/>
      <c r="H1115" s="118" t="s">
        <v>1117</v>
      </c>
      <c r="I1115" s="118" t="s">
        <v>1118</v>
      </c>
      <c r="J1115" s="118" t="s">
        <v>1113</v>
      </c>
      <c r="K1115" s="797">
        <f>G1108+G1111+G1114</f>
        <v>11893</v>
      </c>
      <c r="L1115" s="797"/>
      <c r="M1115" s="797"/>
      <c r="N1115" s="118" t="s">
        <v>1119</v>
      </c>
      <c r="O1115" s="109"/>
      <c r="P1115" s="109"/>
      <c r="Q1115" s="476"/>
      <c r="R1115" s="116">
        <v>1</v>
      </c>
    </row>
    <row r="1116" spans="1:18" ht="21.2" customHeight="1">
      <c r="A1116" s="475"/>
      <c r="B1116" s="109"/>
      <c r="C1116" s="109"/>
      <c r="D1116" s="109"/>
      <c r="E1116" s="109"/>
      <c r="F1116" s="109"/>
      <c r="G1116" s="109"/>
      <c r="H1116" s="109"/>
      <c r="I1116" s="109"/>
      <c r="J1116" s="109"/>
      <c r="K1116" s="109"/>
      <c r="L1116" s="109"/>
      <c r="M1116" s="109"/>
      <c r="N1116" s="109"/>
      <c r="O1116" s="109"/>
      <c r="P1116" s="109"/>
      <c r="Q1116" s="476"/>
      <c r="R1116" s="116">
        <v>1</v>
      </c>
    </row>
    <row r="1117" spans="1:18" ht="21.2" customHeight="1">
      <c r="A1117" s="475"/>
      <c r="B1117" s="109"/>
      <c r="C1117" s="109"/>
      <c r="D1117" s="109"/>
      <c r="E1117" s="109"/>
      <c r="F1117" s="109"/>
      <c r="G1117" s="109"/>
      <c r="H1117" s="109"/>
      <c r="I1117" s="109"/>
      <c r="J1117" s="109"/>
      <c r="K1117" s="109"/>
      <c r="L1117" s="109"/>
      <c r="M1117" s="109"/>
      <c r="N1117" s="109"/>
      <c r="O1117" s="109"/>
      <c r="P1117" s="109"/>
      <c r="Q1117" s="476"/>
      <c r="R1117" s="116">
        <v>1</v>
      </c>
    </row>
    <row r="1118" spans="1:18" ht="21.2" customHeight="1">
      <c r="A1118" s="475"/>
      <c r="B1118" s="109"/>
      <c r="C1118" s="109"/>
      <c r="D1118" s="109"/>
      <c r="E1118" s="109"/>
      <c r="F1118" s="109"/>
      <c r="G1118" s="109"/>
      <c r="H1118" s="109"/>
      <c r="I1118" s="109"/>
      <c r="J1118" s="109"/>
      <c r="K1118" s="109"/>
      <c r="L1118" s="109"/>
      <c r="M1118" s="109"/>
      <c r="N1118" s="109"/>
      <c r="O1118" s="109"/>
      <c r="P1118" s="109"/>
      <c r="Q1118" s="476"/>
      <c r="R1118" s="116">
        <v>1</v>
      </c>
    </row>
    <row r="1119" spans="1:18" ht="21.2" customHeight="1">
      <c r="A1119" s="475"/>
      <c r="B1119" s="109"/>
      <c r="C1119" s="109"/>
      <c r="D1119" s="109"/>
      <c r="E1119" s="109"/>
      <c r="F1119" s="109"/>
      <c r="G1119" s="109"/>
      <c r="H1119" s="109"/>
      <c r="I1119" s="109"/>
      <c r="J1119" s="109"/>
      <c r="K1119" s="109"/>
      <c r="L1119" s="109"/>
      <c r="M1119" s="109"/>
      <c r="N1119" s="109"/>
      <c r="O1119" s="109"/>
      <c r="P1119" s="109"/>
      <c r="Q1119" s="476"/>
      <c r="R1119" s="116">
        <v>1</v>
      </c>
    </row>
    <row r="1120" spans="1:18" ht="21.2" customHeight="1">
      <c r="A1120" s="475"/>
      <c r="B1120" s="109"/>
      <c r="C1120" s="109"/>
      <c r="D1120" s="109"/>
      <c r="E1120" s="109"/>
      <c r="F1120" s="109"/>
      <c r="G1120" s="109"/>
      <c r="H1120" s="109"/>
      <c r="I1120" s="109"/>
      <c r="J1120" s="109"/>
      <c r="K1120" s="109"/>
      <c r="L1120" s="109"/>
      <c r="M1120" s="109"/>
      <c r="N1120" s="109"/>
      <c r="O1120" s="109"/>
      <c r="P1120" s="109"/>
      <c r="Q1120" s="476"/>
      <c r="R1120" s="116">
        <v>1</v>
      </c>
    </row>
    <row r="1121" spans="1:18" ht="21.2" customHeight="1">
      <c r="A1121" s="482"/>
      <c r="B1121" s="136"/>
      <c r="C1121" s="136"/>
      <c r="D1121" s="136"/>
      <c r="E1121" s="136"/>
      <c r="F1121" s="136"/>
      <c r="G1121" s="136"/>
      <c r="H1121" s="136"/>
      <c r="I1121" s="136"/>
      <c r="J1121" s="136"/>
      <c r="K1121" s="136"/>
      <c r="L1121" s="136"/>
      <c r="M1121" s="136"/>
      <c r="N1121" s="136"/>
      <c r="O1121" s="136"/>
      <c r="P1121" s="136"/>
      <c r="Q1121" s="483"/>
      <c r="R1121" s="116">
        <v>1</v>
      </c>
    </row>
    <row r="1122" spans="1:18" ht="21.2" customHeight="1">
      <c r="R1122" s="116">
        <v>1</v>
      </c>
    </row>
    <row r="1123" spans="1:18" s="472" customFormat="1" ht="21.2" customHeight="1">
      <c r="A1123" s="796" t="s">
        <v>3329</v>
      </c>
      <c r="B1123" s="796"/>
      <c r="C1123" s="796"/>
      <c r="D1123" s="796"/>
      <c r="E1123" s="796"/>
      <c r="F1123" s="796"/>
      <c r="G1123" s="796"/>
      <c r="H1123" s="796"/>
      <c r="I1123" s="796"/>
      <c r="J1123" s="796"/>
      <c r="K1123" s="796"/>
      <c r="L1123" s="796"/>
      <c r="M1123" s="796"/>
      <c r="N1123" s="796"/>
      <c r="O1123" s="796"/>
      <c r="P1123" s="796"/>
      <c r="Q1123" s="796"/>
      <c r="R1123" s="116">
        <v>1</v>
      </c>
    </row>
    <row r="1124" spans="1:18" ht="21.2" customHeight="1">
      <c r="A1124" s="473" t="s">
        <v>1437</v>
      </c>
      <c r="B1124" s="142" t="s">
        <v>1526</v>
      </c>
      <c r="C1124" s="125" t="s">
        <v>3659</v>
      </c>
      <c r="D1124" s="125"/>
      <c r="E1124" s="125"/>
      <c r="F1124" s="125"/>
      <c r="G1124" s="125"/>
      <c r="H1124" s="125"/>
      <c r="I1124" s="125"/>
      <c r="J1124" s="125"/>
      <c r="K1124" s="125"/>
      <c r="L1124" s="125"/>
      <c r="M1124" s="125"/>
      <c r="N1124" s="125"/>
      <c r="O1124" s="125"/>
      <c r="P1124" s="125"/>
      <c r="Q1124" s="474"/>
      <c r="R1124" s="116">
        <v>1</v>
      </c>
    </row>
    <row r="1125" spans="1:18" ht="21.2" customHeight="1">
      <c r="A1125" s="475" t="s">
        <v>1100</v>
      </c>
      <c r="B1125" s="118" t="s">
        <v>1526</v>
      </c>
      <c r="C1125" s="707" t="s">
        <v>569</v>
      </c>
      <c r="D1125" s="109"/>
      <c r="E1125" s="109"/>
      <c r="F1125" s="109"/>
      <c r="G1125" s="109" t="s">
        <v>1527</v>
      </c>
      <c r="H1125" s="109" t="s">
        <v>1526</v>
      </c>
      <c r="I1125" s="109" t="s">
        <v>448</v>
      </c>
      <c r="J1125" s="109"/>
      <c r="K1125" s="109"/>
      <c r="L1125" s="109"/>
      <c r="M1125" s="109"/>
      <c r="N1125" s="109"/>
      <c r="O1125" s="109"/>
      <c r="P1125" s="109"/>
      <c r="Q1125" s="476"/>
      <c r="R1125" s="116">
        <v>1</v>
      </c>
    </row>
    <row r="1126" spans="1:18" ht="21.2" customHeight="1">
      <c r="A1126" s="477">
        <f>A1091+1</f>
        <v>20</v>
      </c>
      <c r="B1126" s="109"/>
      <c r="C1126" s="109"/>
      <c r="D1126" s="109"/>
      <c r="E1126" s="109"/>
      <c r="F1126" s="109"/>
      <c r="G1126" s="109"/>
      <c r="H1126" s="109"/>
      <c r="I1126" s="109"/>
      <c r="J1126" s="109"/>
      <c r="K1126" s="109"/>
      <c r="L1126" s="109"/>
      <c r="M1126" s="109"/>
      <c r="N1126" s="109"/>
      <c r="O1126" s="109"/>
      <c r="P1126" s="109"/>
      <c r="Q1126" s="476"/>
      <c r="R1126" s="116">
        <v>1</v>
      </c>
    </row>
    <row r="1127" spans="1:18" ht="21.2" customHeight="1">
      <c r="A1127" s="473" t="s">
        <v>1102</v>
      </c>
      <c r="B1127" s="125"/>
      <c r="C1127" s="125" t="s">
        <v>4024</v>
      </c>
      <c r="D1127" s="125"/>
      <c r="E1127" s="125"/>
      <c r="F1127" s="125"/>
      <c r="G1127" s="125"/>
      <c r="H1127" s="125"/>
      <c r="I1127" s="125"/>
      <c r="J1127" s="125"/>
      <c r="K1127" s="125"/>
      <c r="L1127" s="125"/>
      <c r="M1127" s="125"/>
      <c r="N1127" s="125"/>
      <c r="O1127" s="125"/>
      <c r="P1127" s="125"/>
      <c r="Q1127" s="474"/>
      <c r="R1127" s="116">
        <v>1</v>
      </c>
    </row>
    <row r="1128" spans="1:18" ht="21.2" customHeight="1">
      <c r="A1128" s="475" t="s">
        <v>1103</v>
      </c>
      <c r="B1128" s="109"/>
      <c r="C1128" s="109"/>
      <c r="D1128" s="109"/>
      <c r="E1128" s="109"/>
      <c r="F1128" s="109"/>
      <c r="G1128" s="109"/>
      <c r="H1128" s="109"/>
      <c r="I1128" s="109"/>
      <c r="J1128" s="109"/>
      <c r="K1128" s="109"/>
      <c r="L1128" s="109"/>
      <c r="M1128" s="109"/>
      <c r="N1128" s="109"/>
      <c r="O1128" s="109"/>
      <c r="P1128" s="109"/>
      <c r="Q1128" s="476"/>
      <c r="R1128" s="116">
        <v>1</v>
      </c>
    </row>
    <row r="1129" spans="1:18" ht="21.2" customHeight="1">
      <c r="A1129" s="475"/>
      <c r="B1129" s="109"/>
      <c r="C1129" s="109"/>
      <c r="D1129" s="109"/>
      <c r="E1129" s="109"/>
      <c r="F1129" s="109"/>
      <c r="G1129" s="109"/>
      <c r="H1129" s="109"/>
      <c r="I1129" s="109"/>
      <c r="J1129" s="109"/>
      <c r="K1129" s="109"/>
      <c r="L1129" s="109"/>
      <c r="M1129" s="109"/>
      <c r="N1129" s="109"/>
      <c r="O1129" s="109"/>
      <c r="P1129" s="109"/>
      <c r="Q1129" s="476"/>
      <c r="R1129" s="116">
        <v>1</v>
      </c>
    </row>
    <row r="1130" spans="1:18" ht="21.2" customHeight="1">
      <c r="A1130" s="473" t="s">
        <v>1104</v>
      </c>
      <c r="B1130" s="125"/>
      <c r="C1130" s="125"/>
      <c r="D1130" s="125"/>
      <c r="E1130" s="125"/>
      <c r="F1130" s="125"/>
      <c r="G1130" s="125"/>
      <c r="H1130" s="125"/>
      <c r="I1130" s="125"/>
      <c r="J1130" s="125"/>
      <c r="K1130" s="125"/>
      <c r="L1130" s="125"/>
      <c r="M1130" s="125"/>
      <c r="N1130" s="125"/>
      <c r="O1130" s="125"/>
      <c r="P1130" s="125"/>
      <c r="Q1130" s="474"/>
      <c r="R1130" s="116">
        <v>1</v>
      </c>
    </row>
    <row r="1131" spans="1:18" ht="21.2" customHeight="1">
      <c r="A1131" s="475" t="s">
        <v>1105</v>
      </c>
      <c r="B1131" s="118" t="s">
        <v>1582</v>
      </c>
      <c r="C1131" s="478"/>
      <c r="D1131" s="109" t="s">
        <v>1106</v>
      </c>
      <c r="E1131" s="109"/>
      <c r="F1131" s="109"/>
      <c r="G1131" s="109"/>
      <c r="H1131" s="109"/>
      <c r="I1131" s="109"/>
      <c r="J1131" s="109"/>
      <c r="K1131" s="109"/>
      <c r="L1131" s="109"/>
      <c r="M1131" s="109"/>
      <c r="N1131" s="109"/>
      <c r="O1131" s="109"/>
      <c r="P1131" s="109"/>
      <c r="Q1131" s="476"/>
      <c r="R1131" s="116">
        <v>1</v>
      </c>
    </row>
    <row r="1132" spans="1:18" ht="21.2" customHeight="1">
      <c r="A1132" s="475" t="s">
        <v>1107</v>
      </c>
      <c r="B1132" s="118" t="s">
        <v>1582</v>
      </c>
      <c r="C1132" s="478"/>
      <c r="D1132" s="109"/>
      <c r="E1132" s="109"/>
      <c r="F1132" s="109"/>
      <c r="G1132" s="109"/>
      <c r="H1132" s="109"/>
      <c r="I1132" s="109"/>
      <c r="J1132" s="109"/>
      <c r="K1132" s="109"/>
      <c r="L1132" s="109"/>
      <c r="M1132" s="109"/>
      <c r="N1132" s="109"/>
      <c r="O1132" s="109"/>
      <c r="P1132" s="109"/>
      <c r="Q1132" s="476"/>
      <c r="R1132" s="116">
        <v>1</v>
      </c>
    </row>
    <row r="1133" spans="1:18" ht="21.2" customHeight="1">
      <c r="A1133" s="475" t="s">
        <v>1108</v>
      </c>
      <c r="B1133" s="118" t="s">
        <v>1582</v>
      </c>
      <c r="C1133" s="478"/>
      <c r="D1133" s="109"/>
      <c r="E1133" s="109"/>
      <c r="F1133" s="109"/>
      <c r="G1133" s="109"/>
      <c r="H1133" s="109"/>
      <c r="I1133" s="109"/>
      <c r="J1133" s="109"/>
      <c r="K1133" s="109"/>
      <c r="L1133" s="109"/>
      <c r="M1133" s="109"/>
      <c r="N1133" s="109"/>
      <c r="O1133" s="109"/>
      <c r="P1133" s="109"/>
      <c r="Q1133" s="476"/>
      <c r="R1133" s="116">
        <v>1</v>
      </c>
    </row>
    <row r="1134" spans="1:18" ht="21.2" customHeight="1">
      <c r="A1134" s="475" t="s">
        <v>1109</v>
      </c>
      <c r="B1134" s="118" t="s">
        <v>1582</v>
      </c>
      <c r="C1134" s="478"/>
      <c r="D1134" s="109"/>
      <c r="E1134" s="109"/>
      <c r="F1134" s="109"/>
      <c r="G1134" s="109"/>
      <c r="H1134" s="109"/>
      <c r="I1134" s="109"/>
      <c r="J1134" s="109"/>
      <c r="K1134" s="109"/>
      <c r="L1134" s="109"/>
      <c r="M1134" s="109"/>
      <c r="N1134" s="109"/>
      <c r="O1134" s="109"/>
      <c r="P1134" s="109"/>
      <c r="Q1134" s="476"/>
      <c r="R1134" s="116">
        <v>1</v>
      </c>
    </row>
    <row r="1135" spans="1:18" ht="21.2" customHeight="1">
      <c r="A1135" s="475" t="s">
        <v>1583</v>
      </c>
      <c r="B1135" s="118" t="s">
        <v>1582</v>
      </c>
      <c r="C1135" s="478"/>
      <c r="D1135" s="109"/>
      <c r="E1135" s="109"/>
      <c r="F1135" s="109"/>
      <c r="G1135" s="109"/>
      <c r="H1135" s="109"/>
      <c r="I1135" s="109"/>
      <c r="J1135" s="109"/>
      <c r="K1135" s="109"/>
      <c r="L1135" s="109"/>
      <c r="M1135" s="109"/>
      <c r="N1135" s="109"/>
      <c r="O1135" s="109"/>
      <c r="P1135" s="109"/>
      <c r="Q1135" s="476"/>
      <c r="R1135" s="116">
        <v>1</v>
      </c>
    </row>
    <row r="1136" spans="1:18" ht="21.2" customHeight="1">
      <c r="A1136" s="475"/>
      <c r="B1136" s="109"/>
      <c r="C1136" s="109"/>
      <c r="D1136" s="109"/>
      <c r="E1136" s="109"/>
      <c r="F1136" s="109"/>
      <c r="G1136" s="109"/>
      <c r="H1136" s="109"/>
      <c r="I1136" s="109"/>
      <c r="J1136" s="109"/>
      <c r="K1136" s="109"/>
      <c r="L1136" s="109"/>
      <c r="M1136" s="109"/>
      <c r="N1136" s="109"/>
      <c r="O1136" s="109"/>
      <c r="P1136" s="109"/>
      <c r="Q1136" s="476"/>
      <c r="R1136" s="116">
        <v>1</v>
      </c>
    </row>
    <row r="1137" spans="1:18" ht="21.2" customHeight="1">
      <c r="A1137" s="473" t="s">
        <v>1110</v>
      </c>
      <c r="B1137" s="125"/>
      <c r="C1137" s="125"/>
      <c r="D1137" s="125"/>
      <c r="E1137" s="125"/>
      <c r="F1137" s="125"/>
      <c r="G1137" s="125"/>
      <c r="H1137" s="125"/>
      <c r="I1137" s="125"/>
      <c r="J1137" s="125"/>
      <c r="K1137" s="125"/>
      <c r="L1137" s="125"/>
      <c r="M1137" s="125"/>
      <c r="N1137" s="125"/>
      <c r="O1137" s="125"/>
      <c r="P1137" s="125"/>
      <c r="Q1137" s="474"/>
      <c r="R1137" s="116">
        <v>1</v>
      </c>
    </row>
    <row r="1138" spans="1:18" ht="21.2" customHeight="1">
      <c r="A1138" s="475" t="s">
        <v>1111</v>
      </c>
      <c r="B1138" s="118" t="s">
        <v>1582</v>
      </c>
      <c r="C1138" s="118">
        <v>3600</v>
      </c>
      <c r="D1138" s="118" t="s">
        <v>86</v>
      </c>
      <c r="E1138" s="118" t="s">
        <v>1105</v>
      </c>
      <c r="F1138" s="118" t="s">
        <v>86</v>
      </c>
      <c r="G1138" s="118" t="s">
        <v>1107</v>
      </c>
      <c r="H1138" s="118" t="s">
        <v>86</v>
      </c>
      <c r="I1138" s="118" t="s">
        <v>1108</v>
      </c>
      <c r="J1138" s="118" t="s">
        <v>86</v>
      </c>
      <c r="K1138" s="118" t="s">
        <v>1109</v>
      </c>
      <c r="L1138" s="479" t="s">
        <v>1112</v>
      </c>
      <c r="M1138" s="118" t="s">
        <v>1583</v>
      </c>
      <c r="N1138" s="707" t="s">
        <v>4025</v>
      </c>
      <c r="O1138" s="109"/>
      <c r="P1138" s="109"/>
      <c r="Q1138" s="476"/>
      <c r="R1138" s="116">
        <v>1</v>
      </c>
    </row>
    <row r="1139" spans="1:18" ht="21.2" customHeight="1">
      <c r="A1139" s="475"/>
      <c r="B1139" s="118" t="s">
        <v>1113</v>
      </c>
      <c r="C1139" s="118">
        <f>C1138</f>
        <v>3600</v>
      </c>
      <c r="D1139" s="118" t="str">
        <f>D1138</f>
        <v>*</v>
      </c>
      <c r="E1139" s="275">
        <f>C1131</f>
        <v>0</v>
      </c>
      <c r="F1139" s="118" t="str">
        <f>F1138</f>
        <v>*</v>
      </c>
      <c r="G1139" s="275">
        <f>C1132</f>
        <v>0</v>
      </c>
      <c r="H1139" s="118" t="str">
        <f>H1138</f>
        <v>*</v>
      </c>
      <c r="I1139" s="275">
        <f>C1133</f>
        <v>0</v>
      </c>
      <c r="J1139" s="118" t="str">
        <f>J1138</f>
        <v>*</v>
      </c>
      <c r="K1139" s="275">
        <f>C1134</f>
        <v>0</v>
      </c>
      <c r="L1139" s="118" t="str">
        <f>L1138</f>
        <v>/</v>
      </c>
      <c r="M1139" s="275">
        <f>C1135</f>
        <v>0</v>
      </c>
      <c r="N1139" s="118" t="s">
        <v>1582</v>
      </c>
      <c r="O1139" s="134">
        <v>3.3</v>
      </c>
      <c r="P1139" s="109"/>
      <c r="Q1139" s="476"/>
      <c r="R1139" s="116">
        <v>1</v>
      </c>
    </row>
    <row r="1140" spans="1:18" ht="21.2" customHeight="1">
      <c r="A1140" s="475"/>
      <c r="B1140" s="109"/>
      <c r="C1140" s="109"/>
      <c r="D1140" s="109"/>
      <c r="E1140" s="109"/>
      <c r="F1140" s="109"/>
      <c r="G1140" s="109"/>
      <c r="H1140" s="109"/>
      <c r="I1140" s="109"/>
      <c r="J1140" s="109"/>
      <c r="K1140" s="109"/>
      <c r="L1140" s="109"/>
      <c r="M1140" s="109"/>
      <c r="N1140" s="109"/>
      <c r="O1140" s="109"/>
      <c r="P1140" s="109"/>
      <c r="Q1140" s="476"/>
      <c r="R1140" s="116">
        <v>1</v>
      </c>
    </row>
    <row r="1141" spans="1:18" ht="21.2" customHeight="1">
      <c r="A1141" s="473" t="s">
        <v>1114</v>
      </c>
      <c r="B1141" s="125"/>
      <c r="C1141" s="125"/>
      <c r="D1141" s="125"/>
      <c r="E1141" s="125"/>
      <c r="F1141" s="125"/>
      <c r="G1141" s="125"/>
      <c r="H1141" s="125"/>
      <c r="I1141" s="125"/>
      <c r="J1141" s="125"/>
      <c r="K1141" s="125"/>
      <c r="L1141" s="125"/>
      <c r="M1141" s="125"/>
      <c r="N1141" s="125"/>
      <c r="O1141" s="125"/>
      <c r="P1141" s="125"/>
      <c r="Q1141" s="474"/>
      <c r="R1141" s="116">
        <v>1</v>
      </c>
    </row>
    <row r="1142" spans="1:18" ht="21.2" customHeight="1">
      <c r="A1142" s="475" t="s">
        <v>1436</v>
      </c>
      <c r="B1142" s="109" t="s">
        <v>1582</v>
      </c>
      <c r="C1142" s="480">
        <f>중기사용료!$M$100</f>
        <v>12514</v>
      </c>
      <c r="D1142" s="479" t="s">
        <v>1112</v>
      </c>
      <c r="E1142" s="118" t="s">
        <v>1111</v>
      </c>
      <c r="F1142" s="109"/>
      <c r="G1142" s="109"/>
      <c r="H1142" s="109"/>
      <c r="I1142" s="109"/>
      <c r="J1142" s="109"/>
      <c r="K1142" s="109"/>
      <c r="L1142" s="109"/>
      <c r="M1142" s="109"/>
      <c r="N1142" s="109"/>
      <c r="O1142" s="109"/>
      <c r="P1142" s="109"/>
      <c r="Q1142" s="476"/>
      <c r="R1142" s="116">
        <v>1</v>
      </c>
    </row>
    <row r="1143" spans="1:18" ht="21.2" customHeight="1">
      <c r="A1143" s="475"/>
      <c r="B1143" s="118" t="s">
        <v>1113</v>
      </c>
      <c r="C1143" s="480">
        <f>C1142</f>
        <v>12514</v>
      </c>
      <c r="D1143" s="118" t="str">
        <f>D1142</f>
        <v>/</v>
      </c>
      <c r="E1143" s="134">
        <f>O1139</f>
        <v>3.3</v>
      </c>
      <c r="F1143" s="109" t="s">
        <v>1582</v>
      </c>
      <c r="G1143" s="481">
        <f>TRUNC(C1143/E1143)</f>
        <v>3792</v>
      </c>
      <c r="H1143" s="109"/>
      <c r="I1143" s="109"/>
      <c r="J1143" s="109"/>
      <c r="K1143" s="109"/>
      <c r="L1143" s="109"/>
      <c r="M1143" s="109"/>
      <c r="N1143" s="109"/>
      <c r="O1143" s="109"/>
      <c r="P1143" s="109"/>
      <c r="Q1143" s="476"/>
      <c r="R1143" s="116">
        <v>1</v>
      </c>
    </row>
    <row r="1144" spans="1:18" ht="21.2" customHeight="1">
      <c r="A1144" s="475"/>
      <c r="B1144" s="109"/>
      <c r="C1144" s="109"/>
      <c r="D1144" s="109"/>
      <c r="E1144" s="109"/>
      <c r="F1144" s="109"/>
      <c r="G1144" s="109"/>
      <c r="H1144" s="109"/>
      <c r="I1144" s="109"/>
      <c r="J1144" s="109"/>
      <c r="K1144" s="109"/>
      <c r="L1144" s="109"/>
      <c r="M1144" s="109"/>
      <c r="N1144" s="109"/>
      <c r="O1144" s="109"/>
      <c r="P1144" s="109"/>
      <c r="Q1144" s="476"/>
      <c r="R1144" s="116">
        <v>1</v>
      </c>
    </row>
    <row r="1145" spans="1:18" ht="21.2" customHeight="1">
      <c r="A1145" s="475" t="s">
        <v>1115</v>
      </c>
      <c r="B1145" s="109" t="s">
        <v>1582</v>
      </c>
      <c r="C1145" s="480">
        <f>중기사용료!$M$106</f>
        <v>27168</v>
      </c>
      <c r="D1145" s="479" t="s">
        <v>1112</v>
      </c>
      <c r="E1145" s="118" t="s">
        <v>1111</v>
      </c>
      <c r="F1145" s="118"/>
      <c r="G1145" s="118"/>
      <c r="H1145" s="109"/>
      <c r="I1145" s="109"/>
      <c r="J1145" s="109"/>
      <c r="K1145" s="109"/>
      <c r="L1145" s="109"/>
      <c r="M1145" s="109"/>
      <c r="N1145" s="109"/>
      <c r="O1145" s="109"/>
      <c r="P1145" s="109"/>
      <c r="Q1145" s="476"/>
      <c r="R1145" s="116">
        <v>1</v>
      </c>
    </row>
    <row r="1146" spans="1:18" ht="21.2" customHeight="1">
      <c r="A1146" s="475"/>
      <c r="B1146" s="118" t="s">
        <v>1113</v>
      </c>
      <c r="C1146" s="480">
        <f>C1145</f>
        <v>27168</v>
      </c>
      <c r="D1146" s="479" t="str">
        <f>D1145</f>
        <v>/</v>
      </c>
      <c r="E1146" s="134">
        <f>O1139</f>
        <v>3.3</v>
      </c>
      <c r="F1146" s="118" t="s">
        <v>1582</v>
      </c>
      <c r="G1146" s="481">
        <f>TRUNC(C1146/E1146)</f>
        <v>8232</v>
      </c>
      <c r="H1146" s="109"/>
      <c r="I1146" s="109"/>
      <c r="J1146" s="109"/>
      <c r="K1146" s="109"/>
      <c r="L1146" s="109"/>
      <c r="M1146" s="109"/>
      <c r="N1146" s="109"/>
      <c r="O1146" s="109"/>
      <c r="P1146" s="109"/>
      <c r="Q1146" s="476"/>
      <c r="R1146" s="116">
        <v>1</v>
      </c>
    </row>
    <row r="1147" spans="1:18" ht="21.2" customHeight="1">
      <c r="A1147" s="475"/>
      <c r="B1147" s="109"/>
      <c r="C1147" s="109"/>
      <c r="D1147" s="109"/>
      <c r="E1147" s="109"/>
      <c r="F1147" s="109"/>
      <c r="G1147" s="109"/>
      <c r="H1147" s="109"/>
      <c r="I1147" s="109"/>
      <c r="J1147" s="109"/>
      <c r="K1147" s="109"/>
      <c r="L1147" s="109"/>
      <c r="M1147" s="109"/>
      <c r="N1147" s="109"/>
      <c r="O1147" s="109"/>
      <c r="P1147" s="109"/>
      <c r="Q1147" s="476"/>
      <c r="R1147" s="116">
        <v>1</v>
      </c>
    </row>
    <row r="1148" spans="1:18" ht="21.2" customHeight="1">
      <c r="A1148" s="475" t="s">
        <v>1116</v>
      </c>
      <c r="B1148" s="118" t="s">
        <v>1582</v>
      </c>
      <c r="C1148" s="480">
        <f>중기사용료!$M$112</f>
        <v>13465</v>
      </c>
      <c r="D1148" s="479" t="s">
        <v>1112</v>
      </c>
      <c r="E1148" s="118" t="s">
        <v>1111</v>
      </c>
      <c r="F1148" s="118"/>
      <c r="G1148" s="118"/>
      <c r="H1148" s="109"/>
      <c r="I1148" s="109"/>
      <c r="J1148" s="109"/>
      <c r="K1148" s="109"/>
      <c r="L1148" s="109"/>
      <c r="M1148" s="109"/>
      <c r="N1148" s="109"/>
      <c r="O1148" s="109"/>
      <c r="P1148" s="109"/>
      <c r="Q1148" s="476"/>
      <c r="R1148" s="116">
        <v>1</v>
      </c>
    </row>
    <row r="1149" spans="1:18" ht="21.2" customHeight="1">
      <c r="A1149" s="475"/>
      <c r="B1149" s="118" t="s">
        <v>1113</v>
      </c>
      <c r="C1149" s="480">
        <f>C1148</f>
        <v>13465</v>
      </c>
      <c r="D1149" s="118" t="str">
        <f>D1148</f>
        <v>/</v>
      </c>
      <c r="E1149" s="134">
        <f>O1139</f>
        <v>3.3</v>
      </c>
      <c r="F1149" s="118" t="s">
        <v>1582</v>
      </c>
      <c r="G1149" s="481">
        <f>TRUNC(C1149/E1149)</f>
        <v>4080</v>
      </c>
      <c r="H1149" s="109"/>
      <c r="I1149" s="109"/>
      <c r="J1149" s="109"/>
      <c r="K1149" s="109"/>
      <c r="L1149" s="109"/>
      <c r="M1149" s="109"/>
      <c r="N1149" s="109"/>
      <c r="O1149" s="109"/>
      <c r="P1149" s="109"/>
      <c r="Q1149" s="476"/>
      <c r="R1149" s="116">
        <v>1</v>
      </c>
    </row>
    <row r="1150" spans="1:18" ht="21.2" customHeight="1">
      <c r="A1150" s="475"/>
      <c r="B1150" s="109"/>
      <c r="C1150" s="109"/>
      <c r="D1150" s="109"/>
      <c r="E1150" s="109"/>
      <c r="F1150" s="109"/>
      <c r="G1150" s="109"/>
      <c r="H1150" s="118" t="s">
        <v>1117</v>
      </c>
      <c r="I1150" s="118" t="s">
        <v>1118</v>
      </c>
      <c r="J1150" s="118" t="s">
        <v>1113</v>
      </c>
      <c r="K1150" s="797">
        <f>G1143+G1146+G1149</f>
        <v>16104</v>
      </c>
      <c r="L1150" s="797"/>
      <c r="M1150" s="797"/>
      <c r="N1150" s="118" t="s">
        <v>1119</v>
      </c>
      <c r="O1150" s="109"/>
      <c r="P1150" s="109"/>
      <c r="Q1150" s="476"/>
      <c r="R1150" s="116">
        <v>1</v>
      </c>
    </row>
    <row r="1151" spans="1:18" ht="21.2" customHeight="1">
      <c r="A1151" s="475"/>
      <c r="B1151" s="109"/>
      <c r="C1151" s="109"/>
      <c r="D1151" s="109"/>
      <c r="E1151" s="109"/>
      <c r="F1151" s="109"/>
      <c r="G1151" s="109"/>
      <c r="H1151" s="109"/>
      <c r="I1151" s="109"/>
      <c r="J1151" s="109"/>
      <c r="K1151" s="109"/>
      <c r="L1151" s="109"/>
      <c r="M1151" s="109"/>
      <c r="N1151" s="109"/>
      <c r="O1151" s="109"/>
      <c r="P1151" s="109"/>
      <c r="Q1151" s="476"/>
      <c r="R1151" s="116">
        <v>1</v>
      </c>
    </row>
    <row r="1152" spans="1:18" ht="21.2" customHeight="1">
      <c r="A1152" s="475"/>
      <c r="B1152" s="109"/>
      <c r="C1152" s="109"/>
      <c r="D1152" s="109"/>
      <c r="E1152" s="109"/>
      <c r="F1152" s="109"/>
      <c r="G1152" s="109"/>
      <c r="H1152" s="109"/>
      <c r="I1152" s="109"/>
      <c r="J1152" s="109"/>
      <c r="K1152" s="109"/>
      <c r="L1152" s="109"/>
      <c r="M1152" s="109"/>
      <c r="N1152" s="109"/>
      <c r="O1152" s="109"/>
      <c r="P1152" s="109"/>
      <c r="Q1152" s="476"/>
      <c r="R1152" s="116">
        <v>1</v>
      </c>
    </row>
    <row r="1153" spans="1:18" ht="21.2" customHeight="1">
      <c r="A1153" s="475"/>
      <c r="B1153" s="109"/>
      <c r="C1153" s="109"/>
      <c r="D1153" s="109"/>
      <c r="E1153" s="109"/>
      <c r="F1153" s="109"/>
      <c r="G1153" s="109"/>
      <c r="H1153" s="109"/>
      <c r="I1153" s="109"/>
      <c r="J1153" s="109"/>
      <c r="K1153" s="109"/>
      <c r="L1153" s="109"/>
      <c r="M1153" s="109"/>
      <c r="N1153" s="109"/>
      <c r="O1153" s="109"/>
      <c r="P1153" s="109"/>
      <c r="Q1153" s="476"/>
      <c r="R1153" s="116">
        <v>1</v>
      </c>
    </row>
    <row r="1154" spans="1:18" ht="21.2" customHeight="1">
      <c r="A1154" s="475"/>
      <c r="B1154" s="109"/>
      <c r="C1154" s="109"/>
      <c r="D1154" s="109"/>
      <c r="E1154" s="109"/>
      <c r="F1154" s="109"/>
      <c r="G1154" s="109"/>
      <c r="H1154" s="109"/>
      <c r="I1154" s="109"/>
      <c r="J1154" s="109"/>
      <c r="K1154" s="109"/>
      <c r="L1154" s="109"/>
      <c r="M1154" s="109"/>
      <c r="N1154" s="109"/>
      <c r="O1154" s="109"/>
      <c r="P1154" s="109"/>
      <c r="Q1154" s="476"/>
      <c r="R1154" s="116">
        <v>1</v>
      </c>
    </row>
    <row r="1155" spans="1:18" ht="21.2" customHeight="1">
      <c r="A1155" s="475"/>
      <c r="B1155" s="109"/>
      <c r="C1155" s="109"/>
      <c r="D1155" s="109"/>
      <c r="E1155" s="109"/>
      <c r="F1155" s="109"/>
      <c r="G1155" s="109"/>
      <c r="H1155" s="109"/>
      <c r="I1155" s="109"/>
      <c r="J1155" s="109"/>
      <c r="K1155" s="109"/>
      <c r="L1155" s="109"/>
      <c r="M1155" s="109"/>
      <c r="N1155" s="109"/>
      <c r="O1155" s="109"/>
      <c r="P1155" s="109"/>
      <c r="Q1155" s="476"/>
      <c r="R1155" s="116">
        <v>1</v>
      </c>
    </row>
    <row r="1156" spans="1:18" ht="21.2" customHeight="1">
      <c r="A1156" s="482"/>
      <c r="B1156" s="136"/>
      <c r="C1156" s="136"/>
      <c r="D1156" s="136"/>
      <c r="E1156" s="136"/>
      <c r="F1156" s="136"/>
      <c r="G1156" s="136"/>
      <c r="H1156" s="136"/>
      <c r="I1156" s="136"/>
      <c r="J1156" s="136"/>
      <c r="K1156" s="136"/>
      <c r="L1156" s="136"/>
      <c r="M1156" s="136"/>
      <c r="N1156" s="136"/>
      <c r="O1156" s="136"/>
      <c r="P1156" s="136"/>
      <c r="Q1156" s="483"/>
      <c r="R1156" s="116">
        <v>1</v>
      </c>
    </row>
    <row r="1157" spans="1:18" ht="21.2" customHeight="1">
      <c r="R1157" s="116">
        <v>1</v>
      </c>
    </row>
    <row r="1158" spans="1:18" s="472" customFormat="1" ht="21.2" customHeight="1">
      <c r="A1158" s="796" t="s">
        <v>3329</v>
      </c>
      <c r="B1158" s="796"/>
      <c r="C1158" s="796"/>
      <c r="D1158" s="796"/>
      <c r="E1158" s="796"/>
      <c r="F1158" s="796"/>
      <c r="G1158" s="796"/>
      <c r="H1158" s="796"/>
      <c r="I1158" s="796"/>
      <c r="J1158" s="796"/>
      <c r="K1158" s="796"/>
      <c r="L1158" s="796"/>
      <c r="M1158" s="796"/>
      <c r="N1158" s="796"/>
      <c r="O1158" s="796"/>
      <c r="P1158" s="796"/>
      <c r="Q1158" s="796"/>
      <c r="R1158" s="116">
        <v>1</v>
      </c>
    </row>
    <row r="1159" spans="1:18" ht="21.2" customHeight="1">
      <c r="A1159" s="473" t="s">
        <v>1437</v>
      </c>
      <c r="B1159" s="142" t="s">
        <v>1526</v>
      </c>
      <c r="C1159" s="125" t="s">
        <v>3660</v>
      </c>
      <c r="D1159" s="125"/>
      <c r="E1159" s="125"/>
      <c r="F1159" s="125"/>
      <c r="G1159" s="125"/>
      <c r="H1159" s="125"/>
      <c r="I1159" s="125"/>
      <c r="J1159" s="125"/>
      <c r="K1159" s="125"/>
      <c r="L1159" s="125"/>
      <c r="M1159" s="125"/>
      <c r="N1159" s="125"/>
      <c r="O1159" s="125"/>
      <c r="P1159" s="125"/>
      <c r="Q1159" s="474"/>
      <c r="R1159" s="116">
        <v>1</v>
      </c>
    </row>
    <row r="1160" spans="1:18" ht="21.2" customHeight="1">
      <c r="A1160" s="475" t="s">
        <v>1100</v>
      </c>
      <c r="B1160" s="118" t="s">
        <v>1526</v>
      </c>
      <c r="C1160" s="707" t="s">
        <v>569</v>
      </c>
      <c r="D1160" s="109"/>
      <c r="E1160" s="109"/>
      <c r="F1160" s="109"/>
      <c r="G1160" s="109" t="s">
        <v>1527</v>
      </c>
      <c r="H1160" s="109" t="s">
        <v>1526</v>
      </c>
      <c r="I1160" s="109" t="s">
        <v>448</v>
      </c>
      <c r="J1160" s="109"/>
      <c r="K1160" s="109"/>
      <c r="L1160" s="109"/>
      <c r="M1160" s="109"/>
      <c r="N1160" s="109"/>
      <c r="O1160" s="109"/>
      <c r="P1160" s="109"/>
      <c r="Q1160" s="476"/>
      <c r="R1160" s="116">
        <v>1</v>
      </c>
    </row>
    <row r="1161" spans="1:18" ht="21.2" customHeight="1">
      <c r="A1161" s="477">
        <f>A1126+1</f>
        <v>21</v>
      </c>
      <c r="B1161" s="109"/>
      <c r="C1161" s="109"/>
      <c r="D1161" s="109"/>
      <c r="E1161" s="109"/>
      <c r="F1161" s="109"/>
      <c r="G1161" s="109"/>
      <c r="H1161" s="109"/>
      <c r="I1161" s="109"/>
      <c r="J1161" s="109"/>
      <c r="K1161" s="109"/>
      <c r="L1161" s="109"/>
      <c r="M1161" s="109"/>
      <c r="N1161" s="109"/>
      <c r="O1161" s="109"/>
      <c r="P1161" s="109"/>
      <c r="Q1161" s="476"/>
      <c r="R1161" s="116">
        <v>1</v>
      </c>
    </row>
    <row r="1162" spans="1:18" ht="21.2" customHeight="1">
      <c r="A1162" s="473" t="s">
        <v>1102</v>
      </c>
      <c r="B1162" s="125"/>
      <c r="C1162" s="125" t="s">
        <v>4024</v>
      </c>
      <c r="D1162" s="125"/>
      <c r="E1162" s="125"/>
      <c r="F1162" s="125"/>
      <c r="G1162" s="125"/>
      <c r="H1162" s="125"/>
      <c r="I1162" s="125"/>
      <c r="J1162" s="125"/>
      <c r="K1162" s="125"/>
      <c r="L1162" s="125"/>
      <c r="M1162" s="125"/>
      <c r="N1162" s="125"/>
      <c r="O1162" s="125"/>
      <c r="P1162" s="125"/>
      <c r="Q1162" s="474"/>
      <c r="R1162" s="116">
        <v>1</v>
      </c>
    </row>
    <row r="1163" spans="1:18" ht="21.2" customHeight="1">
      <c r="A1163" s="475" t="s">
        <v>1103</v>
      </c>
      <c r="B1163" s="109"/>
      <c r="C1163" s="109"/>
      <c r="D1163" s="109"/>
      <c r="E1163" s="109"/>
      <c r="F1163" s="109"/>
      <c r="G1163" s="109"/>
      <c r="H1163" s="109"/>
      <c r="I1163" s="109"/>
      <c r="J1163" s="109"/>
      <c r="K1163" s="109"/>
      <c r="L1163" s="109"/>
      <c r="M1163" s="109"/>
      <c r="N1163" s="109"/>
      <c r="O1163" s="109"/>
      <c r="P1163" s="109"/>
      <c r="Q1163" s="476"/>
      <c r="R1163" s="116">
        <v>1</v>
      </c>
    </row>
    <row r="1164" spans="1:18" ht="21.2" customHeight="1">
      <c r="A1164" s="475"/>
      <c r="B1164" s="109"/>
      <c r="C1164" s="109"/>
      <c r="D1164" s="109"/>
      <c r="E1164" s="109"/>
      <c r="F1164" s="109"/>
      <c r="G1164" s="109"/>
      <c r="H1164" s="109"/>
      <c r="I1164" s="109"/>
      <c r="J1164" s="109"/>
      <c r="K1164" s="109"/>
      <c r="L1164" s="109"/>
      <c r="M1164" s="109"/>
      <c r="N1164" s="109"/>
      <c r="O1164" s="109"/>
      <c r="P1164" s="109"/>
      <c r="Q1164" s="476"/>
      <c r="R1164" s="116">
        <v>1</v>
      </c>
    </row>
    <row r="1165" spans="1:18" ht="21.2" customHeight="1">
      <c r="A1165" s="473" t="s">
        <v>1104</v>
      </c>
      <c r="B1165" s="125"/>
      <c r="C1165" s="125"/>
      <c r="D1165" s="125"/>
      <c r="E1165" s="125"/>
      <c r="F1165" s="125"/>
      <c r="G1165" s="125"/>
      <c r="H1165" s="125"/>
      <c r="I1165" s="125"/>
      <c r="J1165" s="125"/>
      <c r="K1165" s="125"/>
      <c r="L1165" s="125"/>
      <c r="M1165" s="125"/>
      <c r="N1165" s="125"/>
      <c r="O1165" s="125"/>
      <c r="P1165" s="125"/>
      <c r="Q1165" s="474"/>
      <c r="R1165" s="116">
        <v>1</v>
      </c>
    </row>
    <row r="1166" spans="1:18" ht="21.2" customHeight="1">
      <c r="A1166" s="475" t="s">
        <v>1105</v>
      </c>
      <c r="B1166" s="118" t="s">
        <v>1582</v>
      </c>
      <c r="C1166" s="478"/>
      <c r="D1166" s="109" t="s">
        <v>1106</v>
      </c>
      <c r="E1166" s="109"/>
      <c r="F1166" s="109"/>
      <c r="G1166" s="109"/>
      <c r="H1166" s="109"/>
      <c r="I1166" s="109"/>
      <c r="J1166" s="109"/>
      <c r="K1166" s="109"/>
      <c r="L1166" s="109"/>
      <c r="M1166" s="109"/>
      <c r="N1166" s="109"/>
      <c r="O1166" s="109"/>
      <c r="P1166" s="109"/>
      <c r="Q1166" s="476"/>
      <c r="R1166" s="116">
        <v>1</v>
      </c>
    </row>
    <row r="1167" spans="1:18" ht="21.2" customHeight="1">
      <c r="A1167" s="475" t="s">
        <v>1107</v>
      </c>
      <c r="B1167" s="118" t="s">
        <v>1582</v>
      </c>
      <c r="C1167" s="478"/>
      <c r="D1167" s="109"/>
      <c r="E1167" s="109"/>
      <c r="F1167" s="109"/>
      <c r="G1167" s="109"/>
      <c r="H1167" s="109"/>
      <c r="I1167" s="109"/>
      <c r="J1167" s="109"/>
      <c r="K1167" s="109"/>
      <c r="L1167" s="109"/>
      <c r="M1167" s="109"/>
      <c r="N1167" s="109"/>
      <c r="O1167" s="109"/>
      <c r="P1167" s="109"/>
      <c r="Q1167" s="476"/>
      <c r="R1167" s="116">
        <v>1</v>
      </c>
    </row>
    <row r="1168" spans="1:18" ht="21.2" customHeight="1">
      <c r="A1168" s="475" t="s">
        <v>1108</v>
      </c>
      <c r="B1168" s="118" t="s">
        <v>1582</v>
      </c>
      <c r="C1168" s="478"/>
      <c r="D1168" s="109"/>
      <c r="E1168" s="109"/>
      <c r="F1168" s="109"/>
      <c r="G1168" s="109"/>
      <c r="H1168" s="109"/>
      <c r="I1168" s="109"/>
      <c r="J1168" s="109"/>
      <c r="K1168" s="109"/>
      <c r="L1168" s="109"/>
      <c r="M1168" s="109"/>
      <c r="N1168" s="109"/>
      <c r="O1168" s="109"/>
      <c r="P1168" s="109"/>
      <c r="Q1168" s="476"/>
      <c r="R1168" s="116">
        <v>1</v>
      </c>
    </row>
    <row r="1169" spans="1:18" ht="21.2" customHeight="1">
      <c r="A1169" s="475" t="s">
        <v>1109</v>
      </c>
      <c r="B1169" s="118" t="s">
        <v>1582</v>
      </c>
      <c r="C1169" s="478"/>
      <c r="D1169" s="109"/>
      <c r="E1169" s="109"/>
      <c r="F1169" s="109"/>
      <c r="G1169" s="109"/>
      <c r="H1169" s="109"/>
      <c r="I1169" s="109"/>
      <c r="J1169" s="109"/>
      <c r="K1169" s="109"/>
      <c r="L1169" s="109"/>
      <c r="M1169" s="109"/>
      <c r="N1169" s="109"/>
      <c r="O1169" s="109"/>
      <c r="P1169" s="109"/>
      <c r="Q1169" s="476"/>
      <c r="R1169" s="116">
        <v>1</v>
      </c>
    </row>
    <row r="1170" spans="1:18" ht="21.2" customHeight="1">
      <c r="A1170" s="475" t="s">
        <v>1583</v>
      </c>
      <c r="B1170" s="118" t="s">
        <v>1582</v>
      </c>
      <c r="C1170" s="478"/>
      <c r="D1170" s="109"/>
      <c r="E1170" s="109"/>
      <c r="F1170" s="109"/>
      <c r="G1170" s="109"/>
      <c r="H1170" s="109"/>
      <c r="I1170" s="109"/>
      <c r="J1170" s="109"/>
      <c r="K1170" s="109"/>
      <c r="L1170" s="109"/>
      <c r="M1170" s="109"/>
      <c r="N1170" s="109"/>
      <c r="O1170" s="109"/>
      <c r="P1170" s="109"/>
      <c r="Q1170" s="476"/>
      <c r="R1170" s="116">
        <v>1</v>
      </c>
    </row>
    <row r="1171" spans="1:18" ht="21.2" customHeight="1">
      <c r="A1171" s="475"/>
      <c r="B1171" s="109"/>
      <c r="C1171" s="109"/>
      <c r="D1171" s="109"/>
      <c r="E1171" s="109"/>
      <c r="F1171" s="109"/>
      <c r="G1171" s="109"/>
      <c r="H1171" s="109"/>
      <c r="I1171" s="109"/>
      <c r="J1171" s="109"/>
      <c r="K1171" s="109"/>
      <c r="L1171" s="109"/>
      <c r="M1171" s="109"/>
      <c r="N1171" s="109"/>
      <c r="O1171" s="109"/>
      <c r="P1171" s="109"/>
      <c r="Q1171" s="476"/>
      <c r="R1171" s="116">
        <v>1</v>
      </c>
    </row>
    <row r="1172" spans="1:18" ht="21.2" customHeight="1">
      <c r="A1172" s="473" t="s">
        <v>1110</v>
      </c>
      <c r="B1172" s="125"/>
      <c r="C1172" s="125"/>
      <c r="D1172" s="125"/>
      <c r="E1172" s="125"/>
      <c r="F1172" s="125"/>
      <c r="G1172" s="125"/>
      <c r="H1172" s="125"/>
      <c r="I1172" s="125"/>
      <c r="J1172" s="125"/>
      <c r="K1172" s="125"/>
      <c r="L1172" s="125"/>
      <c r="M1172" s="125"/>
      <c r="N1172" s="125"/>
      <c r="O1172" s="125"/>
      <c r="P1172" s="125"/>
      <c r="Q1172" s="474"/>
      <c r="R1172" s="116">
        <v>1</v>
      </c>
    </row>
    <row r="1173" spans="1:18" ht="21.2" customHeight="1">
      <c r="A1173" s="475" t="s">
        <v>1111</v>
      </c>
      <c r="B1173" s="118" t="s">
        <v>1582</v>
      </c>
      <c r="C1173" s="118">
        <v>3600</v>
      </c>
      <c r="D1173" s="118" t="s">
        <v>86</v>
      </c>
      <c r="E1173" s="118" t="s">
        <v>1105</v>
      </c>
      <c r="F1173" s="118" t="s">
        <v>86</v>
      </c>
      <c r="G1173" s="118" t="s">
        <v>1107</v>
      </c>
      <c r="H1173" s="118" t="s">
        <v>86</v>
      </c>
      <c r="I1173" s="118" t="s">
        <v>1108</v>
      </c>
      <c r="J1173" s="118" t="s">
        <v>86</v>
      </c>
      <c r="K1173" s="118" t="s">
        <v>1109</v>
      </c>
      <c r="L1173" s="479" t="s">
        <v>1112</v>
      </c>
      <c r="M1173" s="118" t="s">
        <v>1583</v>
      </c>
      <c r="N1173" s="707" t="s">
        <v>4025</v>
      </c>
      <c r="O1173" s="109"/>
      <c r="P1173" s="109"/>
      <c r="Q1173" s="476"/>
      <c r="R1173" s="116">
        <v>1</v>
      </c>
    </row>
    <row r="1174" spans="1:18" ht="21.2" customHeight="1">
      <c r="A1174" s="475"/>
      <c r="B1174" s="118" t="s">
        <v>1113</v>
      </c>
      <c r="C1174" s="118">
        <f>C1173</f>
        <v>3600</v>
      </c>
      <c r="D1174" s="118" t="str">
        <f>D1173</f>
        <v>*</v>
      </c>
      <c r="E1174" s="275">
        <f>C1166</f>
        <v>0</v>
      </c>
      <c r="F1174" s="118" t="str">
        <f>F1173</f>
        <v>*</v>
      </c>
      <c r="G1174" s="275">
        <f>C1167</f>
        <v>0</v>
      </c>
      <c r="H1174" s="118" t="str">
        <f>H1173</f>
        <v>*</v>
      </c>
      <c r="I1174" s="275">
        <f>C1168</f>
        <v>0</v>
      </c>
      <c r="J1174" s="118" t="str">
        <f>J1173</f>
        <v>*</v>
      </c>
      <c r="K1174" s="275">
        <f>C1169</f>
        <v>0</v>
      </c>
      <c r="L1174" s="118" t="str">
        <f>L1173</f>
        <v>/</v>
      </c>
      <c r="M1174" s="275">
        <f>C1170</f>
        <v>0</v>
      </c>
      <c r="N1174" s="118" t="s">
        <v>1582</v>
      </c>
      <c r="O1174" s="134">
        <v>2.6</v>
      </c>
      <c r="P1174" s="109"/>
      <c r="Q1174" s="476"/>
      <c r="R1174" s="116">
        <v>1</v>
      </c>
    </row>
    <row r="1175" spans="1:18" ht="21.2" customHeight="1">
      <c r="A1175" s="475"/>
      <c r="B1175" s="109"/>
      <c r="C1175" s="109"/>
      <c r="D1175" s="109"/>
      <c r="E1175" s="109"/>
      <c r="F1175" s="109"/>
      <c r="G1175" s="109"/>
      <c r="H1175" s="109"/>
      <c r="I1175" s="109"/>
      <c r="J1175" s="109"/>
      <c r="K1175" s="109"/>
      <c r="L1175" s="109"/>
      <c r="M1175" s="109"/>
      <c r="N1175" s="109"/>
      <c r="O1175" s="109"/>
      <c r="P1175" s="109"/>
      <c r="Q1175" s="476"/>
      <c r="R1175" s="116">
        <v>1</v>
      </c>
    </row>
    <row r="1176" spans="1:18" ht="21.2" customHeight="1">
      <c r="A1176" s="473" t="s">
        <v>1114</v>
      </c>
      <c r="B1176" s="125"/>
      <c r="C1176" s="125"/>
      <c r="D1176" s="125"/>
      <c r="E1176" s="125"/>
      <c r="F1176" s="125"/>
      <c r="G1176" s="125"/>
      <c r="H1176" s="125"/>
      <c r="I1176" s="125"/>
      <c r="J1176" s="125"/>
      <c r="K1176" s="125"/>
      <c r="L1176" s="125"/>
      <c r="M1176" s="125"/>
      <c r="N1176" s="125"/>
      <c r="O1176" s="125"/>
      <c r="P1176" s="125"/>
      <c r="Q1176" s="474"/>
      <c r="R1176" s="116">
        <v>1</v>
      </c>
    </row>
    <row r="1177" spans="1:18" ht="21.2" customHeight="1">
      <c r="A1177" s="475" t="s">
        <v>1436</v>
      </c>
      <c r="B1177" s="109" t="s">
        <v>1582</v>
      </c>
      <c r="C1177" s="480">
        <f>중기사용료!$M$100</f>
        <v>12514</v>
      </c>
      <c r="D1177" s="479" t="s">
        <v>1112</v>
      </c>
      <c r="E1177" s="118" t="s">
        <v>1111</v>
      </c>
      <c r="F1177" s="109"/>
      <c r="G1177" s="109"/>
      <c r="H1177" s="109"/>
      <c r="I1177" s="109"/>
      <c r="J1177" s="109"/>
      <c r="K1177" s="109"/>
      <c r="L1177" s="109"/>
      <c r="M1177" s="109"/>
      <c r="N1177" s="109"/>
      <c r="O1177" s="109"/>
      <c r="P1177" s="109"/>
      <c r="Q1177" s="476"/>
      <c r="R1177" s="116">
        <v>1</v>
      </c>
    </row>
    <row r="1178" spans="1:18" ht="21.2" customHeight="1">
      <c r="A1178" s="475"/>
      <c r="B1178" s="118" t="s">
        <v>1113</v>
      </c>
      <c r="C1178" s="480">
        <f>C1177</f>
        <v>12514</v>
      </c>
      <c r="D1178" s="118" t="str">
        <f>D1177</f>
        <v>/</v>
      </c>
      <c r="E1178" s="134">
        <f>O1174</f>
        <v>2.6</v>
      </c>
      <c r="F1178" s="109" t="s">
        <v>1582</v>
      </c>
      <c r="G1178" s="481">
        <f>TRUNC(C1178/E1178)</f>
        <v>4813</v>
      </c>
      <c r="H1178" s="109"/>
      <c r="I1178" s="109"/>
      <c r="J1178" s="109"/>
      <c r="K1178" s="109"/>
      <c r="L1178" s="109"/>
      <c r="M1178" s="109"/>
      <c r="N1178" s="109"/>
      <c r="O1178" s="109"/>
      <c r="P1178" s="109"/>
      <c r="Q1178" s="476"/>
      <c r="R1178" s="116">
        <v>1</v>
      </c>
    </row>
    <row r="1179" spans="1:18" ht="21.2" customHeight="1">
      <c r="A1179" s="475"/>
      <c r="B1179" s="109"/>
      <c r="C1179" s="109"/>
      <c r="D1179" s="109"/>
      <c r="E1179" s="109"/>
      <c r="F1179" s="109"/>
      <c r="G1179" s="109"/>
      <c r="H1179" s="109"/>
      <c r="I1179" s="109"/>
      <c r="J1179" s="109"/>
      <c r="K1179" s="109"/>
      <c r="L1179" s="109"/>
      <c r="M1179" s="109"/>
      <c r="N1179" s="109"/>
      <c r="O1179" s="109"/>
      <c r="P1179" s="109"/>
      <c r="Q1179" s="476"/>
      <c r="R1179" s="116">
        <v>1</v>
      </c>
    </row>
    <row r="1180" spans="1:18" ht="21.2" customHeight="1">
      <c r="A1180" s="475" t="s">
        <v>1115</v>
      </c>
      <c r="B1180" s="109" t="s">
        <v>1582</v>
      </c>
      <c r="C1180" s="480">
        <f>중기사용료!$M$106</f>
        <v>27168</v>
      </c>
      <c r="D1180" s="479" t="s">
        <v>1112</v>
      </c>
      <c r="E1180" s="118" t="s">
        <v>1111</v>
      </c>
      <c r="F1180" s="118"/>
      <c r="G1180" s="118"/>
      <c r="H1180" s="109"/>
      <c r="I1180" s="109"/>
      <c r="J1180" s="109"/>
      <c r="K1180" s="109"/>
      <c r="L1180" s="109"/>
      <c r="M1180" s="109"/>
      <c r="N1180" s="109"/>
      <c r="O1180" s="109"/>
      <c r="P1180" s="109"/>
      <c r="Q1180" s="476"/>
      <c r="R1180" s="116">
        <v>1</v>
      </c>
    </row>
    <row r="1181" spans="1:18" ht="21.2" customHeight="1">
      <c r="A1181" s="475"/>
      <c r="B1181" s="118" t="s">
        <v>1113</v>
      </c>
      <c r="C1181" s="480">
        <f>C1180</f>
        <v>27168</v>
      </c>
      <c r="D1181" s="479" t="str">
        <f>D1180</f>
        <v>/</v>
      </c>
      <c r="E1181" s="134">
        <f>O1174</f>
        <v>2.6</v>
      </c>
      <c r="F1181" s="118" t="s">
        <v>1582</v>
      </c>
      <c r="G1181" s="481">
        <f>TRUNC(C1181/E1181)</f>
        <v>10449</v>
      </c>
      <c r="H1181" s="109"/>
      <c r="I1181" s="109"/>
      <c r="J1181" s="109"/>
      <c r="K1181" s="109"/>
      <c r="L1181" s="109"/>
      <c r="M1181" s="109"/>
      <c r="N1181" s="109"/>
      <c r="O1181" s="109"/>
      <c r="P1181" s="109"/>
      <c r="Q1181" s="476"/>
      <c r="R1181" s="116">
        <v>1</v>
      </c>
    </row>
    <row r="1182" spans="1:18" ht="21.2" customHeight="1">
      <c r="A1182" s="475"/>
      <c r="B1182" s="109"/>
      <c r="C1182" s="109"/>
      <c r="D1182" s="109"/>
      <c r="E1182" s="109"/>
      <c r="F1182" s="109"/>
      <c r="G1182" s="109"/>
      <c r="H1182" s="109"/>
      <c r="I1182" s="109"/>
      <c r="J1182" s="109"/>
      <c r="K1182" s="109"/>
      <c r="L1182" s="109"/>
      <c r="M1182" s="109"/>
      <c r="N1182" s="109"/>
      <c r="O1182" s="109"/>
      <c r="P1182" s="109"/>
      <c r="Q1182" s="476"/>
      <c r="R1182" s="116">
        <v>1</v>
      </c>
    </row>
    <row r="1183" spans="1:18" ht="21.2" customHeight="1">
      <c r="A1183" s="475" t="s">
        <v>1116</v>
      </c>
      <c r="B1183" s="118" t="s">
        <v>1582</v>
      </c>
      <c r="C1183" s="480">
        <f>중기사용료!$M$112</f>
        <v>13465</v>
      </c>
      <c r="D1183" s="479" t="s">
        <v>1112</v>
      </c>
      <c r="E1183" s="118" t="s">
        <v>1111</v>
      </c>
      <c r="F1183" s="118"/>
      <c r="G1183" s="118"/>
      <c r="H1183" s="109"/>
      <c r="I1183" s="109"/>
      <c r="J1183" s="109"/>
      <c r="K1183" s="109"/>
      <c r="L1183" s="109"/>
      <c r="M1183" s="109"/>
      <c r="N1183" s="109"/>
      <c r="O1183" s="109"/>
      <c r="P1183" s="109"/>
      <c r="Q1183" s="476"/>
      <c r="R1183" s="116">
        <v>1</v>
      </c>
    </row>
    <row r="1184" spans="1:18" ht="21.2" customHeight="1">
      <c r="A1184" s="475"/>
      <c r="B1184" s="118" t="s">
        <v>1113</v>
      </c>
      <c r="C1184" s="480">
        <f>C1183</f>
        <v>13465</v>
      </c>
      <c r="D1184" s="118" t="str">
        <f>D1183</f>
        <v>/</v>
      </c>
      <c r="E1184" s="134">
        <f>O1174</f>
        <v>2.6</v>
      </c>
      <c r="F1184" s="118" t="s">
        <v>1582</v>
      </c>
      <c r="G1184" s="481">
        <f>TRUNC(C1184/E1184)</f>
        <v>5178</v>
      </c>
      <c r="H1184" s="109"/>
      <c r="I1184" s="109"/>
      <c r="J1184" s="109"/>
      <c r="K1184" s="109"/>
      <c r="L1184" s="109"/>
      <c r="M1184" s="109"/>
      <c r="N1184" s="109"/>
      <c r="O1184" s="109"/>
      <c r="P1184" s="109"/>
      <c r="Q1184" s="476"/>
      <c r="R1184" s="116">
        <v>1</v>
      </c>
    </row>
    <row r="1185" spans="1:18" ht="21.2" customHeight="1">
      <c r="A1185" s="475"/>
      <c r="B1185" s="109"/>
      <c r="C1185" s="109"/>
      <c r="D1185" s="109"/>
      <c r="E1185" s="109"/>
      <c r="F1185" s="109"/>
      <c r="G1185" s="109"/>
      <c r="H1185" s="118" t="s">
        <v>1117</v>
      </c>
      <c r="I1185" s="118" t="s">
        <v>1118</v>
      </c>
      <c r="J1185" s="118" t="s">
        <v>1113</v>
      </c>
      <c r="K1185" s="797">
        <f>G1178+G1181+G1184</f>
        <v>20440</v>
      </c>
      <c r="L1185" s="797"/>
      <c r="M1185" s="797"/>
      <c r="N1185" s="118" t="s">
        <v>1119</v>
      </c>
      <c r="O1185" s="109"/>
      <c r="P1185" s="109"/>
      <c r="Q1185" s="476"/>
      <c r="R1185" s="116">
        <v>1</v>
      </c>
    </row>
    <row r="1186" spans="1:18" ht="21.2" customHeight="1">
      <c r="A1186" s="475"/>
      <c r="B1186" s="109"/>
      <c r="C1186" s="109"/>
      <c r="D1186" s="109"/>
      <c r="E1186" s="109"/>
      <c r="F1186" s="109"/>
      <c r="G1186" s="109"/>
      <c r="H1186" s="109"/>
      <c r="I1186" s="109"/>
      <c r="J1186" s="109"/>
      <c r="K1186" s="109"/>
      <c r="L1186" s="109"/>
      <c r="M1186" s="109"/>
      <c r="N1186" s="109"/>
      <c r="O1186" s="109"/>
      <c r="P1186" s="109"/>
      <c r="Q1186" s="476"/>
      <c r="R1186" s="116">
        <v>1</v>
      </c>
    </row>
    <row r="1187" spans="1:18" ht="21.2" customHeight="1">
      <c r="A1187" s="475"/>
      <c r="B1187" s="109"/>
      <c r="C1187" s="109"/>
      <c r="D1187" s="109"/>
      <c r="E1187" s="109"/>
      <c r="F1187" s="109"/>
      <c r="G1187" s="109"/>
      <c r="H1187" s="109"/>
      <c r="I1187" s="109"/>
      <c r="J1187" s="109"/>
      <c r="K1187" s="109"/>
      <c r="L1187" s="109"/>
      <c r="M1187" s="109"/>
      <c r="N1187" s="109"/>
      <c r="O1187" s="109"/>
      <c r="P1187" s="109"/>
      <c r="Q1187" s="476"/>
      <c r="R1187" s="116">
        <v>1</v>
      </c>
    </row>
    <row r="1188" spans="1:18" ht="21.2" customHeight="1">
      <c r="A1188" s="475"/>
      <c r="B1188" s="109"/>
      <c r="C1188" s="109"/>
      <c r="D1188" s="109"/>
      <c r="E1188" s="109"/>
      <c r="F1188" s="109"/>
      <c r="G1188" s="109"/>
      <c r="H1188" s="109"/>
      <c r="I1188" s="109"/>
      <c r="J1188" s="109"/>
      <c r="K1188" s="109"/>
      <c r="L1188" s="109"/>
      <c r="M1188" s="109"/>
      <c r="N1188" s="109"/>
      <c r="O1188" s="109"/>
      <c r="P1188" s="109"/>
      <c r="Q1188" s="476"/>
      <c r="R1188" s="116">
        <v>1</v>
      </c>
    </row>
    <row r="1189" spans="1:18" ht="21.2" customHeight="1">
      <c r="A1189" s="475"/>
      <c r="B1189" s="109"/>
      <c r="C1189" s="109"/>
      <c r="D1189" s="109"/>
      <c r="E1189" s="109"/>
      <c r="F1189" s="109"/>
      <c r="G1189" s="109"/>
      <c r="H1189" s="109"/>
      <c r="I1189" s="109"/>
      <c r="J1189" s="109"/>
      <c r="K1189" s="109"/>
      <c r="L1189" s="109"/>
      <c r="M1189" s="109"/>
      <c r="N1189" s="109"/>
      <c r="O1189" s="109"/>
      <c r="P1189" s="109"/>
      <c r="Q1189" s="476"/>
      <c r="R1189" s="116">
        <v>1</v>
      </c>
    </row>
    <row r="1190" spans="1:18" ht="21.2" customHeight="1">
      <c r="A1190" s="475"/>
      <c r="B1190" s="109"/>
      <c r="C1190" s="109"/>
      <c r="D1190" s="109"/>
      <c r="E1190" s="109"/>
      <c r="F1190" s="109"/>
      <c r="G1190" s="109"/>
      <c r="H1190" s="109"/>
      <c r="I1190" s="109"/>
      <c r="J1190" s="109"/>
      <c r="K1190" s="109"/>
      <c r="L1190" s="109"/>
      <c r="M1190" s="109"/>
      <c r="N1190" s="109"/>
      <c r="O1190" s="109"/>
      <c r="P1190" s="109"/>
      <c r="Q1190" s="476"/>
      <c r="R1190" s="116">
        <v>1</v>
      </c>
    </row>
    <row r="1191" spans="1:18" ht="21.2" customHeight="1">
      <c r="A1191" s="482"/>
      <c r="B1191" s="136"/>
      <c r="C1191" s="136"/>
      <c r="D1191" s="136"/>
      <c r="E1191" s="136"/>
      <c r="F1191" s="136"/>
      <c r="G1191" s="136"/>
      <c r="H1191" s="136"/>
      <c r="I1191" s="136"/>
      <c r="J1191" s="136"/>
      <c r="K1191" s="136"/>
      <c r="L1191" s="136"/>
      <c r="M1191" s="136"/>
      <c r="N1191" s="136"/>
      <c r="O1191" s="136"/>
      <c r="P1191" s="136"/>
      <c r="Q1191" s="483"/>
      <c r="R1191" s="116">
        <v>1</v>
      </c>
    </row>
    <row r="1192" spans="1:18" ht="21.2" customHeight="1">
      <c r="R1192" s="116">
        <v>1</v>
      </c>
    </row>
    <row r="1193" spans="1:18" s="472" customFormat="1" ht="21.2" customHeight="1">
      <c r="A1193" s="798" t="s">
        <v>3329</v>
      </c>
      <c r="B1193" s="798"/>
      <c r="C1193" s="798"/>
      <c r="D1193" s="798"/>
      <c r="E1193" s="798"/>
      <c r="F1193" s="798"/>
      <c r="G1193" s="798"/>
      <c r="H1193" s="798"/>
      <c r="I1193" s="798"/>
      <c r="J1193" s="798"/>
      <c r="K1193" s="798"/>
      <c r="L1193" s="798"/>
      <c r="M1193" s="798"/>
      <c r="N1193" s="798"/>
      <c r="O1193" s="798"/>
      <c r="P1193" s="798"/>
      <c r="Q1193" s="798"/>
      <c r="R1193" s="116">
        <v>1</v>
      </c>
    </row>
    <row r="1194" spans="1:18" ht="21.2" customHeight="1">
      <c r="A1194" s="473" t="s">
        <v>1437</v>
      </c>
      <c r="B1194" s="142" t="s">
        <v>1526</v>
      </c>
      <c r="C1194" s="125" t="s">
        <v>3659</v>
      </c>
      <c r="D1194" s="125"/>
      <c r="E1194" s="125"/>
      <c r="F1194" s="125"/>
      <c r="G1194" s="125"/>
      <c r="H1194" s="125"/>
      <c r="I1194" s="125"/>
      <c r="J1194" s="125"/>
      <c r="K1194" s="125"/>
      <c r="L1194" s="125"/>
      <c r="M1194" s="125"/>
      <c r="N1194" s="125"/>
      <c r="O1194" s="125"/>
      <c r="P1194" s="125"/>
      <c r="Q1194" s="474"/>
      <c r="R1194" s="116">
        <v>1</v>
      </c>
    </row>
    <row r="1195" spans="1:18" ht="21.2" customHeight="1">
      <c r="A1195" s="475" t="s">
        <v>1100</v>
      </c>
      <c r="B1195" s="118" t="s">
        <v>1526</v>
      </c>
      <c r="C1195" s="707" t="s">
        <v>569</v>
      </c>
      <c r="D1195" s="109"/>
      <c r="E1195" s="109"/>
      <c r="F1195" s="109"/>
      <c r="G1195" s="109" t="s">
        <v>1527</v>
      </c>
      <c r="H1195" s="109" t="s">
        <v>1526</v>
      </c>
      <c r="I1195" s="755" t="s">
        <v>841</v>
      </c>
      <c r="J1195" s="109" t="s">
        <v>3222</v>
      </c>
      <c r="K1195" s="109"/>
      <c r="L1195" s="109"/>
      <c r="M1195" s="109"/>
      <c r="N1195" s="109"/>
      <c r="O1195" s="109"/>
      <c r="P1195" s="109"/>
      <c r="Q1195" s="476"/>
      <c r="R1195" s="116">
        <v>1</v>
      </c>
    </row>
    <row r="1196" spans="1:18" ht="21.2" customHeight="1">
      <c r="A1196" s="477">
        <f>A1161+1</f>
        <v>22</v>
      </c>
      <c r="B1196" s="109"/>
      <c r="C1196" s="109"/>
      <c r="D1196" s="109"/>
      <c r="E1196" s="109"/>
      <c r="F1196" s="109"/>
      <c r="G1196" s="109"/>
      <c r="H1196" s="109"/>
      <c r="I1196" s="109"/>
      <c r="J1196" s="109"/>
      <c r="K1196" s="109"/>
      <c r="L1196" s="109"/>
      <c r="M1196" s="109"/>
      <c r="N1196" s="109"/>
      <c r="O1196" s="109"/>
      <c r="P1196" s="109"/>
      <c r="Q1196" s="476"/>
      <c r="R1196" s="116">
        <v>1</v>
      </c>
    </row>
    <row r="1197" spans="1:18" ht="21.2" customHeight="1">
      <c r="A1197" s="473" t="s">
        <v>1102</v>
      </c>
      <c r="B1197" s="125"/>
      <c r="C1197" s="125" t="s">
        <v>4024</v>
      </c>
      <c r="D1197" s="125"/>
      <c r="E1197" s="125"/>
      <c r="F1197" s="125"/>
      <c r="G1197" s="125"/>
      <c r="H1197" s="125"/>
      <c r="I1197" s="125"/>
      <c r="J1197" s="125"/>
      <c r="K1197" s="125"/>
      <c r="L1197" s="125"/>
      <c r="M1197" s="125"/>
      <c r="N1197" s="125"/>
      <c r="O1197" s="125"/>
      <c r="P1197" s="125"/>
      <c r="Q1197" s="474"/>
      <c r="R1197" s="116">
        <v>1</v>
      </c>
    </row>
    <row r="1198" spans="1:18" ht="21.2" customHeight="1">
      <c r="A1198" s="475" t="s">
        <v>1103</v>
      </c>
      <c r="B1198" s="109"/>
      <c r="C1198" s="109"/>
      <c r="D1198" s="109"/>
      <c r="E1198" s="109"/>
      <c r="F1198" s="109"/>
      <c r="G1198" s="109"/>
      <c r="H1198" s="109"/>
      <c r="I1198" s="109"/>
      <c r="J1198" s="109"/>
      <c r="K1198" s="109"/>
      <c r="L1198" s="109"/>
      <c r="M1198" s="109"/>
      <c r="N1198" s="109"/>
      <c r="O1198" s="109"/>
      <c r="P1198" s="109"/>
      <c r="Q1198" s="476"/>
      <c r="R1198" s="116">
        <v>1</v>
      </c>
    </row>
    <row r="1199" spans="1:18" ht="21.2" customHeight="1">
      <c r="A1199" s="475"/>
      <c r="B1199" s="109"/>
      <c r="C1199" s="109"/>
      <c r="D1199" s="109"/>
      <c r="E1199" s="109"/>
      <c r="F1199" s="109"/>
      <c r="G1199" s="109"/>
      <c r="H1199" s="109"/>
      <c r="I1199" s="109"/>
      <c r="J1199" s="109"/>
      <c r="K1199" s="109"/>
      <c r="L1199" s="109"/>
      <c r="M1199" s="109"/>
      <c r="N1199" s="109"/>
      <c r="O1199" s="109"/>
      <c r="P1199" s="109"/>
      <c r="Q1199" s="476"/>
      <c r="R1199" s="116">
        <v>1</v>
      </c>
    </row>
    <row r="1200" spans="1:18" ht="21.2" customHeight="1">
      <c r="A1200" s="473" t="s">
        <v>1104</v>
      </c>
      <c r="B1200" s="125"/>
      <c r="C1200" s="125"/>
      <c r="D1200" s="125"/>
      <c r="E1200" s="125"/>
      <c r="F1200" s="125"/>
      <c r="G1200" s="125"/>
      <c r="H1200" s="125"/>
      <c r="I1200" s="125"/>
      <c r="J1200" s="125"/>
      <c r="K1200" s="125"/>
      <c r="L1200" s="125"/>
      <c r="M1200" s="125"/>
      <c r="N1200" s="125"/>
      <c r="O1200" s="125"/>
      <c r="P1200" s="125"/>
      <c r="Q1200" s="474"/>
      <c r="R1200" s="116">
        <v>1</v>
      </c>
    </row>
    <row r="1201" spans="1:18" ht="21.2" customHeight="1">
      <c r="A1201" s="475" t="s">
        <v>1105</v>
      </c>
      <c r="B1201" s="118" t="s">
        <v>1582</v>
      </c>
      <c r="C1201" s="478"/>
      <c r="D1201" s="109" t="s">
        <v>1106</v>
      </c>
      <c r="E1201" s="109"/>
      <c r="F1201" s="109"/>
      <c r="G1201" s="109"/>
      <c r="H1201" s="109"/>
      <c r="I1201" s="109"/>
      <c r="J1201" s="109"/>
      <c r="K1201" s="109"/>
      <c r="L1201" s="109"/>
      <c r="M1201" s="109"/>
      <c r="N1201" s="109"/>
      <c r="O1201" s="109"/>
      <c r="P1201" s="109"/>
      <c r="Q1201" s="476"/>
      <c r="R1201" s="116">
        <v>1</v>
      </c>
    </row>
    <row r="1202" spans="1:18" ht="21.2" customHeight="1">
      <c r="A1202" s="475" t="s">
        <v>1107</v>
      </c>
      <c r="B1202" s="118" t="s">
        <v>1582</v>
      </c>
      <c r="C1202" s="478"/>
      <c r="D1202" s="109"/>
      <c r="E1202" s="109"/>
      <c r="F1202" s="109"/>
      <c r="G1202" s="109"/>
      <c r="H1202" s="109"/>
      <c r="I1202" s="109"/>
      <c r="J1202" s="109"/>
      <c r="K1202" s="109"/>
      <c r="L1202" s="109"/>
      <c r="M1202" s="109"/>
      <c r="N1202" s="109"/>
      <c r="O1202" s="109"/>
      <c r="P1202" s="109"/>
      <c r="Q1202" s="476"/>
      <c r="R1202" s="116">
        <v>1</v>
      </c>
    </row>
    <row r="1203" spans="1:18" ht="21.2" customHeight="1">
      <c r="A1203" s="475" t="s">
        <v>1108</v>
      </c>
      <c r="B1203" s="118" t="s">
        <v>1582</v>
      </c>
      <c r="C1203" s="478"/>
      <c r="D1203" s="109"/>
      <c r="E1203" s="109"/>
      <c r="F1203" s="109"/>
      <c r="G1203" s="109"/>
      <c r="H1203" s="109"/>
      <c r="I1203" s="109"/>
      <c r="J1203" s="109"/>
      <c r="K1203" s="109"/>
      <c r="L1203" s="109"/>
      <c r="M1203" s="109"/>
      <c r="N1203" s="109"/>
      <c r="O1203" s="109"/>
      <c r="P1203" s="109"/>
      <c r="Q1203" s="476"/>
      <c r="R1203" s="116">
        <v>1</v>
      </c>
    </row>
    <row r="1204" spans="1:18" ht="21.2" customHeight="1">
      <c r="A1204" s="475" t="s">
        <v>1109</v>
      </c>
      <c r="B1204" s="118" t="s">
        <v>1582</v>
      </c>
      <c r="C1204" s="478"/>
      <c r="D1204" s="109"/>
      <c r="E1204" s="109"/>
      <c r="F1204" s="109"/>
      <c r="G1204" s="109"/>
      <c r="H1204" s="109"/>
      <c r="I1204" s="109"/>
      <c r="J1204" s="109"/>
      <c r="K1204" s="109"/>
      <c r="L1204" s="109"/>
      <c r="M1204" s="109"/>
      <c r="N1204" s="109"/>
      <c r="O1204" s="109"/>
      <c r="P1204" s="109"/>
      <c r="Q1204" s="476"/>
      <c r="R1204" s="116">
        <v>1</v>
      </c>
    </row>
    <row r="1205" spans="1:18" ht="21.2" customHeight="1">
      <c r="A1205" s="475" t="s">
        <v>1583</v>
      </c>
      <c r="B1205" s="118" t="s">
        <v>1582</v>
      </c>
      <c r="C1205" s="478"/>
      <c r="D1205" s="109"/>
      <c r="E1205" s="109"/>
      <c r="F1205" s="109"/>
      <c r="G1205" s="109"/>
      <c r="H1205" s="109"/>
      <c r="I1205" s="109"/>
      <c r="J1205" s="109"/>
      <c r="K1205" s="109"/>
      <c r="L1205" s="109"/>
      <c r="M1205" s="109"/>
      <c r="N1205" s="109"/>
      <c r="O1205" s="109"/>
      <c r="P1205" s="109"/>
      <c r="Q1205" s="476"/>
      <c r="R1205" s="116">
        <v>1</v>
      </c>
    </row>
    <row r="1206" spans="1:18" ht="21.2" customHeight="1">
      <c r="A1206" s="475"/>
      <c r="B1206" s="109"/>
      <c r="C1206" s="109"/>
      <c r="D1206" s="109"/>
      <c r="E1206" s="109"/>
      <c r="F1206" s="109"/>
      <c r="G1206" s="109"/>
      <c r="H1206" s="109"/>
      <c r="I1206" s="109"/>
      <c r="J1206" s="109"/>
      <c r="K1206" s="109"/>
      <c r="L1206" s="109"/>
      <c r="M1206" s="109"/>
      <c r="N1206" s="109"/>
      <c r="O1206" s="109"/>
      <c r="P1206" s="109"/>
      <c r="Q1206" s="476"/>
      <c r="R1206" s="116">
        <v>1</v>
      </c>
    </row>
    <row r="1207" spans="1:18" ht="21.2" customHeight="1">
      <c r="A1207" s="473" t="s">
        <v>1110</v>
      </c>
      <c r="B1207" s="125"/>
      <c r="C1207" s="125"/>
      <c r="D1207" s="125"/>
      <c r="E1207" s="125"/>
      <c r="F1207" s="125"/>
      <c r="G1207" s="125"/>
      <c r="H1207" s="125"/>
      <c r="I1207" s="125"/>
      <c r="J1207" s="125"/>
      <c r="K1207" s="125"/>
      <c r="L1207" s="125"/>
      <c r="M1207" s="125"/>
      <c r="N1207" s="125"/>
      <c r="O1207" s="125"/>
      <c r="P1207" s="125"/>
      <c r="Q1207" s="474"/>
      <c r="R1207" s="116">
        <v>1</v>
      </c>
    </row>
    <row r="1208" spans="1:18" ht="21.2" customHeight="1">
      <c r="A1208" s="475" t="s">
        <v>1111</v>
      </c>
      <c r="B1208" s="118" t="s">
        <v>1582</v>
      </c>
      <c r="C1208" s="118">
        <v>3600</v>
      </c>
      <c r="D1208" s="118" t="s">
        <v>86</v>
      </c>
      <c r="E1208" s="118" t="s">
        <v>1105</v>
      </c>
      <c r="F1208" s="118" t="s">
        <v>86</v>
      </c>
      <c r="G1208" s="118" t="s">
        <v>1107</v>
      </c>
      <c r="H1208" s="118" t="s">
        <v>86</v>
      </c>
      <c r="I1208" s="118" t="s">
        <v>1108</v>
      </c>
      <c r="J1208" s="118" t="s">
        <v>86</v>
      </c>
      <c r="K1208" s="118" t="s">
        <v>1109</v>
      </c>
      <c r="L1208" s="479" t="s">
        <v>1112</v>
      </c>
      <c r="M1208" s="118" t="s">
        <v>1583</v>
      </c>
      <c r="N1208" s="707" t="s">
        <v>4025</v>
      </c>
      <c r="O1208" s="109"/>
      <c r="P1208" s="109"/>
      <c r="Q1208" s="476"/>
      <c r="R1208" s="116">
        <v>1</v>
      </c>
    </row>
    <row r="1209" spans="1:18" ht="21.2" customHeight="1">
      <c r="A1209" s="475"/>
      <c r="B1209" s="118" t="s">
        <v>1113</v>
      </c>
      <c r="C1209" s="118">
        <f>C1208</f>
        <v>3600</v>
      </c>
      <c r="D1209" s="118" t="str">
        <f>D1208</f>
        <v>*</v>
      </c>
      <c r="E1209" s="275">
        <f>C1201</f>
        <v>0</v>
      </c>
      <c r="F1209" s="118" t="str">
        <f>F1208</f>
        <v>*</v>
      </c>
      <c r="G1209" s="275">
        <f>C1202</f>
        <v>0</v>
      </c>
      <c r="H1209" s="118" t="str">
        <f>H1208</f>
        <v>*</v>
      </c>
      <c r="I1209" s="275">
        <f>C1203</f>
        <v>0</v>
      </c>
      <c r="J1209" s="118" t="str">
        <f>J1208</f>
        <v>*</v>
      </c>
      <c r="K1209" s="275">
        <f>C1204</f>
        <v>0</v>
      </c>
      <c r="L1209" s="118" t="str">
        <f>L1208</f>
        <v>/</v>
      </c>
      <c r="M1209" s="275">
        <f>C1205</f>
        <v>0</v>
      </c>
      <c r="N1209" s="118" t="s">
        <v>1582</v>
      </c>
      <c r="O1209" s="134">
        <v>4.5999999999999996</v>
      </c>
      <c r="P1209" s="109"/>
      <c r="Q1209" s="476"/>
      <c r="R1209" s="116">
        <v>1</v>
      </c>
    </row>
    <row r="1210" spans="1:18" ht="21.2" customHeight="1">
      <c r="A1210" s="475"/>
      <c r="B1210" s="109"/>
      <c r="C1210" s="109"/>
      <c r="D1210" s="109"/>
      <c r="E1210" s="109"/>
      <c r="F1210" s="109"/>
      <c r="G1210" s="109"/>
      <c r="H1210" s="109"/>
      <c r="I1210" s="109"/>
      <c r="J1210" s="109"/>
      <c r="K1210" s="109"/>
      <c r="L1210" s="109"/>
      <c r="M1210" s="109"/>
      <c r="N1210" s="109"/>
      <c r="O1210" s="109"/>
      <c r="P1210" s="109"/>
      <c r="Q1210" s="476"/>
      <c r="R1210" s="116">
        <v>1</v>
      </c>
    </row>
    <row r="1211" spans="1:18" ht="21.2" customHeight="1">
      <c r="A1211" s="473" t="s">
        <v>1114</v>
      </c>
      <c r="B1211" s="125"/>
      <c r="C1211" s="125"/>
      <c r="D1211" s="125"/>
      <c r="E1211" s="125"/>
      <c r="F1211" s="125"/>
      <c r="G1211" s="125"/>
      <c r="H1211" s="125"/>
      <c r="I1211" s="125"/>
      <c r="J1211" s="125"/>
      <c r="K1211" s="125"/>
      <c r="L1211" s="125"/>
      <c r="M1211" s="125"/>
      <c r="N1211" s="125"/>
      <c r="O1211" s="125"/>
      <c r="P1211" s="125"/>
      <c r="Q1211" s="474"/>
      <c r="R1211" s="116">
        <v>1</v>
      </c>
    </row>
    <row r="1212" spans="1:18" ht="21.2" customHeight="1">
      <c r="A1212" s="475" t="s">
        <v>1436</v>
      </c>
      <c r="B1212" s="109" t="s">
        <v>1582</v>
      </c>
      <c r="C1212" s="480">
        <f>중기사용료!$M$195</f>
        <v>21622</v>
      </c>
      <c r="D1212" s="479" t="s">
        <v>1112</v>
      </c>
      <c r="E1212" s="118" t="s">
        <v>1111</v>
      </c>
      <c r="F1212" s="109"/>
      <c r="G1212" s="109"/>
      <c r="H1212" s="109"/>
      <c r="I1212" s="109"/>
      <c r="J1212" s="109"/>
      <c r="K1212" s="109"/>
      <c r="L1212" s="109"/>
      <c r="M1212" s="109"/>
      <c r="N1212" s="109"/>
      <c r="O1212" s="109"/>
      <c r="P1212" s="109"/>
      <c r="Q1212" s="476"/>
      <c r="R1212" s="116">
        <v>1</v>
      </c>
    </row>
    <row r="1213" spans="1:18" ht="21.2" customHeight="1">
      <c r="A1213" s="475"/>
      <c r="B1213" s="118" t="s">
        <v>1113</v>
      </c>
      <c r="C1213" s="480">
        <f>C1212</f>
        <v>21622</v>
      </c>
      <c r="D1213" s="118" t="str">
        <f>D1212</f>
        <v>/</v>
      </c>
      <c r="E1213" s="134">
        <f>O1209</f>
        <v>4.5999999999999996</v>
      </c>
      <c r="F1213" s="109" t="s">
        <v>1582</v>
      </c>
      <c r="G1213" s="481">
        <f>TRUNC(C1213/E1213)</f>
        <v>4700</v>
      </c>
      <c r="H1213" s="109"/>
      <c r="I1213" s="109"/>
      <c r="J1213" s="109"/>
      <c r="K1213" s="109"/>
      <c r="L1213" s="109"/>
      <c r="M1213" s="109"/>
      <c r="N1213" s="109"/>
      <c r="O1213" s="109"/>
      <c r="P1213" s="109"/>
      <c r="Q1213" s="476"/>
      <c r="R1213" s="116">
        <v>1</v>
      </c>
    </row>
    <row r="1214" spans="1:18" ht="21.2" customHeight="1">
      <c r="A1214" s="475"/>
      <c r="B1214" s="109"/>
      <c r="C1214" s="109"/>
      <c r="D1214" s="109"/>
      <c r="E1214" s="109"/>
      <c r="F1214" s="109"/>
      <c r="G1214" s="109"/>
      <c r="H1214" s="109"/>
      <c r="I1214" s="109"/>
      <c r="J1214" s="109"/>
      <c r="K1214" s="109"/>
      <c r="L1214" s="109"/>
      <c r="M1214" s="109"/>
      <c r="N1214" s="109"/>
      <c r="O1214" s="109"/>
      <c r="P1214" s="109"/>
      <c r="Q1214" s="476"/>
      <c r="R1214" s="116">
        <v>1</v>
      </c>
    </row>
    <row r="1215" spans="1:18" ht="21.2" customHeight="1">
      <c r="A1215" s="475" t="s">
        <v>1115</v>
      </c>
      <c r="B1215" s="109" t="s">
        <v>1582</v>
      </c>
      <c r="C1215" s="480">
        <f>중기사용료!$M$201</f>
        <v>27168</v>
      </c>
      <c r="D1215" s="479" t="s">
        <v>1112</v>
      </c>
      <c r="E1215" s="118" t="s">
        <v>1111</v>
      </c>
      <c r="F1215" s="118"/>
      <c r="G1215" s="118"/>
      <c r="H1215" s="109"/>
      <c r="I1215" s="109"/>
      <c r="J1215" s="109"/>
      <c r="K1215" s="109"/>
      <c r="L1215" s="109"/>
      <c r="M1215" s="109"/>
      <c r="N1215" s="109"/>
      <c r="O1215" s="109"/>
      <c r="P1215" s="109"/>
      <c r="Q1215" s="476"/>
      <c r="R1215" s="116">
        <v>1</v>
      </c>
    </row>
    <row r="1216" spans="1:18" ht="21.2" customHeight="1">
      <c r="A1216" s="475"/>
      <c r="B1216" s="118" t="s">
        <v>1113</v>
      </c>
      <c r="C1216" s="480">
        <f>C1215</f>
        <v>27168</v>
      </c>
      <c r="D1216" s="479" t="str">
        <f>D1215</f>
        <v>/</v>
      </c>
      <c r="E1216" s="134">
        <f>O1209</f>
        <v>4.5999999999999996</v>
      </c>
      <c r="F1216" s="118" t="s">
        <v>1582</v>
      </c>
      <c r="G1216" s="481">
        <f>TRUNC(C1216/E1216)</f>
        <v>5906</v>
      </c>
      <c r="H1216" s="109"/>
      <c r="I1216" s="109"/>
      <c r="J1216" s="109"/>
      <c r="K1216" s="109"/>
      <c r="L1216" s="109"/>
      <c r="M1216" s="109"/>
      <c r="N1216" s="109"/>
      <c r="O1216" s="109"/>
      <c r="P1216" s="109"/>
      <c r="Q1216" s="476"/>
      <c r="R1216" s="116">
        <v>1</v>
      </c>
    </row>
    <row r="1217" spans="1:18" ht="21.2" customHeight="1">
      <c r="A1217" s="475"/>
      <c r="B1217" s="109"/>
      <c r="C1217" s="109"/>
      <c r="D1217" s="109"/>
      <c r="E1217" s="109"/>
      <c r="F1217" s="109"/>
      <c r="G1217" s="109"/>
      <c r="H1217" s="109"/>
      <c r="I1217" s="109"/>
      <c r="J1217" s="109"/>
      <c r="K1217" s="109"/>
      <c r="L1217" s="109"/>
      <c r="M1217" s="109"/>
      <c r="N1217" s="109"/>
      <c r="O1217" s="109"/>
      <c r="P1217" s="109"/>
      <c r="Q1217" s="476"/>
      <c r="R1217" s="116">
        <v>1</v>
      </c>
    </row>
    <row r="1218" spans="1:18" ht="21.2" customHeight="1">
      <c r="A1218" s="475" t="s">
        <v>1116</v>
      </c>
      <c r="B1218" s="118" t="s">
        <v>1582</v>
      </c>
      <c r="C1218" s="480">
        <f>중기사용료!$M$207</f>
        <v>16036</v>
      </c>
      <c r="D1218" s="479" t="s">
        <v>1112</v>
      </c>
      <c r="E1218" s="118" t="s">
        <v>1111</v>
      </c>
      <c r="F1218" s="118"/>
      <c r="G1218" s="118"/>
      <c r="H1218" s="109"/>
      <c r="I1218" s="109"/>
      <c r="J1218" s="109"/>
      <c r="K1218" s="109"/>
      <c r="L1218" s="109"/>
      <c r="M1218" s="109"/>
      <c r="N1218" s="109"/>
      <c r="O1218" s="109"/>
      <c r="P1218" s="109"/>
      <c r="Q1218" s="476"/>
      <c r="R1218" s="116">
        <v>1</v>
      </c>
    </row>
    <row r="1219" spans="1:18" ht="21.2" customHeight="1">
      <c r="A1219" s="475"/>
      <c r="B1219" s="118" t="s">
        <v>1113</v>
      </c>
      <c r="C1219" s="480">
        <f>C1218</f>
        <v>16036</v>
      </c>
      <c r="D1219" s="118" t="str">
        <f>D1218</f>
        <v>/</v>
      </c>
      <c r="E1219" s="134">
        <f>O1209</f>
        <v>4.5999999999999996</v>
      </c>
      <c r="F1219" s="118" t="s">
        <v>1582</v>
      </c>
      <c r="G1219" s="481">
        <f>TRUNC(C1219/E1219)</f>
        <v>3486</v>
      </c>
      <c r="H1219" s="109"/>
      <c r="I1219" s="109"/>
      <c r="J1219" s="109"/>
      <c r="K1219" s="109"/>
      <c r="L1219" s="109"/>
      <c r="M1219" s="109"/>
      <c r="N1219" s="109"/>
      <c r="O1219" s="109"/>
      <c r="P1219" s="109"/>
      <c r="Q1219" s="476"/>
      <c r="R1219" s="116">
        <v>1</v>
      </c>
    </row>
    <row r="1220" spans="1:18" ht="21.2" customHeight="1">
      <c r="A1220" s="475"/>
      <c r="B1220" s="109"/>
      <c r="C1220" s="109"/>
      <c r="D1220" s="109"/>
      <c r="E1220" s="109"/>
      <c r="F1220" s="109"/>
      <c r="G1220" s="109"/>
      <c r="H1220" s="118" t="s">
        <v>1117</v>
      </c>
      <c r="I1220" s="118" t="s">
        <v>1118</v>
      </c>
      <c r="J1220" s="118" t="s">
        <v>1113</v>
      </c>
      <c r="K1220" s="797">
        <f>G1213+G1216+G1219</f>
        <v>14092</v>
      </c>
      <c r="L1220" s="797"/>
      <c r="M1220" s="797"/>
      <c r="N1220" s="118" t="s">
        <v>1119</v>
      </c>
      <c r="O1220" s="109"/>
      <c r="P1220" s="109"/>
      <c r="Q1220" s="476"/>
      <c r="R1220" s="116">
        <v>1</v>
      </c>
    </row>
    <row r="1221" spans="1:18" ht="21.2" customHeight="1">
      <c r="A1221" s="475"/>
      <c r="B1221" s="109"/>
      <c r="C1221" s="109"/>
      <c r="D1221" s="109"/>
      <c r="E1221" s="109"/>
      <c r="F1221" s="109"/>
      <c r="G1221" s="109"/>
      <c r="H1221" s="109"/>
      <c r="I1221" s="109"/>
      <c r="J1221" s="109"/>
      <c r="K1221" s="109"/>
      <c r="L1221" s="109"/>
      <c r="M1221" s="109"/>
      <c r="N1221" s="109"/>
      <c r="O1221" s="109"/>
      <c r="P1221" s="109"/>
      <c r="Q1221" s="476"/>
      <c r="R1221" s="116">
        <v>1</v>
      </c>
    </row>
    <row r="1222" spans="1:18" ht="21.2" customHeight="1">
      <c r="A1222" s="475"/>
      <c r="B1222" s="109"/>
      <c r="C1222" s="109"/>
      <c r="D1222" s="109"/>
      <c r="E1222" s="109"/>
      <c r="F1222" s="109"/>
      <c r="G1222" s="109"/>
      <c r="H1222" s="109"/>
      <c r="I1222" s="109"/>
      <c r="J1222" s="109"/>
      <c r="K1222" s="109"/>
      <c r="L1222" s="109"/>
      <c r="M1222" s="109"/>
      <c r="N1222" s="109"/>
      <c r="O1222" s="109"/>
      <c r="P1222" s="109"/>
      <c r="Q1222" s="476"/>
      <c r="R1222" s="116">
        <v>1</v>
      </c>
    </row>
    <row r="1223" spans="1:18" ht="21.2" customHeight="1">
      <c r="A1223" s="475"/>
      <c r="B1223" s="109"/>
      <c r="C1223" s="109"/>
      <c r="D1223" s="109"/>
      <c r="E1223" s="109"/>
      <c r="F1223" s="109"/>
      <c r="G1223" s="109"/>
      <c r="H1223" s="109"/>
      <c r="I1223" s="109"/>
      <c r="J1223" s="109"/>
      <c r="K1223" s="109"/>
      <c r="L1223" s="109"/>
      <c r="M1223" s="109"/>
      <c r="N1223" s="109"/>
      <c r="O1223" s="109"/>
      <c r="P1223" s="109"/>
      <c r="Q1223" s="476"/>
      <c r="R1223" s="116">
        <v>1</v>
      </c>
    </row>
    <row r="1224" spans="1:18" ht="21.2" customHeight="1">
      <c r="A1224" s="475"/>
      <c r="B1224" s="109"/>
      <c r="C1224" s="109"/>
      <c r="D1224" s="109"/>
      <c r="E1224" s="109"/>
      <c r="F1224" s="109"/>
      <c r="G1224" s="109"/>
      <c r="H1224" s="109"/>
      <c r="I1224" s="109"/>
      <c r="J1224" s="109"/>
      <c r="K1224" s="109"/>
      <c r="L1224" s="109"/>
      <c r="M1224" s="109"/>
      <c r="N1224" s="109"/>
      <c r="O1224" s="109"/>
      <c r="P1224" s="109"/>
      <c r="Q1224" s="476"/>
      <c r="R1224" s="116">
        <v>1</v>
      </c>
    </row>
    <row r="1225" spans="1:18" ht="21.2" customHeight="1">
      <c r="A1225" s="475"/>
      <c r="B1225" s="109"/>
      <c r="C1225" s="109"/>
      <c r="D1225" s="109"/>
      <c r="E1225" s="109"/>
      <c r="F1225" s="109"/>
      <c r="G1225" s="109"/>
      <c r="H1225" s="109"/>
      <c r="I1225" s="109"/>
      <c r="J1225" s="109"/>
      <c r="K1225" s="109"/>
      <c r="L1225" s="109"/>
      <c r="M1225" s="109"/>
      <c r="N1225" s="109"/>
      <c r="O1225" s="109"/>
      <c r="P1225" s="109"/>
      <c r="Q1225" s="476"/>
      <c r="R1225" s="116">
        <v>1</v>
      </c>
    </row>
    <row r="1226" spans="1:18" ht="21.2" customHeight="1">
      <c r="A1226" s="482"/>
      <c r="B1226" s="136"/>
      <c r="C1226" s="136"/>
      <c r="D1226" s="136"/>
      <c r="E1226" s="136"/>
      <c r="F1226" s="136"/>
      <c r="G1226" s="136"/>
      <c r="H1226" s="136"/>
      <c r="I1226" s="136"/>
      <c r="J1226" s="136"/>
      <c r="K1226" s="136"/>
      <c r="L1226" s="136"/>
      <c r="M1226" s="136"/>
      <c r="N1226" s="136"/>
      <c r="O1226" s="136"/>
      <c r="P1226" s="136"/>
      <c r="Q1226" s="483"/>
      <c r="R1226" s="116">
        <v>1</v>
      </c>
    </row>
    <row r="1227" spans="1:18" ht="21.2" customHeight="1">
      <c r="R1227" s="116">
        <v>1</v>
      </c>
    </row>
    <row r="1228" spans="1:18" s="472" customFormat="1" ht="21.2" customHeight="1">
      <c r="A1228" s="798" t="s">
        <v>3329</v>
      </c>
      <c r="B1228" s="798"/>
      <c r="C1228" s="798"/>
      <c r="D1228" s="798"/>
      <c r="E1228" s="798"/>
      <c r="F1228" s="798"/>
      <c r="G1228" s="798"/>
      <c r="H1228" s="798"/>
      <c r="I1228" s="798"/>
      <c r="J1228" s="798"/>
      <c r="K1228" s="798"/>
      <c r="L1228" s="798"/>
      <c r="M1228" s="798"/>
      <c r="N1228" s="798"/>
      <c r="O1228" s="798"/>
      <c r="P1228" s="798"/>
      <c r="Q1228" s="798"/>
      <c r="R1228" s="116">
        <v>1</v>
      </c>
    </row>
    <row r="1229" spans="1:18" ht="21.2" customHeight="1">
      <c r="A1229" s="473" t="s">
        <v>1437</v>
      </c>
      <c r="B1229" s="142" t="s">
        <v>1526</v>
      </c>
      <c r="C1229" s="125" t="s">
        <v>3660</v>
      </c>
      <c r="D1229" s="125"/>
      <c r="E1229" s="125"/>
      <c r="F1229" s="125"/>
      <c r="G1229" s="125"/>
      <c r="H1229" s="125"/>
      <c r="I1229" s="125"/>
      <c r="J1229" s="125"/>
      <c r="K1229" s="125"/>
      <c r="L1229" s="125"/>
      <c r="M1229" s="125"/>
      <c r="N1229" s="125"/>
      <c r="O1229" s="125"/>
      <c r="P1229" s="125"/>
      <c r="Q1229" s="474"/>
      <c r="R1229" s="116">
        <v>1</v>
      </c>
    </row>
    <row r="1230" spans="1:18" ht="21.2" customHeight="1">
      <c r="A1230" s="475" t="s">
        <v>1100</v>
      </c>
      <c r="B1230" s="118" t="s">
        <v>1526</v>
      </c>
      <c r="C1230" s="707" t="s">
        <v>569</v>
      </c>
      <c r="D1230" s="109"/>
      <c r="E1230" s="109"/>
      <c r="F1230" s="109"/>
      <c r="G1230" s="109" t="s">
        <v>1527</v>
      </c>
      <c r="H1230" s="109" t="s">
        <v>1526</v>
      </c>
      <c r="I1230" s="755" t="s">
        <v>841</v>
      </c>
      <c r="J1230" s="109" t="s">
        <v>3222</v>
      </c>
      <c r="K1230" s="109"/>
      <c r="L1230" s="109"/>
      <c r="M1230" s="109"/>
      <c r="N1230" s="109"/>
      <c r="O1230" s="109"/>
      <c r="P1230" s="109"/>
      <c r="Q1230" s="476"/>
      <c r="R1230" s="116">
        <v>1</v>
      </c>
    </row>
    <row r="1231" spans="1:18" ht="21.2" customHeight="1">
      <c r="A1231" s="477">
        <f>A1196+1</f>
        <v>23</v>
      </c>
      <c r="B1231" s="109"/>
      <c r="C1231" s="109"/>
      <c r="D1231" s="109"/>
      <c r="E1231" s="109"/>
      <c r="F1231" s="109"/>
      <c r="G1231" s="109"/>
      <c r="H1231" s="109"/>
      <c r="I1231" s="109"/>
      <c r="J1231" s="109"/>
      <c r="K1231" s="109"/>
      <c r="L1231" s="109"/>
      <c r="M1231" s="109"/>
      <c r="N1231" s="109"/>
      <c r="O1231" s="109"/>
      <c r="P1231" s="109"/>
      <c r="Q1231" s="476"/>
      <c r="R1231" s="116">
        <v>1</v>
      </c>
    </row>
    <row r="1232" spans="1:18" ht="21.2" customHeight="1">
      <c r="A1232" s="473" t="s">
        <v>1102</v>
      </c>
      <c r="B1232" s="125"/>
      <c r="C1232" s="125" t="s">
        <v>4024</v>
      </c>
      <c r="D1232" s="125"/>
      <c r="E1232" s="125"/>
      <c r="F1232" s="125"/>
      <c r="G1232" s="125"/>
      <c r="H1232" s="125"/>
      <c r="I1232" s="125"/>
      <c r="J1232" s="125"/>
      <c r="K1232" s="125"/>
      <c r="L1232" s="125"/>
      <c r="M1232" s="125"/>
      <c r="N1232" s="125"/>
      <c r="O1232" s="125"/>
      <c r="P1232" s="125"/>
      <c r="Q1232" s="474"/>
      <c r="R1232" s="116">
        <v>1</v>
      </c>
    </row>
    <row r="1233" spans="1:18" ht="21.2" customHeight="1">
      <c r="A1233" s="475" t="s">
        <v>1103</v>
      </c>
      <c r="B1233" s="109"/>
      <c r="C1233" s="109"/>
      <c r="D1233" s="109"/>
      <c r="E1233" s="109"/>
      <c r="F1233" s="109"/>
      <c r="G1233" s="109"/>
      <c r="H1233" s="109"/>
      <c r="I1233" s="109"/>
      <c r="J1233" s="109"/>
      <c r="K1233" s="109"/>
      <c r="L1233" s="109"/>
      <c r="M1233" s="109"/>
      <c r="N1233" s="109"/>
      <c r="O1233" s="109"/>
      <c r="P1233" s="109"/>
      <c r="Q1233" s="476"/>
      <c r="R1233" s="116">
        <v>1</v>
      </c>
    </row>
    <row r="1234" spans="1:18" ht="21.2" customHeight="1">
      <c r="A1234" s="475"/>
      <c r="B1234" s="109"/>
      <c r="C1234" s="109"/>
      <c r="D1234" s="109"/>
      <c r="E1234" s="109"/>
      <c r="F1234" s="109"/>
      <c r="G1234" s="109"/>
      <c r="H1234" s="109"/>
      <c r="I1234" s="109"/>
      <c r="J1234" s="109"/>
      <c r="K1234" s="109"/>
      <c r="L1234" s="109"/>
      <c r="M1234" s="109"/>
      <c r="N1234" s="109"/>
      <c r="O1234" s="109"/>
      <c r="P1234" s="109"/>
      <c r="Q1234" s="476"/>
      <c r="R1234" s="116">
        <v>1</v>
      </c>
    </row>
    <row r="1235" spans="1:18" ht="21.2" customHeight="1">
      <c r="A1235" s="473" t="s">
        <v>1104</v>
      </c>
      <c r="B1235" s="125"/>
      <c r="C1235" s="125"/>
      <c r="D1235" s="125"/>
      <c r="E1235" s="125"/>
      <c r="F1235" s="125"/>
      <c r="G1235" s="125"/>
      <c r="H1235" s="125"/>
      <c r="I1235" s="125"/>
      <c r="J1235" s="125"/>
      <c r="K1235" s="125"/>
      <c r="L1235" s="125"/>
      <c r="M1235" s="125"/>
      <c r="N1235" s="125"/>
      <c r="O1235" s="125"/>
      <c r="P1235" s="125"/>
      <c r="Q1235" s="474"/>
      <c r="R1235" s="116">
        <v>1</v>
      </c>
    </row>
    <row r="1236" spans="1:18" ht="21.2" customHeight="1">
      <c r="A1236" s="475" t="s">
        <v>1105</v>
      </c>
      <c r="B1236" s="118" t="s">
        <v>1582</v>
      </c>
      <c r="C1236" s="478"/>
      <c r="D1236" s="109" t="s">
        <v>1106</v>
      </c>
      <c r="E1236" s="109"/>
      <c r="F1236" s="109"/>
      <c r="G1236" s="109"/>
      <c r="H1236" s="109"/>
      <c r="I1236" s="109"/>
      <c r="J1236" s="109"/>
      <c r="K1236" s="109"/>
      <c r="L1236" s="109"/>
      <c r="M1236" s="109"/>
      <c r="N1236" s="109"/>
      <c r="O1236" s="109"/>
      <c r="P1236" s="109"/>
      <c r="Q1236" s="476"/>
      <c r="R1236" s="116">
        <v>1</v>
      </c>
    </row>
    <row r="1237" spans="1:18" ht="21.2" customHeight="1">
      <c r="A1237" s="475" t="s">
        <v>1107</v>
      </c>
      <c r="B1237" s="118" t="s">
        <v>1582</v>
      </c>
      <c r="C1237" s="478"/>
      <c r="D1237" s="109"/>
      <c r="E1237" s="109"/>
      <c r="F1237" s="109"/>
      <c r="G1237" s="109"/>
      <c r="H1237" s="109"/>
      <c r="I1237" s="109"/>
      <c r="J1237" s="109"/>
      <c r="K1237" s="109"/>
      <c r="L1237" s="109"/>
      <c r="M1237" s="109"/>
      <c r="N1237" s="109"/>
      <c r="O1237" s="109"/>
      <c r="P1237" s="109"/>
      <c r="Q1237" s="476"/>
      <c r="R1237" s="116">
        <v>1</v>
      </c>
    </row>
    <row r="1238" spans="1:18" ht="21.2" customHeight="1">
      <c r="A1238" s="475" t="s">
        <v>1108</v>
      </c>
      <c r="B1238" s="118" t="s">
        <v>1582</v>
      </c>
      <c r="C1238" s="478"/>
      <c r="D1238" s="109"/>
      <c r="E1238" s="109"/>
      <c r="F1238" s="109"/>
      <c r="G1238" s="109"/>
      <c r="H1238" s="109"/>
      <c r="I1238" s="109"/>
      <c r="J1238" s="109"/>
      <c r="K1238" s="109"/>
      <c r="L1238" s="109"/>
      <c r="M1238" s="109"/>
      <c r="N1238" s="109"/>
      <c r="O1238" s="109"/>
      <c r="P1238" s="109"/>
      <c r="Q1238" s="476"/>
      <c r="R1238" s="116">
        <v>1</v>
      </c>
    </row>
    <row r="1239" spans="1:18" ht="21.2" customHeight="1">
      <c r="A1239" s="475" t="s">
        <v>1109</v>
      </c>
      <c r="B1239" s="118" t="s">
        <v>1582</v>
      </c>
      <c r="C1239" s="478"/>
      <c r="D1239" s="109"/>
      <c r="E1239" s="109"/>
      <c r="F1239" s="109"/>
      <c r="G1239" s="109"/>
      <c r="H1239" s="109"/>
      <c r="I1239" s="109"/>
      <c r="J1239" s="109"/>
      <c r="K1239" s="109"/>
      <c r="L1239" s="109"/>
      <c r="M1239" s="109"/>
      <c r="N1239" s="109"/>
      <c r="O1239" s="109"/>
      <c r="P1239" s="109"/>
      <c r="Q1239" s="476"/>
      <c r="R1239" s="116">
        <v>1</v>
      </c>
    </row>
    <row r="1240" spans="1:18" ht="21.2" customHeight="1">
      <c r="A1240" s="475" t="s">
        <v>1583</v>
      </c>
      <c r="B1240" s="118" t="s">
        <v>1582</v>
      </c>
      <c r="C1240" s="478"/>
      <c r="D1240" s="109"/>
      <c r="E1240" s="109"/>
      <c r="F1240" s="109"/>
      <c r="G1240" s="109"/>
      <c r="H1240" s="109"/>
      <c r="I1240" s="109"/>
      <c r="J1240" s="109"/>
      <c r="K1240" s="109"/>
      <c r="L1240" s="109"/>
      <c r="M1240" s="109"/>
      <c r="N1240" s="109"/>
      <c r="O1240" s="109"/>
      <c r="P1240" s="109"/>
      <c r="Q1240" s="476"/>
      <c r="R1240" s="116">
        <v>1</v>
      </c>
    </row>
    <row r="1241" spans="1:18" ht="21.2" customHeight="1">
      <c r="A1241" s="475"/>
      <c r="B1241" s="109"/>
      <c r="C1241" s="109"/>
      <c r="D1241" s="109"/>
      <c r="E1241" s="109"/>
      <c r="F1241" s="109"/>
      <c r="G1241" s="109"/>
      <c r="H1241" s="109"/>
      <c r="I1241" s="109"/>
      <c r="J1241" s="109"/>
      <c r="K1241" s="109"/>
      <c r="L1241" s="109"/>
      <c r="M1241" s="109"/>
      <c r="N1241" s="109"/>
      <c r="O1241" s="109"/>
      <c r="P1241" s="109"/>
      <c r="Q1241" s="476"/>
      <c r="R1241" s="116">
        <v>1</v>
      </c>
    </row>
    <row r="1242" spans="1:18" ht="21.2" customHeight="1">
      <c r="A1242" s="473" t="s">
        <v>1110</v>
      </c>
      <c r="B1242" s="125"/>
      <c r="C1242" s="125"/>
      <c r="D1242" s="125"/>
      <c r="E1242" s="125"/>
      <c r="F1242" s="125"/>
      <c r="G1242" s="125"/>
      <c r="H1242" s="125"/>
      <c r="I1242" s="125"/>
      <c r="J1242" s="125"/>
      <c r="K1242" s="125"/>
      <c r="L1242" s="125"/>
      <c r="M1242" s="125"/>
      <c r="N1242" s="125"/>
      <c r="O1242" s="125"/>
      <c r="P1242" s="125"/>
      <c r="Q1242" s="474"/>
      <c r="R1242" s="116">
        <v>1</v>
      </c>
    </row>
    <row r="1243" spans="1:18" ht="21.2" customHeight="1">
      <c r="A1243" s="475" t="s">
        <v>1111</v>
      </c>
      <c r="B1243" s="118" t="s">
        <v>1582</v>
      </c>
      <c r="C1243" s="118">
        <v>3600</v>
      </c>
      <c r="D1243" s="118" t="s">
        <v>86</v>
      </c>
      <c r="E1243" s="118" t="s">
        <v>1105</v>
      </c>
      <c r="F1243" s="118" t="s">
        <v>86</v>
      </c>
      <c r="G1243" s="118" t="s">
        <v>1107</v>
      </c>
      <c r="H1243" s="118" t="s">
        <v>86</v>
      </c>
      <c r="I1243" s="118" t="s">
        <v>1108</v>
      </c>
      <c r="J1243" s="118" t="s">
        <v>86</v>
      </c>
      <c r="K1243" s="118" t="s">
        <v>1109</v>
      </c>
      <c r="L1243" s="479" t="s">
        <v>1112</v>
      </c>
      <c r="M1243" s="118" t="s">
        <v>1583</v>
      </c>
      <c r="N1243" s="707" t="s">
        <v>4025</v>
      </c>
      <c r="O1243" s="109"/>
      <c r="P1243" s="109"/>
      <c r="Q1243" s="476"/>
      <c r="R1243" s="116">
        <v>1</v>
      </c>
    </row>
    <row r="1244" spans="1:18" ht="21.2" customHeight="1">
      <c r="A1244" s="475"/>
      <c r="B1244" s="118" t="s">
        <v>1113</v>
      </c>
      <c r="C1244" s="118">
        <f>C1243</f>
        <v>3600</v>
      </c>
      <c r="D1244" s="118" t="str">
        <f>D1243</f>
        <v>*</v>
      </c>
      <c r="E1244" s="275">
        <f>C1236</f>
        <v>0</v>
      </c>
      <c r="F1244" s="118" t="str">
        <f>F1243</f>
        <v>*</v>
      </c>
      <c r="G1244" s="275">
        <f>C1237</f>
        <v>0</v>
      </c>
      <c r="H1244" s="118" t="str">
        <f>H1243</f>
        <v>*</v>
      </c>
      <c r="I1244" s="275">
        <f>C1238</f>
        <v>0</v>
      </c>
      <c r="J1244" s="118" t="str">
        <f>J1243</f>
        <v>*</v>
      </c>
      <c r="K1244" s="275">
        <f>C1239</f>
        <v>0</v>
      </c>
      <c r="L1244" s="118" t="str">
        <f>L1243</f>
        <v>/</v>
      </c>
      <c r="M1244" s="275">
        <f>C1240</f>
        <v>0</v>
      </c>
      <c r="N1244" s="118" t="s">
        <v>1582</v>
      </c>
      <c r="O1244" s="134">
        <v>3.6</v>
      </c>
      <c r="P1244" s="109"/>
      <c r="Q1244" s="476"/>
      <c r="R1244" s="116">
        <v>1</v>
      </c>
    </row>
    <row r="1245" spans="1:18" ht="21.2" customHeight="1">
      <c r="A1245" s="475"/>
      <c r="B1245" s="109"/>
      <c r="C1245" s="109"/>
      <c r="D1245" s="109"/>
      <c r="E1245" s="109"/>
      <c r="F1245" s="109"/>
      <c r="G1245" s="109"/>
      <c r="H1245" s="109"/>
      <c r="I1245" s="109"/>
      <c r="J1245" s="109"/>
      <c r="K1245" s="109"/>
      <c r="L1245" s="109"/>
      <c r="M1245" s="109"/>
      <c r="N1245" s="109"/>
      <c r="O1245" s="109"/>
      <c r="P1245" s="109"/>
      <c r="Q1245" s="476"/>
      <c r="R1245" s="116">
        <v>1</v>
      </c>
    </row>
    <row r="1246" spans="1:18" ht="21.2" customHeight="1">
      <c r="A1246" s="473" t="s">
        <v>1114</v>
      </c>
      <c r="B1246" s="125"/>
      <c r="C1246" s="125"/>
      <c r="D1246" s="125"/>
      <c r="E1246" s="125"/>
      <c r="F1246" s="125"/>
      <c r="G1246" s="125"/>
      <c r="H1246" s="125"/>
      <c r="I1246" s="125"/>
      <c r="J1246" s="125"/>
      <c r="K1246" s="125"/>
      <c r="L1246" s="125"/>
      <c r="M1246" s="125"/>
      <c r="N1246" s="125"/>
      <c r="O1246" s="125"/>
      <c r="P1246" s="125"/>
      <c r="Q1246" s="474"/>
      <c r="R1246" s="116">
        <v>1</v>
      </c>
    </row>
    <row r="1247" spans="1:18" ht="21.2" customHeight="1">
      <c r="A1247" s="475" t="s">
        <v>1436</v>
      </c>
      <c r="B1247" s="109" t="s">
        <v>1582</v>
      </c>
      <c r="C1247" s="480">
        <f>중기사용료!$M$195</f>
        <v>21622</v>
      </c>
      <c r="D1247" s="479" t="s">
        <v>1112</v>
      </c>
      <c r="E1247" s="118" t="s">
        <v>1111</v>
      </c>
      <c r="F1247" s="109"/>
      <c r="G1247" s="109"/>
      <c r="H1247" s="109"/>
      <c r="I1247" s="109"/>
      <c r="J1247" s="109"/>
      <c r="K1247" s="109"/>
      <c r="L1247" s="109"/>
      <c r="M1247" s="109"/>
      <c r="N1247" s="109"/>
      <c r="O1247" s="109"/>
      <c r="P1247" s="109"/>
      <c r="Q1247" s="476"/>
      <c r="R1247" s="116">
        <v>1</v>
      </c>
    </row>
    <row r="1248" spans="1:18" ht="21.2" customHeight="1">
      <c r="A1248" s="475"/>
      <c r="B1248" s="118" t="s">
        <v>1113</v>
      </c>
      <c r="C1248" s="480">
        <f>중기사용료!M195</f>
        <v>21622</v>
      </c>
      <c r="D1248" s="118" t="str">
        <f>D1247</f>
        <v>/</v>
      </c>
      <c r="E1248" s="134">
        <f>O1244</f>
        <v>3.6</v>
      </c>
      <c r="F1248" s="109" t="s">
        <v>1582</v>
      </c>
      <c r="G1248" s="481">
        <f>TRUNC(C1248/E1248)</f>
        <v>6006</v>
      </c>
      <c r="H1248" s="109"/>
      <c r="I1248" s="109"/>
      <c r="J1248" s="109"/>
      <c r="K1248" s="109"/>
      <c r="L1248" s="109"/>
      <c r="M1248" s="109"/>
      <c r="N1248" s="109"/>
      <c r="O1248" s="109"/>
      <c r="P1248" s="109"/>
      <c r="Q1248" s="476"/>
      <c r="R1248" s="116">
        <v>1</v>
      </c>
    </row>
    <row r="1249" spans="1:18" ht="21.2" customHeight="1">
      <c r="A1249" s="475"/>
      <c r="B1249" s="109"/>
      <c r="C1249" s="109"/>
      <c r="D1249" s="109"/>
      <c r="E1249" s="109"/>
      <c r="F1249" s="109"/>
      <c r="G1249" s="109"/>
      <c r="H1249" s="109"/>
      <c r="I1249" s="109"/>
      <c r="J1249" s="109"/>
      <c r="K1249" s="109"/>
      <c r="L1249" s="109"/>
      <c r="M1249" s="109"/>
      <c r="N1249" s="109"/>
      <c r="O1249" s="109"/>
      <c r="P1249" s="109"/>
      <c r="Q1249" s="476"/>
      <c r="R1249" s="116">
        <v>1</v>
      </c>
    </row>
    <row r="1250" spans="1:18" ht="21.2" customHeight="1">
      <c r="A1250" s="475" t="s">
        <v>1115</v>
      </c>
      <c r="B1250" s="109" t="s">
        <v>1582</v>
      </c>
      <c r="C1250" s="480">
        <f>중기사용료!$M$201</f>
        <v>27168</v>
      </c>
      <c r="D1250" s="479" t="s">
        <v>1112</v>
      </c>
      <c r="E1250" s="118" t="s">
        <v>1111</v>
      </c>
      <c r="F1250" s="118"/>
      <c r="G1250" s="118"/>
      <c r="H1250" s="109"/>
      <c r="I1250" s="109"/>
      <c r="J1250" s="109"/>
      <c r="K1250" s="109"/>
      <c r="L1250" s="109"/>
      <c r="M1250" s="109"/>
      <c r="N1250" s="109"/>
      <c r="O1250" s="109"/>
      <c r="P1250" s="109"/>
      <c r="Q1250" s="476"/>
      <c r="R1250" s="116">
        <v>1</v>
      </c>
    </row>
    <row r="1251" spans="1:18" ht="21.2" customHeight="1">
      <c r="A1251" s="475"/>
      <c r="B1251" s="118" t="s">
        <v>1113</v>
      </c>
      <c r="C1251" s="480">
        <f>C1250</f>
        <v>27168</v>
      </c>
      <c r="D1251" s="479" t="str">
        <f>D1250</f>
        <v>/</v>
      </c>
      <c r="E1251" s="134">
        <f>O1244</f>
        <v>3.6</v>
      </c>
      <c r="F1251" s="118" t="s">
        <v>1582</v>
      </c>
      <c r="G1251" s="481">
        <f>TRUNC(C1251/E1251)</f>
        <v>7546</v>
      </c>
      <c r="H1251" s="109"/>
      <c r="I1251" s="109"/>
      <c r="J1251" s="109"/>
      <c r="K1251" s="109"/>
      <c r="L1251" s="109"/>
      <c r="M1251" s="109"/>
      <c r="N1251" s="109"/>
      <c r="O1251" s="109"/>
      <c r="P1251" s="109"/>
      <c r="Q1251" s="476"/>
      <c r="R1251" s="116">
        <v>1</v>
      </c>
    </row>
    <row r="1252" spans="1:18" ht="21.2" customHeight="1">
      <c r="A1252" s="475"/>
      <c r="B1252" s="109"/>
      <c r="C1252" s="109"/>
      <c r="D1252" s="109"/>
      <c r="E1252" s="109"/>
      <c r="F1252" s="109"/>
      <c r="G1252" s="109"/>
      <c r="H1252" s="109"/>
      <c r="I1252" s="109"/>
      <c r="J1252" s="109"/>
      <c r="K1252" s="109"/>
      <c r="L1252" s="109"/>
      <c r="M1252" s="109"/>
      <c r="N1252" s="109"/>
      <c r="O1252" s="109"/>
      <c r="P1252" s="109"/>
      <c r="Q1252" s="476"/>
      <c r="R1252" s="116">
        <v>1</v>
      </c>
    </row>
    <row r="1253" spans="1:18" ht="21.2" customHeight="1">
      <c r="A1253" s="475" t="s">
        <v>1116</v>
      </c>
      <c r="B1253" s="118" t="s">
        <v>1582</v>
      </c>
      <c r="C1253" s="480">
        <f>중기사용료!$M$207</f>
        <v>16036</v>
      </c>
      <c r="D1253" s="479" t="s">
        <v>1112</v>
      </c>
      <c r="E1253" s="118" t="s">
        <v>1111</v>
      </c>
      <c r="F1253" s="118"/>
      <c r="G1253" s="118"/>
      <c r="H1253" s="109"/>
      <c r="I1253" s="109"/>
      <c r="J1253" s="109"/>
      <c r="K1253" s="109"/>
      <c r="L1253" s="109"/>
      <c r="M1253" s="109"/>
      <c r="N1253" s="109"/>
      <c r="O1253" s="109"/>
      <c r="P1253" s="109"/>
      <c r="Q1253" s="476"/>
      <c r="R1253" s="116">
        <v>1</v>
      </c>
    </row>
    <row r="1254" spans="1:18" ht="21.2" customHeight="1">
      <c r="A1254" s="475"/>
      <c r="B1254" s="118" t="s">
        <v>1113</v>
      </c>
      <c r="C1254" s="480">
        <f>C1253</f>
        <v>16036</v>
      </c>
      <c r="D1254" s="118" t="str">
        <f>D1253</f>
        <v>/</v>
      </c>
      <c r="E1254" s="134">
        <f>O1244</f>
        <v>3.6</v>
      </c>
      <c r="F1254" s="118" t="s">
        <v>1582</v>
      </c>
      <c r="G1254" s="481">
        <f>TRUNC(C1254/E1254)</f>
        <v>4454</v>
      </c>
      <c r="H1254" s="109"/>
      <c r="I1254" s="109"/>
      <c r="J1254" s="109"/>
      <c r="K1254" s="109"/>
      <c r="L1254" s="109"/>
      <c r="M1254" s="109"/>
      <c r="N1254" s="109"/>
      <c r="O1254" s="109"/>
      <c r="P1254" s="109"/>
      <c r="Q1254" s="476"/>
      <c r="R1254" s="116">
        <v>1</v>
      </c>
    </row>
    <row r="1255" spans="1:18" ht="21.2" customHeight="1">
      <c r="A1255" s="475"/>
      <c r="B1255" s="109"/>
      <c r="C1255" s="109"/>
      <c r="D1255" s="109"/>
      <c r="E1255" s="109"/>
      <c r="F1255" s="109"/>
      <c r="G1255" s="109"/>
      <c r="H1255" s="118" t="s">
        <v>1117</v>
      </c>
      <c r="I1255" s="118" t="s">
        <v>1118</v>
      </c>
      <c r="J1255" s="118" t="s">
        <v>1113</v>
      </c>
      <c r="K1255" s="797">
        <f>G1248+G1251+G1254</f>
        <v>18006</v>
      </c>
      <c r="L1255" s="797"/>
      <c r="M1255" s="797"/>
      <c r="N1255" s="118" t="s">
        <v>1119</v>
      </c>
      <c r="O1255" s="109"/>
      <c r="P1255" s="109"/>
      <c r="Q1255" s="476"/>
      <c r="R1255" s="116">
        <v>1</v>
      </c>
    </row>
    <row r="1256" spans="1:18" ht="21.2" customHeight="1">
      <c r="A1256" s="475"/>
      <c r="B1256" s="109"/>
      <c r="C1256" s="109"/>
      <c r="D1256" s="109"/>
      <c r="E1256" s="109"/>
      <c r="F1256" s="109"/>
      <c r="G1256" s="109"/>
      <c r="H1256" s="109"/>
      <c r="I1256" s="109"/>
      <c r="J1256" s="109"/>
      <c r="K1256" s="109"/>
      <c r="L1256" s="109"/>
      <c r="M1256" s="109"/>
      <c r="N1256" s="109"/>
      <c r="O1256" s="109"/>
      <c r="P1256" s="109"/>
      <c r="Q1256" s="476"/>
      <c r="R1256" s="116">
        <v>1</v>
      </c>
    </row>
    <row r="1257" spans="1:18" ht="21.2" customHeight="1">
      <c r="A1257" s="475"/>
      <c r="B1257" s="109"/>
      <c r="C1257" s="109"/>
      <c r="D1257" s="109"/>
      <c r="E1257" s="109"/>
      <c r="F1257" s="109"/>
      <c r="G1257" s="109"/>
      <c r="H1257" s="109"/>
      <c r="I1257" s="109"/>
      <c r="J1257" s="109"/>
      <c r="K1257" s="109"/>
      <c r="L1257" s="109"/>
      <c r="M1257" s="109"/>
      <c r="N1257" s="109"/>
      <c r="O1257" s="109"/>
      <c r="P1257" s="109"/>
      <c r="Q1257" s="476"/>
      <c r="R1257" s="116">
        <v>1</v>
      </c>
    </row>
    <row r="1258" spans="1:18" ht="21.2" customHeight="1">
      <c r="A1258" s="475"/>
      <c r="B1258" s="109"/>
      <c r="C1258" s="109"/>
      <c r="D1258" s="109"/>
      <c r="E1258" s="109"/>
      <c r="F1258" s="109"/>
      <c r="G1258" s="109"/>
      <c r="H1258" s="109"/>
      <c r="I1258" s="109"/>
      <c r="J1258" s="109"/>
      <c r="K1258" s="109"/>
      <c r="L1258" s="109"/>
      <c r="M1258" s="109"/>
      <c r="N1258" s="109"/>
      <c r="O1258" s="109"/>
      <c r="P1258" s="109"/>
      <c r="Q1258" s="476"/>
      <c r="R1258" s="116">
        <v>1</v>
      </c>
    </row>
    <row r="1259" spans="1:18" ht="21.2" customHeight="1">
      <c r="A1259" s="475"/>
      <c r="B1259" s="109"/>
      <c r="C1259" s="109"/>
      <c r="D1259" s="109"/>
      <c r="E1259" s="109"/>
      <c r="F1259" s="109"/>
      <c r="G1259" s="109"/>
      <c r="H1259" s="109"/>
      <c r="I1259" s="109"/>
      <c r="J1259" s="109"/>
      <c r="K1259" s="109"/>
      <c r="L1259" s="109"/>
      <c r="M1259" s="109"/>
      <c r="N1259" s="109"/>
      <c r="O1259" s="109"/>
      <c r="P1259" s="109"/>
      <c r="Q1259" s="476"/>
      <c r="R1259" s="116">
        <v>1</v>
      </c>
    </row>
    <row r="1260" spans="1:18" ht="21.2" customHeight="1">
      <c r="A1260" s="475"/>
      <c r="B1260" s="109"/>
      <c r="C1260" s="109"/>
      <c r="D1260" s="109"/>
      <c r="E1260" s="109"/>
      <c r="F1260" s="109"/>
      <c r="G1260" s="109"/>
      <c r="H1260" s="109"/>
      <c r="I1260" s="109"/>
      <c r="J1260" s="109"/>
      <c r="K1260" s="109"/>
      <c r="L1260" s="109"/>
      <c r="M1260" s="109"/>
      <c r="N1260" s="109"/>
      <c r="O1260" s="109"/>
      <c r="P1260" s="109"/>
      <c r="Q1260" s="476"/>
      <c r="R1260" s="116">
        <v>1</v>
      </c>
    </row>
    <row r="1261" spans="1:18" ht="21.2" customHeight="1">
      <c r="A1261" s="482"/>
      <c r="B1261" s="136"/>
      <c r="C1261" s="136"/>
      <c r="D1261" s="136"/>
      <c r="E1261" s="136"/>
      <c r="F1261" s="136"/>
      <c r="G1261" s="136"/>
      <c r="H1261" s="136"/>
      <c r="I1261" s="136"/>
      <c r="J1261" s="136"/>
      <c r="K1261" s="136"/>
      <c r="L1261" s="136"/>
      <c r="M1261" s="136"/>
      <c r="N1261" s="136"/>
      <c r="O1261" s="136"/>
      <c r="P1261" s="136"/>
      <c r="Q1261" s="483"/>
      <c r="R1261" s="116">
        <v>1</v>
      </c>
    </row>
    <row r="1262" spans="1:18" ht="21.2" customHeight="1">
      <c r="R1262" s="116">
        <v>1</v>
      </c>
    </row>
    <row r="1263" spans="1:18" ht="21.2" customHeight="1">
      <c r="A1263" s="796" t="s">
        <v>3329</v>
      </c>
      <c r="B1263" s="796"/>
      <c r="C1263" s="796"/>
      <c r="D1263" s="796"/>
      <c r="E1263" s="796"/>
      <c r="F1263" s="796"/>
      <c r="G1263" s="796"/>
      <c r="H1263" s="796"/>
      <c r="I1263" s="796"/>
      <c r="J1263" s="796"/>
      <c r="K1263" s="796"/>
      <c r="L1263" s="796"/>
      <c r="M1263" s="796"/>
      <c r="N1263" s="796"/>
      <c r="O1263" s="796"/>
      <c r="P1263" s="796"/>
      <c r="Q1263" s="796"/>
      <c r="R1263" s="116">
        <v>1</v>
      </c>
    </row>
    <row r="1264" spans="1:18" ht="21.2" customHeight="1">
      <c r="A1264" s="473" t="s">
        <v>1437</v>
      </c>
      <c r="B1264" s="142" t="s">
        <v>1526</v>
      </c>
      <c r="C1264" s="125" t="s">
        <v>1159</v>
      </c>
      <c r="D1264" s="125"/>
      <c r="E1264" s="125"/>
      <c r="F1264" s="125"/>
      <c r="G1264" s="125"/>
      <c r="H1264" s="125"/>
      <c r="I1264" s="125"/>
      <c r="J1264" s="125"/>
      <c r="K1264" s="125"/>
      <c r="L1264" s="125"/>
      <c r="M1264" s="125"/>
      <c r="N1264" s="125"/>
      <c r="O1264" s="125"/>
      <c r="P1264" s="125"/>
      <c r="Q1264" s="474"/>
      <c r="R1264" s="116">
        <v>1</v>
      </c>
    </row>
    <row r="1265" spans="1:18" ht="21.2" customHeight="1">
      <c r="A1265" s="475" t="s">
        <v>1100</v>
      </c>
      <c r="B1265" s="118" t="s">
        <v>1526</v>
      </c>
      <c r="C1265" s="707" t="s">
        <v>4018</v>
      </c>
      <c r="D1265" s="109"/>
      <c r="E1265" s="109"/>
      <c r="F1265" s="109"/>
      <c r="G1265" s="109" t="s">
        <v>1527</v>
      </c>
      <c r="H1265" s="109" t="s">
        <v>1526</v>
      </c>
      <c r="I1265" s="109" t="s">
        <v>1150</v>
      </c>
      <c r="J1265" s="109"/>
      <c r="K1265" s="109"/>
      <c r="L1265" s="109"/>
      <c r="M1265" s="109"/>
      <c r="N1265" s="109"/>
      <c r="O1265" s="109"/>
      <c r="P1265" s="109"/>
      <c r="Q1265" s="476"/>
      <c r="R1265" s="116">
        <v>1</v>
      </c>
    </row>
    <row r="1266" spans="1:18" ht="21.2" customHeight="1">
      <c r="A1266" s="477">
        <f>A1231+1</f>
        <v>24</v>
      </c>
      <c r="B1266" s="109"/>
      <c r="C1266" s="109"/>
      <c r="D1266" s="109"/>
      <c r="E1266" s="109"/>
      <c r="F1266" s="109"/>
      <c r="G1266" s="109"/>
      <c r="H1266" s="109"/>
      <c r="I1266" s="109"/>
      <c r="J1266" s="109"/>
      <c r="K1266" s="109"/>
      <c r="L1266" s="109"/>
      <c r="M1266" s="109"/>
      <c r="N1266" s="109"/>
      <c r="O1266" s="109"/>
      <c r="P1266" s="109"/>
      <c r="Q1266" s="476"/>
      <c r="R1266" s="116">
        <v>1</v>
      </c>
    </row>
    <row r="1267" spans="1:18" ht="21.2" customHeight="1">
      <c r="A1267" s="473" t="s">
        <v>1102</v>
      </c>
      <c r="B1267" s="125"/>
      <c r="C1267" s="125" t="s">
        <v>1151</v>
      </c>
      <c r="D1267" s="125"/>
      <c r="E1267" s="125"/>
      <c r="F1267" s="125"/>
      <c r="G1267" s="125"/>
      <c r="H1267" s="125"/>
      <c r="I1267" s="125"/>
      <c r="J1267" s="125"/>
      <c r="K1267" s="125"/>
      <c r="L1267" s="125"/>
      <c r="M1267" s="125"/>
      <c r="N1267" s="125"/>
      <c r="O1267" s="125"/>
      <c r="P1267" s="125"/>
      <c r="Q1267" s="474"/>
      <c r="R1267" s="116">
        <v>1</v>
      </c>
    </row>
    <row r="1268" spans="1:18" ht="21.2" customHeight="1">
      <c r="A1268" s="475" t="s">
        <v>2967</v>
      </c>
      <c r="B1268" s="109"/>
      <c r="C1268" s="109"/>
      <c r="D1268" s="109"/>
      <c r="E1268" s="109"/>
      <c r="F1268" s="109"/>
      <c r="G1268" s="109"/>
      <c r="H1268" s="109"/>
      <c r="I1268" s="109"/>
      <c r="J1268" s="109"/>
      <c r="K1268" s="109"/>
      <c r="L1268" s="109"/>
      <c r="M1268" s="109"/>
      <c r="N1268" s="109"/>
      <c r="O1268" s="109"/>
      <c r="P1268" s="109"/>
      <c r="Q1268" s="476"/>
      <c r="R1268" s="116">
        <v>1</v>
      </c>
    </row>
    <row r="1269" spans="1:18" ht="21.2" customHeight="1">
      <c r="A1269" s="475"/>
      <c r="B1269" s="109"/>
      <c r="C1269" s="109"/>
      <c r="D1269" s="109"/>
      <c r="E1269" s="109"/>
      <c r="F1269" s="109"/>
      <c r="G1269" s="109"/>
      <c r="H1269" s="109"/>
      <c r="I1269" s="109"/>
      <c r="J1269" s="109"/>
      <c r="K1269" s="109"/>
      <c r="L1269" s="109"/>
      <c r="M1269" s="109"/>
      <c r="N1269" s="109"/>
      <c r="O1269" s="109"/>
      <c r="P1269" s="109"/>
      <c r="Q1269" s="476"/>
      <c r="R1269" s="116">
        <v>1</v>
      </c>
    </row>
    <row r="1270" spans="1:18" ht="21.2" customHeight="1">
      <c r="A1270" s="473" t="s">
        <v>1104</v>
      </c>
      <c r="B1270" s="125"/>
      <c r="C1270" s="125"/>
      <c r="D1270" s="125"/>
      <c r="E1270" s="125"/>
      <c r="F1270" s="125"/>
      <c r="G1270" s="125"/>
      <c r="H1270" s="125"/>
      <c r="I1270" s="125"/>
      <c r="J1270" s="125"/>
      <c r="K1270" s="125"/>
      <c r="L1270" s="125"/>
      <c r="M1270" s="125"/>
      <c r="N1270" s="125"/>
      <c r="O1270" s="125"/>
      <c r="P1270" s="125"/>
      <c r="Q1270" s="474"/>
      <c r="R1270" s="116">
        <v>1</v>
      </c>
    </row>
    <row r="1271" spans="1:18" ht="21.2" customHeight="1">
      <c r="A1271" s="475" t="s">
        <v>1152</v>
      </c>
      <c r="B1271" s="118" t="s">
        <v>1582</v>
      </c>
      <c r="C1271" s="478">
        <v>9.2399999999999996E-2</v>
      </c>
      <c r="D1271" s="109" t="s">
        <v>2968</v>
      </c>
      <c r="E1271" s="109"/>
      <c r="F1271" s="109"/>
      <c r="G1271" s="109"/>
      <c r="H1271" s="109"/>
      <c r="I1271" s="109"/>
      <c r="J1271" s="109"/>
      <c r="K1271" s="109"/>
      <c r="L1271" s="109"/>
      <c r="M1271" s="109"/>
      <c r="N1271" s="109"/>
      <c r="O1271" s="109"/>
      <c r="P1271" s="109"/>
      <c r="Q1271" s="476"/>
      <c r="R1271" s="116">
        <v>1</v>
      </c>
    </row>
    <row r="1272" spans="1:18" ht="21.2" customHeight="1">
      <c r="A1272" s="475" t="s">
        <v>1153</v>
      </c>
      <c r="B1272" s="118" t="s">
        <v>1582</v>
      </c>
      <c r="C1272" s="488">
        <v>36000</v>
      </c>
      <c r="D1272" s="109" t="s">
        <v>2969</v>
      </c>
      <c r="E1272" s="109"/>
      <c r="F1272" s="109"/>
      <c r="G1272" s="109"/>
      <c r="H1272" s="109"/>
      <c r="I1272" s="109"/>
      <c r="J1272" s="109"/>
      <c r="K1272" s="109"/>
      <c r="L1272" s="109"/>
      <c r="M1272" s="109"/>
      <c r="N1272" s="109"/>
      <c r="O1272" s="109"/>
      <c r="P1272" s="109"/>
      <c r="Q1272" s="476"/>
      <c r="R1272" s="116">
        <v>1</v>
      </c>
    </row>
    <row r="1273" spans="1:18" ht="21.2" customHeight="1">
      <c r="A1273" s="475" t="s">
        <v>1154</v>
      </c>
      <c r="B1273" s="118" t="s">
        <v>1582</v>
      </c>
      <c r="C1273" s="478">
        <v>0.15</v>
      </c>
      <c r="D1273" s="109" t="s">
        <v>2970</v>
      </c>
      <c r="E1273" s="109"/>
      <c r="F1273" s="109"/>
      <c r="G1273" s="109"/>
      <c r="H1273" s="109"/>
      <c r="I1273" s="109"/>
      <c r="J1273" s="109"/>
      <c r="K1273" s="109"/>
      <c r="L1273" s="109"/>
      <c r="M1273" s="109"/>
      <c r="N1273" s="109"/>
      <c r="O1273" s="109"/>
      <c r="P1273" s="109"/>
      <c r="Q1273" s="476"/>
      <c r="R1273" s="116">
        <v>1</v>
      </c>
    </row>
    <row r="1274" spans="1:18" ht="21.2" customHeight="1">
      <c r="A1274" s="475" t="s">
        <v>1108</v>
      </c>
      <c r="B1274" s="118" t="s">
        <v>1582</v>
      </c>
      <c r="C1274" s="478">
        <v>0.8</v>
      </c>
      <c r="D1274" s="109" t="s">
        <v>1156</v>
      </c>
      <c r="E1274" s="109"/>
      <c r="F1274" s="109"/>
      <c r="G1274" s="109"/>
      <c r="H1274" s="109"/>
      <c r="I1274" s="109"/>
      <c r="J1274" s="109"/>
      <c r="K1274" s="109"/>
      <c r="L1274" s="109"/>
      <c r="M1274" s="109"/>
      <c r="N1274" s="109"/>
      <c r="O1274" s="109"/>
      <c r="P1274" s="109"/>
      <c r="Q1274" s="476"/>
      <c r="R1274" s="116">
        <v>1</v>
      </c>
    </row>
    <row r="1275" spans="1:18" ht="21.2" customHeight="1">
      <c r="A1275" s="475" t="s">
        <v>1109</v>
      </c>
      <c r="B1275" s="118" t="s">
        <v>1582</v>
      </c>
      <c r="C1275" s="478">
        <v>0.5</v>
      </c>
      <c r="D1275" s="109" t="s">
        <v>2971</v>
      </c>
      <c r="E1275" s="109"/>
      <c r="F1275" s="109"/>
      <c r="G1275" s="109"/>
      <c r="H1275" s="109"/>
      <c r="I1275" s="109"/>
      <c r="J1275" s="109"/>
      <c r="K1275" s="109"/>
      <c r="L1275" s="109"/>
      <c r="M1275" s="109"/>
      <c r="N1275" s="109"/>
      <c r="O1275" s="109"/>
      <c r="P1275" s="109"/>
      <c r="Q1275" s="476"/>
      <c r="R1275" s="116">
        <v>1</v>
      </c>
    </row>
    <row r="1276" spans="1:18" ht="21.2" customHeight="1">
      <c r="A1276" s="475" t="s">
        <v>1155</v>
      </c>
      <c r="B1276" s="118" t="s">
        <v>1582</v>
      </c>
      <c r="C1276" s="478">
        <v>57</v>
      </c>
      <c r="D1276" s="109" t="s">
        <v>2972</v>
      </c>
      <c r="E1276" s="109"/>
      <c r="F1276" s="109"/>
      <c r="G1276" s="109"/>
      <c r="H1276" s="109"/>
      <c r="I1276" s="109"/>
      <c r="J1276" s="109"/>
      <c r="K1276" s="109"/>
      <c r="L1276" s="109"/>
      <c r="M1276" s="109"/>
      <c r="N1276" s="109"/>
      <c r="O1276" s="109"/>
      <c r="P1276" s="109"/>
      <c r="Q1276" s="476"/>
      <c r="R1276" s="116">
        <v>1</v>
      </c>
    </row>
    <row r="1277" spans="1:18" ht="21.2" customHeight="1">
      <c r="A1277" s="475"/>
      <c r="B1277" s="109"/>
      <c r="C1277" s="109"/>
      <c r="D1277" s="109"/>
      <c r="E1277" s="109"/>
      <c r="F1277" s="109"/>
      <c r="G1277" s="109"/>
      <c r="H1277" s="109"/>
      <c r="I1277" s="109"/>
      <c r="J1277" s="109"/>
      <c r="K1277" s="109"/>
      <c r="L1277" s="109"/>
      <c r="M1277" s="109"/>
      <c r="N1277" s="109"/>
      <c r="O1277" s="109"/>
      <c r="P1277" s="109"/>
      <c r="Q1277" s="476"/>
      <c r="R1277" s="116">
        <v>1</v>
      </c>
    </row>
    <row r="1278" spans="1:18" ht="21.2" customHeight="1">
      <c r="A1278" s="473" t="s">
        <v>1110</v>
      </c>
      <c r="B1278" s="125"/>
      <c r="C1278" s="125"/>
      <c r="D1278" s="125"/>
      <c r="E1278" s="125"/>
      <c r="F1278" s="125"/>
      <c r="G1278" s="125"/>
      <c r="H1278" s="125"/>
      <c r="I1278" s="125"/>
      <c r="J1278" s="125"/>
      <c r="K1278" s="125"/>
      <c r="L1278" s="125"/>
      <c r="M1278" s="125"/>
      <c r="N1278" s="125"/>
      <c r="O1278" s="125"/>
      <c r="P1278" s="125"/>
      <c r="Q1278" s="474"/>
      <c r="R1278" s="116">
        <v>1</v>
      </c>
    </row>
    <row r="1279" spans="1:18" ht="21.2" customHeight="1">
      <c r="A1279" s="475" t="s">
        <v>1111</v>
      </c>
      <c r="B1279" s="118" t="s">
        <v>1582</v>
      </c>
      <c r="C1279" s="118" t="s">
        <v>1152</v>
      </c>
      <c r="D1279" s="118" t="s">
        <v>86</v>
      </c>
      <c r="E1279" s="118" t="s">
        <v>1153</v>
      </c>
      <c r="F1279" s="118" t="s">
        <v>86</v>
      </c>
      <c r="G1279" s="118" t="s">
        <v>1154</v>
      </c>
      <c r="H1279" s="118" t="s">
        <v>86</v>
      </c>
      <c r="I1279" s="118" t="s">
        <v>1108</v>
      </c>
      <c r="J1279" s="118" t="s">
        <v>86</v>
      </c>
      <c r="K1279" s="118" t="s">
        <v>1109</v>
      </c>
      <c r="L1279" s="479" t="s">
        <v>1112</v>
      </c>
      <c r="M1279" s="118" t="s">
        <v>1155</v>
      </c>
      <c r="N1279" s="707" t="s">
        <v>4025</v>
      </c>
      <c r="O1279" s="109"/>
      <c r="P1279" s="109"/>
      <c r="Q1279" s="476"/>
      <c r="R1279" s="116">
        <v>1</v>
      </c>
    </row>
    <row r="1280" spans="1:18" ht="21.2" customHeight="1">
      <c r="A1280" s="475"/>
      <c r="B1280" s="118" t="s">
        <v>1113</v>
      </c>
      <c r="C1280" s="495">
        <f>C1271</f>
        <v>9.2399999999999996E-2</v>
      </c>
      <c r="D1280" s="118" t="str">
        <f>D1279</f>
        <v>*</v>
      </c>
      <c r="E1280" s="489">
        <f>C1272</f>
        <v>36000</v>
      </c>
      <c r="F1280" s="118" t="str">
        <f>F1279</f>
        <v>*</v>
      </c>
      <c r="G1280" s="495">
        <f>C1273</f>
        <v>0.15</v>
      </c>
      <c r="H1280" s="118" t="str">
        <f>H1279</f>
        <v>*</v>
      </c>
      <c r="I1280" s="496">
        <f>C1274</f>
        <v>0.8</v>
      </c>
      <c r="J1280" s="118" t="str">
        <f>J1279</f>
        <v>*</v>
      </c>
      <c r="K1280" s="275">
        <f>C1275</f>
        <v>0.5</v>
      </c>
      <c r="L1280" s="118" t="str">
        <f>L1279</f>
        <v>/</v>
      </c>
      <c r="M1280" s="275">
        <f>C1276</f>
        <v>57</v>
      </c>
      <c r="N1280" s="118" t="s">
        <v>1582</v>
      </c>
      <c r="O1280" s="497">
        <f>ROUNDDOWN(C1280*E1280*G1280*I1280*K1280/M1280,1)</f>
        <v>3.5</v>
      </c>
      <c r="P1280" s="109"/>
      <c r="Q1280" s="476"/>
      <c r="R1280" s="116">
        <v>1</v>
      </c>
    </row>
    <row r="1281" spans="1:18" ht="21.2" customHeight="1">
      <c r="A1281" s="475"/>
      <c r="B1281" s="109"/>
      <c r="C1281" s="109"/>
      <c r="D1281" s="109"/>
      <c r="E1281" s="109"/>
      <c r="F1281" s="109"/>
      <c r="G1281" s="109"/>
      <c r="H1281" s="109"/>
      <c r="I1281" s="109"/>
      <c r="J1281" s="109"/>
      <c r="K1281" s="109"/>
      <c r="L1281" s="109"/>
      <c r="M1281" s="109"/>
      <c r="N1281" s="109"/>
      <c r="O1281" s="109"/>
      <c r="P1281" s="109"/>
      <c r="Q1281" s="476"/>
      <c r="R1281" s="116">
        <v>1</v>
      </c>
    </row>
    <row r="1282" spans="1:18" ht="21.2" customHeight="1">
      <c r="A1282" s="473" t="s">
        <v>1114</v>
      </c>
      <c r="B1282" s="125"/>
      <c r="C1282" s="125"/>
      <c r="D1282" s="125"/>
      <c r="E1282" s="125"/>
      <c r="F1282" s="125"/>
      <c r="G1282" s="125"/>
      <c r="H1282" s="125"/>
      <c r="I1282" s="125"/>
      <c r="J1282" s="125"/>
      <c r="K1282" s="125"/>
      <c r="L1282" s="125"/>
      <c r="M1282" s="125"/>
      <c r="N1282" s="125"/>
      <c r="O1282" s="125"/>
      <c r="P1282" s="125"/>
      <c r="Q1282" s="474"/>
      <c r="R1282" s="116">
        <v>1</v>
      </c>
    </row>
    <row r="1283" spans="1:18" ht="21.2" customHeight="1">
      <c r="A1283" s="475" t="s">
        <v>1436</v>
      </c>
      <c r="B1283" s="109" t="s">
        <v>1582</v>
      </c>
      <c r="C1283" s="480">
        <f>중기사용료!$M$784</f>
        <v>412</v>
      </c>
      <c r="D1283" s="479" t="s">
        <v>1112</v>
      </c>
      <c r="E1283" s="118" t="s">
        <v>1111</v>
      </c>
      <c r="F1283" s="109"/>
      <c r="G1283" s="109"/>
      <c r="H1283" s="109"/>
      <c r="I1283" s="109"/>
      <c r="J1283" s="109"/>
      <c r="K1283" s="109"/>
      <c r="L1283" s="109"/>
      <c r="M1283" s="109"/>
      <c r="N1283" s="109"/>
      <c r="O1283" s="109"/>
      <c r="P1283" s="109"/>
      <c r="Q1283" s="476"/>
      <c r="R1283" s="116">
        <v>1</v>
      </c>
    </row>
    <row r="1284" spans="1:18" ht="21.2" customHeight="1">
      <c r="A1284" s="475"/>
      <c r="B1284" s="118" t="s">
        <v>1113</v>
      </c>
      <c r="C1284" s="480">
        <f>C1283</f>
        <v>412</v>
      </c>
      <c r="D1284" s="118" t="str">
        <f>D1283</f>
        <v>/</v>
      </c>
      <c r="E1284" s="134">
        <f>O1280</f>
        <v>3.5</v>
      </c>
      <c r="F1284" s="109" t="s">
        <v>1582</v>
      </c>
      <c r="G1284" s="481">
        <f>TRUNC(C1284/E1284)</f>
        <v>117</v>
      </c>
      <c r="H1284" s="109"/>
      <c r="I1284" s="109"/>
      <c r="J1284" s="109"/>
      <c r="K1284" s="109"/>
      <c r="L1284" s="109"/>
      <c r="M1284" s="109"/>
      <c r="N1284" s="109"/>
      <c r="O1284" s="109"/>
      <c r="P1284" s="109"/>
      <c r="Q1284" s="476"/>
      <c r="R1284" s="116">
        <v>1</v>
      </c>
    </row>
    <row r="1285" spans="1:18" ht="21.2" customHeight="1">
      <c r="A1285" s="475"/>
      <c r="B1285" s="109"/>
      <c r="C1285" s="109"/>
      <c r="D1285" s="109"/>
      <c r="E1285" s="109"/>
      <c r="F1285" s="109"/>
      <c r="G1285" s="109"/>
      <c r="H1285" s="109"/>
      <c r="I1285" s="109"/>
      <c r="J1285" s="109"/>
      <c r="K1285" s="109"/>
      <c r="L1285" s="109"/>
      <c r="M1285" s="109"/>
      <c r="N1285" s="109"/>
      <c r="O1285" s="109"/>
      <c r="P1285" s="109"/>
      <c r="Q1285" s="476"/>
      <c r="R1285" s="116">
        <v>1</v>
      </c>
    </row>
    <row r="1286" spans="1:18" ht="21.2" customHeight="1">
      <c r="A1286" s="475" t="s">
        <v>1115</v>
      </c>
      <c r="B1286" s="109" t="s">
        <v>1582</v>
      </c>
      <c r="C1286" s="480">
        <f>중기사용료!$M$790</f>
        <v>18939</v>
      </c>
      <c r="D1286" s="479" t="s">
        <v>1112</v>
      </c>
      <c r="E1286" s="118" t="s">
        <v>1111</v>
      </c>
      <c r="F1286" s="118"/>
      <c r="G1286" s="118"/>
      <c r="H1286" s="109"/>
      <c r="I1286" s="109"/>
      <c r="J1286" s="109"/>
      <c r="K1286" s="109"/>
      <c r="L1286" s="109"/>
      <c r="M1286" s="109"/>
      <c r="N1286" s="109"/>
      <c r="O1286" s="109"/>
      <c r="P1286" s="109"/>
      <c r="Q1286" s="476"/>
      <c r="R1286" s="116">
        <v>1</v>
      </c>
    </row>
    <row r="1287" spans="1:18" ht="21.2" customHeight="1">
      <c r="A1287" s="475"/>
      <c r="B1287" s="118" t="s">
        <v>1113</v>
      </c>
      <c r="C1287" s="480">
        <f>C1286</f>
        <v>18939</v>
      </c>
      <c r="D1287" s="479" t="str">
        <f>D1286</f>
        <v>/</v>
      </c>
      <c r="E1287" s="134">
        <f>O1280</f>
        <v>3.5</v>
      </c>
      <c r="F1287" s="118" t="s">
        <v>1582</v>
      </c>
      <c r="G1287" s="481">
        <f>TRUNC(C1287/E1287)</f>
        <v>5411</v>
      </c>
      <c r="H1287" s="109"/>
      <c r="I1287" s="109"/>
      <c r="J1287" s="109"/>
      <c r="K1287" s="109"/>
      <c r="L1287" s="109"/>
      <c r="M1287" s="109"/>
      <c r="N1287" s="109"/>
      <c r="O1287" s="109"/>
      <c r="P1287" s="109"/>
      <c r="Q1287" s="476"/>
      <c r="R1287" s="116">
        <v>1</v>
      </c>
    </row>
    <row r="1288" spans="1:18" ht="21.2" customHeight="1">
      <c r="A1288" s="475"/>
      <c r="B1288" s="109"/>
      <c r="C1288" s="109"/>
      <c r="D1288" s="109"/>
      <c r="E1288" s="109"/>
      <c r="F1288" s="109"/>
      <c r="G1288" s="109"/>
      <c r="H1288" s="109"/>
      <c r="I1288" s="109"/>
      <c r="J1288" s="109"/>
      <c r="K1288" s="109"/>
      <c r="L1288" s="109"/>
      <c r="M1288" s="109"/>
      <c r="N1288" s="109"/>
      <c r="O1288" s="109"/>
      <c r="P1288" s="109"/>
      <c r="Q1288" s="476"/>
      <c r="R1288" s="116">
        <v>1</v>
      </c>
    </row>
    <row r="1289" spans="1:18" ht="21.2" customHeight="1">
      <c r="A1289" s="475" t="s">
        <v>1116</v>
      </c>
      <c r="B1289" s="118" t="s">
        <v>1582</v>
      </c>
      <c r="C1289" s="480">
        <f>중기사용료!$M$796</f>
        <v>1019</v>
      </c>
      <c r="D1289" s="479" t="s">
        <v>1112</v>
      </c>
      <c r="E1289" s="118" t="s">
        <v>1111</v>
      </c>
      <c r="F1289" s="118"/>
      <c r="G1289" s="118"/>
      <c r="H1289" s="109"/>
      <c r="I1289" s="109"/>
      <c r="J1289" s="109"/>
      <c r="K1289" s="109"/>
      <c r="L1289" s="109"/>
      <c r="M1289" s="109"/>
      <c r="N1289" s="109"/>
      <c r="O1289" s="109"/>
      <c r="P1289" s="109"/>
      <c r="Q1289" s="476"/>
      <c r="R1289" s="116">
        <v>1</v>
      </c>
    </row>
    <row r="1290" spans="1:18" ht="21.2" customHeight="1">
      <c r="A1290" s="475"/>
      <c r="B1290" s="118" t="s">
        <v>1113</v>
      </c>
      <c r="C1290" s="480">
        <f>C1289</f>
        <v>1019</v>
      </c>
      <c r="D1290" s="118" t="str">
        <f>D1289</f>
        <v>/</v>
      </c>
      <c r="E1290" s="134">
        <f>O1280</f>
        <v>3.5</v>
      </c>
      <c r="F1290" s="118" t="s">
        <v>1582</v>
      </c>
      <c r="G1290" s="481">
        <f>TRUNC(C1290/E1290)</f>
        <v>291</v>
      </c>
      <c r="H1290" s="109"/>
      <c r="I1290" s="109"/>
      <c r="J1290" s="109"/>
      <c r="K1290" s="109"/>
      <c r="L1290" s="109"/>
      <c r="M1290" s="109"/>
      <c r="N1290" s="109"/>
      <c r="O1290" s="109"/>
      <c r="P1290" s="109"/>
      <c r="Q1290" s="476"/>
      <c r="R1290" s="116">
        <v>1</v>
      </c>
    </row>
    <row r="1291" spans="1:18" ht="21.2" customHeight="1">
      <c r="A1291" s="475"/>
      <c r="B1291" s="109"/>
      <c r="C1291" s="109"/>
      <c r="D1291" s="109"/>
      <c r="E1291" s="109"/>
      <c r="F1291" s="109"/>
      <c r="G1291" s="109"/>
      <c r="H1291" s="118" t="s">
        <v>1117</v>
      </c>
      <c r="I1291" s="118" t="s">
        <v>1118</v>
      </c>
      <c r="J1291" s="118" t="s">
        <v>1113</v>
      </c>
      <c r="K1291" s="797">
        <f>G1284+G1287+G1290</f>
        <v>5819</v>
      </c>
      <c r="L1291" s="797"/>
      <c r="M1291" s="797"/>
      <c r="N1291" s="118" t="s">
        <v>1119</v>
      </c>
      <c r="O1291" s="109"/>
      <c r="P1291" s="109"/>
      <c r="Q1291" s="476"/>
      <c r="R1291" s="116">
        <v>1</v>
      </c>
    </row>
    <row r="1292" spans="1:18" ht="21.2" customHeight="1">
      <c r="A1292" s="475"/>
      <c r="B1292" s="109"/>
      <c r="C1292" s="109"/>
      <c r="D1292" s="109"/>
      <c r="E1292" s="109"/>
      <c r="F1292" s="109"/>
      <c r="G1292" s="109"/>
      <c r="H1292" s="109"/>
      <c r="I1292" s="109"/>
      <c r="J1292" s="109"/>
      <c r="K1292" s="109"/>
      <c r="L1292" s="109"/>
      <c r="M1292" s="109"/>
      <c r="N1292" s="109"/>
      <c r="O1292" s="109"/>
      <c r="P1292" s="109"/>
      <c r="Q1292" s="476"/>
      <c r="R1292" s="116">
        <v>1</v>
      </c>
    </row>
    <row r="1293" spans="1:18" ht="21.2" customHeight="1">
      <c r="A1293" s="475"/>
      <c r="B1293" s="109"/>
      <c r="C1293" s="109"/>
      <c r="D1293" s="109"/>
      <c r="E1293" s="109"/>
      <c r="F1293" s="109"/>
      <c r="G1293" s="109"/>
      <c r="H1293" s="109"/>
      <c r="I1293" s="109"/>
      <c r="J1293" s="109"/>
      <c r="K1293" s="109"/>
      <c r="L1293" s="109"/>
      <c r="M1293" s="109"/>
      <c r="N1293" s="109"/>
      <c r="O1293" s="109"/>
      <c r="P1293" s="109"/>
      <c r="Q1293" s="476"/>
      <c r="R1293" s="116">
        <v>1</v>
      </c>
    </row>
    <row r="1294" spans="1:18" ht="21.2" customHeight="1">
      <c r="A1294" s="475"/>
      <c r="B1294" s="109"/>
      <c r="C1294" s="109"/>
      <c r="D1294" s="109"/>
      <c r="E1294" s="109"/>
      <c r="F1294" s="109"/>
      <c r="G1294" s="109"/>
      <c r="H1294" s="109"/>
      <c r="I1294" s="109"/>
      <c r="J1294" s="109"/>
      <c r="K1294" s="109"/>
      <c r="L1294" s="109"/>
      <c r="M1294" s="109"/>
      <c r="N1294" s="109"/>
      <c r="O1294" s="109"/>
      <c r="P1294" s="109"/>
      <c r="Q1294" s="476"/>
      <c r="R1294" s="116">
        <v>1</v>
      </c>
    </row>
    <row r="1295" spans="1:18" ht="21.2" customHeight="1">
      <c r="A1295" s="475"/>
      <c r="B1295" s="109"/>
      <c r="C1295" s="109"/>
      <c r="D1295" s="109"/>
      <c r="E1295" s="109"/>
      <c r="F1295" s="109"/>
      <c r="G1295" s="109"/>
      <c r="H1295" s="109"/>
      <c r="I1295" s="109"/>
      <c r="J1295" s="109"/>
      <c r="K1295" s="109"/>
      <c r="L1295" s="109"/>
      <c r="M1295" s="109"/>
      <c r="N1295" s="109"/>
      <c r="O1295" s="109"/>
      <c r="P1295" s="109"/>
      <c r="Q1295" s="476"/>
      <c r="R1295" s="116">
        <v>1</v>
      </c>
    </row>
    <row r="1296" spans="1:18" ht="21.2" customHeight="1">
      <c r="A1296" s="482"/>
      <c r="B1296" s="136"/>
      <c r="C1296" s="136"/>
      <c r="D1296" s="136"/>
      <c r="E1296" s="136"/>
      <c r="F1296" s="136"/>
      <c r="G1296" s="136"/>
      <c r="H1296" s="136"/>
      <c r="I1296" s="136"/>
      <c r="J1296" s="136"/>
      <c r="K1296" s="136"/>
      <c r="L1296" s="136"/>
      <c r="M1296" s="136"/>
      <c r="N1296" s="136"/>
      <c r="O1296" s="136"/>
      <c r="P1296" s="136"/>
      <c r="Q1296" s="483"/>
      <c r="R1296" s="116">
        <v>1</v>
      </c>
    </row>
  </sheetData>
  <mergeCells count="93">
    <mergeCell ref="C285:F285"/>
    <mergeCell ref="K310:M310"/>
    <mergeCell ref="A213:Q213"/>
    <mergeCell ref="C215:F215"/>
    <mergeCell ref="K240:M240"/>
    <mergeCell ref="A283:Q283"/>
    <mergeCell ref="A248:Q248"/>
    <mergeCell ref="C250:F250"/>
    <mergeCell ref="K275:M275"/>
    <mergeCell ref="A1123:Q1123"/>
    <mergeCell ref="K1150:M1150"/>
    <mergeCell ref="K590:M590"/>
    <mergeCell ref="K520:M520"/>
    <mergeCell ref="A528:Q528"/>
    <mergeCell ref="C530:F530"/>
    <mergeCell ref="K555:M555"/>
    <mergeCell ref="A598:Q598"/>
    <mergeCell ref="K625:M625"/>
    <mergeCell ref="A633:Q633"/>
    <mergeCell ref="A738:Q738"/>
    <mergeCell ref="K765:M765"/>
    <mergeCell ref="A773:Q773"/>
    <mergeCell ref="K800:M800"/>
    <mergeCell ref="A808:Q808"/>
    <mergeCell ref="K835:M835"/>
    <mergeCell ref="C355:F355"/>
    <mergeCell ref="K380:M380"/>
    <mergeCell ref="A388:Q388"/>
    <mergeCell ref="C390:F390"/>
    <mergeCell ref="K415:M415"/>
    <mergeCell ref="A3:Q3"/>
    <mergeCell ref="K30:M30"/>
    <mergeCell ref="A38:Q38"/>
    <mergeCell ref="K65:M65"/>
    <mergeCell ref="C5:F5"/>
    <mergeCell ref="C40:F40"/>
    <mergeCell ref="C110:F110"/>
    <mergeCell ref="A73:Q73"/>
    <mergeCell ref="C75:F75"/>
    <mergeCell ref="K100:M100"/>
    <mergeCell ref="A108:Q108"/>
    <mergeCell ref="C425:F425"/>
    <mergeCell ref="K450:M450"/>
    <mergeCell ref="A458:Q458"/>
    <mergeCell ref="C460:F460"/>
    <mergeCell ref="K135:M135"/>
    <mergeCell ref="A178:Q178"/>
    <mergeCell ref="C180:F180"/>
    <mergeCell ref="K205:M205"/>
    <mergeCell ref="A143:Q143"/>
    <mergeCell ref="C145:F145"/>
    <mergeCell ref="K170:M170"/>
    <mergeCell ref="A423:Q423"/>
    <mergeCell ref="A318:Q318"/>
    <mergeCell ref="C320:F320"/>
    <mergeCell ref="K345:M345"/>
    <mergeCell ref="A353:Q353"/>
    <mergeCell ref="K485:M485"/>
    <mergeCell ref="K730:M730"/>
    <mergeCell ref="K660:M660"/>
    <mergeCell ref="A668:Q668"/>
    <mergeCell ref="K695:M695"/>
    <mergeCell ref="A703:Q703"/>
    <mergeCell ref="A493:Q493"/>
    <mergeCell ref="C495:F495"/>
    <mergeCell ref="A563:Q563"/>
    <mergeCell ref="C565:F565"/>
    <mergeCell ref="A843:Q843"/>
    <mergeCell ref="K870:M870"/>
    <mergeCell ref="C845:F845"/>
    <mergeCell ref="A878:Q878"/>
    <mergeCell ref="K905:M905"/>
    <mergeCell ref="A983:Q983"/>
    <mergeCell ref="K1010:M1010"/>
    <mergeCell ref="A913:Q913"/>
    <mergeCell ref="K942:M942"/>
    <mergeCell ref="A948:Q948"/>
    <mergeCell ref="K977:M977"/>
    <mergeCell ref="A1088:Q1088"/>
    <mergeCell ref="K1115:M1115"/>
    <mergeCell ref="A1018:Q1018"/>
    <mergeCell ref="C1020:F1020"/>
    <mergeCell ref="K1045:M1045"/>
    <mergeCell ref="A1053:Q1053"/>
    <mergeCell ref="K1080:M1080"/>
    <mergeCell ref="A1263:Q1263"/>
    <mergeCell ref="K1291:M1291"/>
    <mergeCell ref="A1228:Q1228"/>
    <mergeCell ref="K1255:M1255"/>
    <mergeCell ref="A1158:Q1158"/>
    <mergeCell ref="K1185:M1185"/>
    <mergeCell ref="A1193:Q1193"/>
    <mergeCell ref="K1220:M1220"/>
  </mergeCells>
  <phoneticPr fontId="2" type="noConversion"/>
  <printOptions horizontalCentered="1"/>
  <pageMargins left="0.6692913385826772" right="0.59055118110236227" top="0.59055118110236227" bottom="0.55118110236220474" header="0.39370078740157483" footer="0.39370078740157483"/>
  <pageSetup paperSize="9" scale="98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M354"/>
  <sheetViews>
    <sheetView view="pageBreakPreview" zoomScaleSheetLayoutView="100" workbookViewId="0">
      <selection activeCell="B4" sqref="B4:G4"/>
    </sheetView>
  </sheetViews>
  <sheetFormatPr defaultRowHeight="14.25" customHeight="1"/>
  <cols>
    <col min="1" max="1" width="8.88671875" style="178"/>
    <col min="2" max="2" width="5.33203125" style="178" customWidth="1"/>
    <col min="3" max="3" width="11" style="178" customWidth="1"/>
    <col min="4" max="4" width="6.21875" style="178" customWidth="1"/>
    <col min="5" max="5" width="5.33203125" style="178" customWidth="1"/>
    <col min="6" max="6" width="6.88671875" style="178" customWidth="1"/>
    <col min="7" max="7" width="8.5546875" style="178" customWidth="1"/>
    <col min="8" max="8" width="6.44140625" style="178" customWidth="1"/>
    <col min="9" max="9" width="8.109375" style="178" customWidth="1"/>
    <col min="10" max="10" width="6.109375" style="178" customWidth="1"/>
    <col min="11" max="11" width="8" style="178" customWidth="1"/>
    <col min="12" max="12" width="2.33203125" style="178" customWidth="1"/>
    <col min="13" max="13" width="2" style="178" hidden="1" customWidth="1"/>
    <col min="14" max="14" width="5.33203125" style="178" customWidth="1"/>
    <col min="15" max="15" width="11" style="178" customWidth="1"/>
    <col min="16" max="16" width="6.21875" style="178" customWidth="1"/>
    <col min="17" max="17" width="5.33203125" style="178" customWidth="1"/>
    <col min="18" max="18" width="6.88671875" style="178" customWidth="1"/>
    <col min="19" max="19" width="8.5546875" style="178" customWidth="1"/>
    <col min="20" max="20" width="6.44140625" style="178" customWidth="1"/>
    <col min="21" max="21" width="8.109375" style="178" customWidth="1"/>
    <col min="22" max="22" width="6.109375" style="178" customWidth="1"/>
    <col min="23" max="23" width="6.6640625" style="178" customWidth="1"/>
    <col min="24" max="24" width="3.109375" style="178" customWidth="1"/>
    <col min="25" max="25" width="2.109375" style="178" hidden="1" customWidth="1"/>
    <col min="26" max="26" width="3.109375" style="178" customWidth="1"/>
    <col min="27" max="27" width="5.77734375" style="178" customWidth="1"/>
    <col min="28" max="28" width="7.109375" style="178" customWidth="1"/>
    <col min="29" max="29" width="3.6640625" style="178" customWidth="1"/>
    <col min="30" max="30" width="4.6640625" style="178" customWidth="1"/>
    <col min="31" max="31" width="3.6640625" style="178" customWidth="1"/>
    <col min="32" max="32" width="5.33203125" style="178" customWidth="1"/>
    <col min="33" max="33" width="7.5546875" style="178" customWidth="1"/>
    <col min="34" max="34" width="4.33203125" style="178" customWidth="1"/>
    <col min="35" max="35" width="6.6640625" style="178" customWidth="1"/>
    <col min="36" max="36" width="3.33203125" style="178" customWidth="1"/>
    <col min="37" max="37" width="7.5546875" style="178" customWidth="1"/>
    <col min="38" max="38" width="7.33203125" style="178" customWidth="1"/>
    <col min="39" max="39" width="3.21875" style="178" customWidth="1"/>
    <col min="40" max="40" width="1.44140625" style="178" customWidth="1"/>
    <col min="41" max="41" width="2.33203125" style="178" customWidth="1"/>
    <col min="42" max="42" width="3.33203125" style="178" customWidth="1"/>
    <col min="43" max="43" width="10.44140625" style="178" customWidth="1"/>
    <col min="44" max="45" width="6.88671875" style="178" customWidth="1"/>
    <col min="46" max="46" width="7.21875" style="178" customWidth="1"/>
    <col min="47" max="51" width="6.88671875" style="178" customWidth="1"/>
    <col min="52" max="52" width="2.33203125" style="178" customWidth="1"/>
    <col min="53" max="16384" width="8.88671875" style="178"/>
  </cols>
  <sheetData>
    <row r="1" spans="2:39" ht="14.25" customHeight="1"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</row>
    <row r="2" spans="2:39" s="184" customFormat="1" ht="14.25" customHeight="1">
      <c r="B2" s="180" t="s">
        <v>1270</v>
      </c>
      <c r="C2" s="181"/>
      <c r="D2" s="181"/>
      <c r="E2" s="181"/>
      <c r="F2" s="181"/>
      <c r="G2" s="181" t="s">
        <v>1271</v>
      </c>
      <c r="H2" s="182"/>
      <c r="I2" s="181"/>
      <c r="J2" s="181"/>
      <c r="K2" s="181"/>
      <c r="L2" s="183"/>
      <c r="N2" s="180" t="s">
        <v>1272</v>
      </c>
      <c r="O2" s="181"/>
      <c r="P2" s="181"/>
      <c r="Q2" s="181"/>
      <c r="R2" s="181"/>
      <c r="S2" s="181"/>
      <c r="T2" s="181" t="s">
        <v>1273</v>
      </c>
      <c r="U2" s="181"/>
      <c r="V2" s="181"/>
      <c r="W2" s="181"/>
      <c r="X2" s="183"/>
      <c r="Z2" s="180" t="s">
        <v>243</v>
      </c>
      <c r="AA2" s="181"/>
      <c r="AB2" s="181"/>
      <c r="AC2" s="181"/>
      <c r="AD2" s="181"/>
      <c r="AE2" s="181"/>
      <c r="AF2" s="181"/>
      <c r="AG2" s="181" t="s">
        <v>244</v>
      </c>
      <c r="AH2" s="181"/>
      <c r="AI2" s="181"/>
      <c r="AJ2" s="181"/>
      <c r="AK2" s="185">
        <v>3800</v>
      </c>
      <c r="AL2" s="181" t="s">
        <v>456</v>
      </c>
      <c r="AM2" s="183"/>
    </row>
    <row r="3" spans="2:39" ht="14.25" customHeight="1">
      <c r="B3" s="828"/>
      <c r="C3" s="829"/>
      <c r="D3" s="829"/>
      <c r="E3" s="829"/>
      <c r="F3" s="829"/>
      <c r="G3" s="829"/>
      <c r="H3" s="582"/>
      <c r="I3" s="187"/>
      <c r="J3" s="187"/>
      <c r="K3" s="187"/>
      <c r="L3" s="192"/>
      <c r="N3" s="191"/>
      <c r="O3" s="189"/>
      <c r="P3" s="189"/>
      <c r="Q3" s="189"/>
      <c r="R3" s="189"/>
      <c r="S3" s="189"/>
      <c r="T3" s="189"/>
      <c r="U3" s="189"/>
      <c r="V3" s="189"/>
      <c r="W3" s="189"/>
      <c r="X3" s="190"/>
      <c r="Z3" s="186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92"/>
    </row>
    <row r="4" spans="2:39" ht="14.25" customHeight="1">
      <c r="B4" s="831" t="s">
        <v>245</v>
      </c>
      <c r="C4" s="832"/>
      <c r="D4" s="832"/>
      <c r="E4" s="832"/>
      <c r="F4" s="832"/>
      <c r="G4" s="832"/>
      <c r="H4" s="563"/>
      <c r="I4" s="561"/>
      <c r="J4" s="561"/>
      <c r="K4" s="561"/>
      <c r="L4" s="564"/>
      <c r="N4" s="585" t="s">
        <v>248</v>
      </c>
      <c r="O4" s="586" t="s">
        <v>249</v>
      </c>
      <c r="P4" s="586"/>
      <c r="Q4" s="561"/>
      <c r="R4" s="561"/>
      <c r="S4" s="561"/>
      <c r="T4" s="583"/>
      <c r="U4" s="563"/>
      <c r="V4" s="561"/>
      <c r="W4" s="561"/>
      <c r="X4" s="564"/>
      <c r="Z4" s="589" t="s">
        <v>3686</v>
      </c>
      <c r="AA4" s="586" t="s">
        <v>3688</v>
      </c>
      <c r="AB4" s="590">
        <v>40</v>
      </c>
      <c r="AC4" s="586" t="s">
        <v>250</v>
      </c>
      <c r="AD4" s="561"/>
      <c r="AE4" s="561"/>
      <c r="AF4" s="561"/>
      <c r="AG4" s="561"/>
      <c r="AH4" s="583" t="s">
        <v>251</v>
      </c>
      <c r="AI4" s="563">
        <f>AB4/100</f>
        <v>0.4</v>
      </c>
      <c r="AJ4" s="561" t="s">
        <v>252</v>
      </c>
      <c r="AK4" s="561"/>
      <c r="AL4" s="561"/>
      <c r="AM4" s="564"/>
    </row>
    <row r="5" spans="2:39" ht="14.25" customHeight="1">
      <c r="B5" s="191"/>
      <c r="C5" s="189"/>
      <c r="D5" s="189"/>
      <c r="E5" s="189"/>
      <c r="F5" s="189"/>
      <c r="G5" s="189"/>
      <c r="H5" s="193" t="s">
        <v>246</v>
      </c>
      <c r="I5" s="189" t="s">
        <v>247</v>
      </c>
      <c r="J5" s="189"/>
      <c r="K5" s="189"/>
      <c r="L5" s="190"/>
      <c r="N5" s="194" t="s">
        <v>246</v>
      </c>
      <c r="O5" s="189" t="s">
        <v>254</v>
      </c>
      <c r="P5" s="189"/>
      <c r="Q5" s="189"/>
      <c r="T5" s="193" t="s">
        <v>255</v>
      </c>
      <c r="U5" s="195">
        <v>180</v>
      </c>
      <c r="V5" s="189"/>
      <c r="W5" s="189"/>
      <c r="X5" s="190"/>
      <c r="Z5" s="191"/>
      <c r="AA5" s="189"/>
      <c r="AB5" s="189"/>
      <c r="AC5" s="189"/>
      <c r="AD5" s="189"/>
      <c r="AE5" s="189"/>
      <c r="AF5" s="189"/>
      <c r="AG5" s="189"/>
      <c r="AH5" s="193" t="s">
        <v>256</v>
      </c>
      <c r="AI5" s="188">
        <v>3.55</v>
      </c>
      <c r="AJ5" s="189" t="s">
        <v>257</v>
      </c>
      <c r="AK5" s="189"/>
      <c r="AL5" s="189"/>
      <c r="AM5" s="190"/>
    </row>
    <row r="6" spans="2:39" ht="14.25" customHeight="1">
      <c r="B6" s="191"/>
      <c r="C6" s="189"/>
      <c r="D6" s="189"/>
      <c r="E6" s="189"/>
      <c r="F6" s="189"/>
      <c r="G6" s="189"/>
      <c r="H6" s="193" t="s">
        <v>251</v>
      </c>
      <c r="I6" s="188">
        <v>50</v>
      </c>
      <c r="J6" s="189" t="s">
        <v>1190</v>
      </c>
      <c r="K6" s="189"/>
      <c r="L6" s="190"/>
      <c r="N6" s="191"/>
      <c r="O6" s="189" t="s">
        <v>258</v>
      </c>
      <c r="P6" s="189"/>
      <c r="Q6" s="189"/>
      <c r="T6" s="193" t="s">
        <v>260</v>
      </c>
      <c r="U6" s="195">
        <v>3</v>
      </c>
      <c r="V6" s="196"/>
      <c r="W6" s="189"/>
      <c r="X6" s="190"/>
      <c r="Z6" s="191"/>
      <c r="AA6" s="188" t="s">
        <v>255</v>
      </c>
      <c r="AB6" s="189" t="s">
        <v>261</v>
      </c>
      <c r="AC6" s="189"/>
      <c r="AD6" s="189"/>
      <c r="AE6" s="189"/>
      <c r="AF6" s="189"/>
      <c r="AG6" s="189"/>
      <c r="AH6" s="193" t="s">
        <v>1706</v>
      </c>
      <c r="AI6" s="188">
        <v>30</v>
      </c>
      <c r="AJ6" s="189" t="s">
        <v>241</v>
      </c>
      <c r="AK6" s="189" t="s">
        <v>262</v>
      </c>
      <c r="AL6" s="189"/>
      <c r="AM6" s="190"/>
    </row>
    <row r="7" spans="2:39" ht="14.25" customHeight="1">
      <c r="B7" s="194" t="s">
        <v>246</v>
      </c>
      <c r="C7" s="189" t="s">
        <v>253</v>
      </c>
      <c r="D7" s="189"/>
      <c r="E7" s="189"/>
      <c r="F7" s="189"/>
      <c r="G7" s="189"/>
      <c r="H7" s="193" t="s">
        <v>259</v>
      </c>
      <c r="I7" s="188">
        <v>1</v>
      </c>
      <c r="J7" s="189"/>
      <c r="K7" s="189"/>
      <c r="L7" s="190"/>
      <c r="N7" s="194" t="s">
        <v>263</v>
      </c>
      <c r="O7" s="197" t="str">
        <f xml:space="preserve"> U5&amp;"×"&amp;U6&amp;"×"&amp;U7&amp;"×"&amp;U8&amp;"×"&amp;U9&amp;" / "&amp;U11</f>
        <v>180×3×0.05×2.35×0.8 / 11.75</v>
      </c>
      <c r="P7" s="189"/>
      <c r="Q7" s="189"/>
      <c r="T7" s="193" t="s">
        <v>242</v>
      </c>
      <c r="U7" s="198">
        <v>0.05</v>
      </c>
      <c r="V7" s="196"/>
      <c r="W7" s="189"/>
      <c r="X7" s="190"/>
      <c r="Z7" s="191"/>
      <c r="AA7" s="189"/>
      <c r="AB7" s="189"/>
      <c r="AC7" s="189"/>
      <c r="AD7" s="189"/>
      <c r="AE7" s="189"/>
      <c r="AF7" s="189"/>
      <c r="AG7" s="189"/>
      <c r="AH7" s="193" t="s">
        <v>2110</v>
      </c>
      <c r="AI7" s="188">
        <f>AI8/AK8*AI9*AK9</f>
        <v>8</v>
      </c>
      <c r="AJ7" s="189" t="s">
        <v>241</v>
      </c>
      <c r="AK7" s="189"/>
      <c r="AL7" s="189"/>
      <c r="AM7" s="190"/>
    </row>
    <row r="8" spans="2:39" ht="14.25" customHeight="1">
      <c r="B8" s="194" t="s">
        <v>263</v>
      </c>
      <c r="C8" s="197" t="str">
        <f>" 60×"&amp;I8&amp;"×"&amp;I6&amp;"×"&amp;I10&amp;"×"&amp;I7&amp;"×"&amp;I11&amp;" / ("&amp;I9&amp;"ㆍ"&amp;I12&amp;")sec"</f>
        <v xml:space="preserve"> 60×2.9×50×0.1×1×0.6 / (1ㆍ1.96)sec</v>
      </c>
      <c r="D8" s="189"/>
      <c r="E8" s="189"/>
      <c r="F8" s="189"/>
      <c r="G8" s="189"/>
      <c r="H8" s="193" t="s">
        <v>264</v>
      </c>
      <c r="I8" s="188">
        <v>2.9</v>
      </c>
      <c r="J8" s="189" t="s">
        <v>265</v>
      </c>
      <c r="K8" s="189"/>
      <c r="L8" s="190"/>
      <c r="N8" s="191"/>
      <c r="O8" s="189"/>
      <c r="P8" s="189"/>
      <c r="Q8" s="189"/>
      <c r="T8" s="193" t="s">
        <v>267</v>
      </c>
      <c r="U8" s="199">
        <v>2.35</v>
      </c>
      <c r="V8" s="188"/>
      <c r="W8" s="189"/>
      <c r="X8" s="190"/>
      <c r="Z8" s="191"/>
      <c r="AA8" s="188" t="s">
        <v>246</v>
      </c>
      <c r="AB8" s="188">
        <v>350</v>
      </c>
      <c r="AC8" s="189" t="s">
        <v>972</v>
      </c>
      <c r="AD8" s="188">
        <v>0.8</v>
      </c>
      <c r="AE8" s="188" t="s">
        <v>1582</v>
      </c>
      <c r="AF8" s="188">
        <f>AB8*AD8</f>
        <v>280</v>
      </c>
      <c r="AG8" s="189"/>
      <c r="AH8" s="193" t="s">
        <v>2111</v>
      </c>
      <c r="AI8" s="188">
        <v>1</v>
      </c>
      <c r="AJ8" s="188" t="s">
        <v>300</v>
      </c>
      <c r="AK8" s="188">
        <v>15</v>
      </c>
      <c r="AL8" s="189" t="s">
        <v>2112</v>
      </c>
      <c r="AM8" s="190"/>
    </row>
    <row r="9" spans="2:39" ht="14.25" customHeight="1">
      <c r="B9" s="194" t="s">
        <v>1582</v>
      </c>
      <c r="C9" s="201">
        <f>TRUNC(60*I8*I6*I10*I7*I11/(I12*I9),2)</f>
        <v>266.32</v>
      </c>
      <c r="D9" s="189" t="s">
        <v>3997</v>
      </c>
      <c r="E9" s="189"/>
      <c r="F9" s="189"/>
      <c r="G9" s="189"/>
      <c r="H9" s="193" t="s">
        <v>266</v>
      </c>
      <c r="I9" s="188">
        <v>1</v>
      </c>
      <c r="J9" s="196" t="s">
        <v>969</v>
      </c>
      <c r="K9" s="189"/>
      <c r="L9" s="190"/>
      <c r="N9" s="194" t="s">
        <v>1582</v>
      </c>
      <c r="O9" s="198">
        <f>TRUNC(U5*U6*U7*U8*U9/U11,2)</f>
        <v>4.32</v>
      </c>
      <c r="P9" s="189" t="s">
        <v>4003</v>
      </c>
      <c r="Q9" s="189"/>
      <c r="T9" s="193" t="s">
        <v>270</v>
      </c>
      <c r="U9" s="200">
        <v>0.8</v>
      </c>
      <c r="W9" s="188"/>
      <c r="X9" s="190"/>
      <c r="Z9" s="191"/>
      <c r="AA9" s="189"/>
      <c r="AB9" s="189"/>
      <c r="AC9" s="189"/>
      <c r="AD9" s="189"/>
      <c r="AE9" s="189"/>
      <c r="AF9" s="189"/>
      <c r="AG9" s="189"/>
      <c r="AH9" s="193" t="s">
        <v>972</v>
      </c>
      <c r="AI9" s="188">
        <v>2</v>
      </c>
      <c r="AJ9" s="188" t="s">
        <v>972</v>
      </c>
      <c r="AK9" s="188">
        <v>60</v>
      </c>
      <c r="AL9" s="189" t="str">
        <f>"=  "&amp;AI8/AK8*AI9*AK9</f>
        <v>=  8</v>
      </c>
      <c r="AM9" s="190"/>
    </row>
    <row r="10" spans="2:39" ht="14.25" customHeight="1">
      <c r="B10" s="191"/>
      <c r="C10" s="189"/>
      <c r="D10" s="189"/>
      <c r="E10" s="189"/>
      <c r="F10" s="189"/>
      <c r="G10" s="189"/>
      <c r="H10" s="193" t="s">
        <v>269</v>
      </c>
      <c r="I10" s="188">
        <v>0.1</v>
      </c>
      <c r="J10" s="196" t="s">
        <v>1190</v>
      </c>
      <c r="K10" s="188"/>
      <c r="L10" s="190"/>
      <c r="N10" s="191"/>
      <c r="O10" s="189"/>
      <c r="P10" s="189"/>
      <c r="Q10" s="189"/>
      <c r="U10" s="202"/>
      <c r="V10" s="189"/>
      <c r="W10" s="189"/>
      <c r="X10" s="190"/>
      <c r="Z10" s="191"/>
      <c r="AA10" s="188" t="s">
        <v>255</v>
      </c>
      <c r="AB10" s="189" t="str">
        <f>AF8&amp;" / "&amp;AI4&amp;" × "&amp;AI5</f>
        <v>280 / 0.4 × 3.55</v>
      </c>
      <c r="AC10" s="189"/>
      <c r="AD10" s="189"/>
      <c r="AE10" s="189"/>
      <c r="AF10" s="189"/>
      <c r="AG10" s="189"/>
      <c r="AH10" s="193" t="s">
        <v>2113</v>
      </c>
      <c r="AI10" s="188">
        <f>ROUND(AI14,2)</f>
        <v>13.57</v>
      </c>
      <c r="AJ10" s="189" t="s">
        <v>271</v>
      </c>
      <c r="AK10" s="189"/>
      <c r="AL10" s="189"/>
      <c r="AM10" s="190"/>
    </row>
    <row r="11" spans="2:39" ht="14.25" customHeight="1">
      <c r="B11" s="194" t="s">
        <v>272</v>
      </c>
      <c r="C11" s="201">
        <f>C9</f>
        <v>266.32</v>
      </c>
      <c r="D11" s="189" t="s">
        <v>4005</v>
      </c>
      <c r="E11" s="189"/>
      <c r="F11" s="189"/>
      <c r="G11" s="189"/>
      <c r="H11" s="193" t="s">
        <v>270</v>
      </c>
      <c r="I11" s="188">
        <v>0.6</v>
      </c>
      <c r="J11" s="188"/>
      <c r="K11" s="188"/>
      <c r="L11" s="190"/>
      <c r="N11" s="194"/>
      <c r="O11" s="203"/>
      <c r="P11" s="189"/>
      <c r="Q11" s="189"/>
      <c r="R11" s="189"/>
      <c r="S11" s="189"/>
      <c r="T11" s="204" t="s">
        <v>273</v>
      </c>
      <c r="U11" s="205">
        <f>U13</f>
        <v>11.75</v>
      </c>
      <c r="V11" s="189" t="s">
        <v>274</v>
      </c>
      <c r="W11" s="189"/>
      <c r="X11" s="190"/>
      <c r="Z11" s="191"/>
      <c r="AA11" s="189"/>
      <c r="AB11" s="189"/>
      <c r="AC11" s="189"/>
      <c r="AD11" s="189"/>
      <c r="AE11" s="189"/>
      <c r="AF11" s="189"/>
      <c r="AG11" s="189"/>
      <c r="AH11" s="193"/>
      <c r="AI11" s="206">
        <f>AK2</f>
        <v>3800</v>
      </c>
      <c r="AJ11" s="189" t="s">
        <v>300</v>
      </c>
      <c r="AK11" s="189" t="str">
        <f>"("&amp;AI4&amp;"×"&amp;AI5&amp;")"</f>
        <v>(0.4×3.55)</v>
      </c>
      <c r="AL11" s="189"/>
      <c r="AM11" s="190"/>
    </row>
    <row r="12" spans="2:39" ht="14.25" customHeight="1">
      <c r="B12" s="194" t="s">
        <v>1582</v>
      </c>
      <c r="C12" s="188">
        <f>TRUNC(C11/10,2)</f>
        <v>26.63</v>
      </c>
      <c r="D12" s="210" t="s">
        <v>279</v>
      </c>
      <c r="E12" s="189"/>
      <c r="F12" s="189"/>
      <c r="G12" s="189"/>
      <c r="H12" s="193" t="s">
        <v>275</v>
      </c>
      <c r="I12" s="209">
        <f>TRUNC(0.06*(I6/I14+I6/I15)+2*I16,2)</f>
        <v>1.96</v>
      </c>
      <c r="J12" s="189"/>
      <c r="K12" s="189"/>
      <c r="L12" s="190"/>
      <c r="N12" s="191"/>
      <c r="O12" s="189"/>
      <c r="P12" s="189"/>
      <c r="Q12" s="189"/>
      <c r="R12" s="189"/>
      <c r="S12" s="189"/>
      <c r="T12" s="207">
        <v>2.35</v>
      </c>
      <c r="U12" s="208">
        <f>U7</f>
        <v>0.05</v>
      </c>
      <c r="V12" s="189">
        <v>100</v>
      </c>
      <c r="W12" s="189"/>
      <c r="X12" s="190"/>
      <c r="Z12" s="191"/>
      <c r="AA12" s="188" t="s">
        <v>276</v>
      </c>
      <c r="AB12" s="198">
        <f>TRUNC(AF8/(AI4*AI5),2)</f>
        <v>197.18</v>
      </c>
      <c r="AC12" s="189" t="s">
        <v>277</v>
      </c>
      <c r="AD12" s="189"/>
      <c r="AE12" s="189"/>
      <c r="AF12" s="189"/>
      <c r="AG12" s="189"/>
      <c r="AH12" s="193" t="s">
        <v>1582</v>
      </c>
      <c r="AI12" s="206">
        <f>TRUNC(AK2/(AI4*AI5))</f>
        <v>2676</v>
      </c>
      <c r="AJ12" s="189" t="s">
        <v>278</v>
      </c>
      <c r="AK12" s="189"/>
      <c r="AL12" s="189"/>
      <c r="AM12" s="190"/>
    </row>
    <row r="13" spans="2:39" ht="14.25" customHeight="1">
      <c r="B13" s="191"/>
      <c r="C13" s="189"/>
      <c r="D13" s="189"/>
      <c r="E13" s="189"/>
      <c r="F13" s="189"/>
      <c r="G13" s="189"/>
      <c r="H13" s="193" t="s">
        <v>1582</v>
      </c>
      <c r="I13" s="189" t="s">
        <v>280</v>
      </c>
      <c r="J13" s="189"/>
      <c r="K13" s="189"/>
      <c r="L13" s="190"/>
      <c r="N13" s="194"/>
      <c r="O13" s="188"/>
      <c r="P13" s="210"/>
      <c r="Q13" s="189"/>
      <c r="R13" s="189"/>
      <c r="S13" s="189"/>
      <c r="T13" s="193" t="s">
        <v>1582</v>
      </c>
      <c r="U13" s="188">
        <f>TRUNC(T12*U12*V12,2)</f>
        <v>11.75</v>
      </c>
      <c r="V13" s="189"/>
      <c r="W13" s="189"/>
      <c r="X13" s="190"/>
      <c r="Z13" s="191"/>
      <c r="AA13" s="189"/>
      <c r="AB13" s="189"/>
      <c r="AC13" s="189"/>
      <c r="AD13" s="189"/>
      <c r="AE13" s="189"/>
      <c r="AF13" s="189"/>
      <c r="AG13" s="189"/>
      <c r="AH13" s="193" t="s">
        <v>1601</v>
      </c>
      <c r="AI13" s="206">
        <f>AI12</f>
        <v>2676</v>
      </c>
      <c r="AJ13" s="189" t="s">
        <v>300</v>
      </c>
      <c r="AK13" s="188">
        <f>AB12</f>
        <v>197.18</v>
      </c>
      <c r="AL13" s="189" t="s">
        <v>281</v>
      </c>
      <c r="AM13" s="190"/>
    </row>
    <row r="14" spans="2:39" ht="14.25" customHeight="1">
      <c r="B14" s="191"/>
      <c r="C14" s="189"/>
      <c r="D14" s="189"/>
      <c r="E14" s="189"/>
      <c r="F14" s="189"/>
      <c r="G14" s="189"/>
      <c r="H14" s="193" t="s">
        <v>1596</v>
      </c>
      <c r="I14" s="188">
        <v>6</v>
      </c>
      <c r="J14" s="189" t="s">
        <v>282</v>
      </c>
      <c r="K14" s="189"/>
      <c r="L14" s="190"/>
      <c r="N14" s="191"/>
      <c r="P14" s="189"/>
      <c r="Q14" s="189"/>
      <c r="R14" s="189"/>
      <c r="S14" s="189"/>
      <c r="T14" s="193"/>
      <c r="U14" s="188"/>
      <c r="V14" s="189"/>
      <c r="W14" s="189"/>
      <c r="X14" s="190"/>
      <c r="Z14" s="191"/>
      <c r="AA14" s="189"/>
      <c r="AB14" s="189"/>
      <c r="AC14" s="189"/>
      <c r="AD14" s="189"/>
      <c r="AE14" s="189"/>
      <c r="AF14" s="189"/>
      <c r="AG14" s="189"/>
      <c r="AH14" s="193" t="s">
        <v>1582</v>
      </c>
      <c r="AI14" s="189">
        <f>AI13/AK13</f>
        <v>13.571356121310478</v>
      </c>
      <c r="AJ14" s="189" t="s">
        <v>283</v>
      </c>
      <c r="AK14" s="189"/>
      <c r="AL14" s="189"/>
      <c r="AM14" s="190"/>
    </row>
    <row r="15" spans="2:39" ht="14.25" customHeight="1">
      <c r="B15" s="191"/>
      <c r="C15" s="189"/>
      <c r="D15" s="189"/>
      <c r="E15" s="189"/>
      <c r="F15" s="189"/>
      <c r="G15" s="189"/>
      <c r="H15" s="193" t="s">
        <v>1597</v>
      </c>
      <c r="I15" s="188">
        <v>6.5</v>
      </c>
      <c r="J15" s="189" t="s">
        <v>282</v>
      </c>
      <c r="K15" s="189"/>
      <c r="L15" s="190"/>
      <c r="N15" s="191"/>
      <c r="O15" s="211" t="s">
        <v>284</v>
      </c>
      <c r="W15" s="189"/>
      <c r="X15" s="190"/>
      <c r="Z15" s="191"/>
      <c r="AA15" s="189"/>
      <c r="AB15" s="189"/>
      <c r="AC15" s="189"/>
      <c r="AD15" s="189"/>
      <c r="AE15" s="189"/>
      <c r="AF15" s="189"/>
      <c r="AG15" s="189"/>
      <c r="AH15" s="193" t="s">
        <v>2114</v>
      </c>
      <c r="AI15" s="188">
        <v>10</v>
      </c>
      <c r="AJ15" s="189" t="s">
        <v>241</v>
      </c>
      <c r="AK15" s="189"/>
      <c r="AL15" s="189"/>
      <c r="AM15" s="190"/>
    </row>
    <row r="16" spans="2:39" ht="14.25" customHeight="1">
      <c r="B16" s="191"/>
      <c r="C16" s="189"/>
      <c r="D16" s="189"/>
      <c r="E16" s="189"/>
      <c r="F16" s="189"/>
      <c r="G16" s="189"/>
      <c r="H16" s="193" t="s">
        <v>242</v>
      </c>
      <c r="I16" s="188">
        <v>0.5</v>
      </c>
      <c r="J16" s="189" t="s">
        <v>1600</v>
      </c>
      <c r="K16" s="189"/>
      <c r="L16" s="190"/>
      <c r="N16" s="191"/>
      <c r="O16" s="189"/>
      <c r="P16" s="203"/>
      <c r="R16" s="188"/>
      <c r="S16" s="212"/>
      <c r="T16" s="189"/>
      <c r="U16" s="203"/>
      <c r="V16" s="189"/>
      <c r="W16" s="189"/>
      <c r="X16" s="190"/>
      <c r="Z16" s="191"/>
      <c r="AA16" s="189"/>
      <c r="AB16" s="189"/>
      <c r="AC16" s="189"/>
      <c r="AD16" s="189"/>
      <c r="AE16" s="189"/>
      <c r="AF16" s="189"/>
      <c r="AG16" s="189"/>
      <c r="AH16" s="193" t="s">
        <v>240</v>
      </c>
      <c r="AI16" s="189" t="str">
        <f>AI6&amp;"+"&amp;AI7&amp;"+"&amp;AI10&amp;"+"&amp;AI15</f>
        <v>30+8+13.57+10</v>
      </c>
      <c r="AJ16" s="189"/>
      <c r="AK16" s="189"/>
      <c r="AL16" s="189"/>
      <c r="AM16" s="190"/>
    </row>
    <row r="17" spans="2:39" ht="14.25" customHeight="1">
      <c r="B17" s="191"/>
      <c r="C17" s="189" t="s">
        <v>284</v>
      </c>
      <c r="D17" s="189"/>
      <c r="E17" s="189"/>
      <c r="F17" s="189"/>
      <c r="G17" s="189"/>
      <c r="H17" s="193"/>
      <c r="I17" s="188"/>
      <c r="J17" s="189"/>
      <c r="K17" s="189"/>
      <c r="L17" s="190"/>
      <c r="N17" s="191"/>
      <c r="O17" s="210" t="s">
        <v>288</v>
      </c>
      <c r="P17" s="813">
        <f>중기사용료!$M$1214</f>
        <v>15508</v>
      </c>
      <c r="Q17" s="813"/>
      <c r="R17" s="188" t="s">
        <v>300</v>
      </c>
      <c r="S17" s="201">
        <f>O9</f>
        <v>4.32</v>
      </c>
      <c r="T17" s="188" t="s">
        <v>1582</v>
      </c>
      <c r="U17" s="203">
        <f>INT(P17/S17)</f>
        <v>3589</v>
      </c>
      <c r="V17" s="189" t="s">
        <v>289</v>
      </c>
      <c r="W17" s="189"/>
      <c r="X17" s="190"/>
      <c r="Z17" s="191"/>
      <c r="AA17" s="189" t="s">
        <v>285</v>
      </c>
      <c r="AB17" s="189"/>
      <c r="AC17" s="189"/>
      <c r="AD17" s="189"/>
      <c r="AE17" s="189"/>
      <c r="AF17" s="189"/>
      <c r="AG17" s="189"/>
      <c r="AH17" s="193" t="s">
        <v>1582</v>
      </c>
      <c r="AI17" s="188">
        <f>AI6+AI7+AI10+AI15</f>
        <v>61.57</v>
      </c>
      <c r="AJ17" s="189" t="s">
        <v>241</v>
      </c>
      <c r="AK17" s="189"/>
      <c r="AL17" s="189"/>
      <c r="AM17" s="190"/>
    </row>
    <row r="18" spans="2:39" ht="14.25" customHeight="1">
      <c r="B18" s="191"/>
      <c r="C18" s="210" t="s">
        <v>286</v>
      </c>
      <c r="D18" s="813">
        <f>중기사용료!$M$454</f>
        <v>25105</v>
      </c>
      <c r="E18" s="813"/>
      <c r="F18" s="188" t="s">
        <v>300</v>
      </c>
      <c r="G18" s="201">
        <f>$C$12</f>
        <v>26.63</v>
      </c>
      <c r="H18" s="188" t="s">
        <v>287</v>
      </c>
      <c r="I18" s="203" t="s">
        <v>1582</v>
      </c>
      <c r="J18" s="820">
        <f>TRUNC(D18/G18*4)</f>
        <v>3770</v>
      </c>
      <c r="K18" s="820"/>
      <c r="L18" s="190"/>
      <c r="N18" s="191"/>
      <c r="O18" s="210" t="s">
        <v>1630</v>
      </c>
      <c r="P18" s="813">
        <f>중기사용료!$M$1208</f>
        <v>27168</v>
      </c>
      <c r="Q18" s="813"/>
      <c r="R18" s="188" t="s">
        <v>300</v>
      </c>
      <c r="S18" s="201">
        <f>O9</f>
        <v>4.32</v>
      </c>
      <c r="T18" s="188" t="s">
        <v>1582</v>
      </c>
      <c r="U18" s="203">
        <f>INT(P18/S18)</f>
        <v>6288</v>
      </c>
      <c r="V18" s="189" t="s">
        <v>289</v>
      </c>
      <c r="W18" s="189"/>
      <c r="X18" s="190"/>
      <c r="Z18" s="191"/>
      <c r="AA18" s="189"/>
      <c r="AB18" s="189"/>
      <c r="AC18" s="189"/>
      <c r="AD18" s="189"/>
      <c r="AE18" s="189"/>
      <c r="AF18" s="189"/>
      <c r="AG18" s="189"/>
      <c r="AH18" s="193" t="s">
        <v>270</v>
      </c>
      <c r="AI18" s="188">
        <v>0.9</v>
      </c>
      <c r="AJ18" s="189"/>
      <c r="AK18" s="189"/>
      <c r="AL18" s="189"/>
      <c r="AM18" s="190"/>
    </row>
    <row r="19" spans="2:39" ht="14.25" customHeight="1">
      <c r="B19" s="191"/>
      <c r="C19" s="210" t="s">
        <v>1629</v>
      </c>
      <c r="D19" s="813">
        <f>중기사용료!$M$448</f>
        <v>27168</v>
      </c>
      <c r="E19" s="813"/>
      <c r="F19" s="188" t="s">
        <v>300</v>
      </c>
      <c r="G19" s="201">
        <f>$C$12</f>
        <v>26.63</v>
      </c>
      <c r="H19" s="188" t="s">
        <v>287</v>
      </c>
      <c r="I19" s="203" t="s">
        <v>1582</v>
      </c>
      <c r="J19" s="820">
        <f>TRUNC(D19/G19*4)</f>
        <v>4080</v>
      </c>
      <c r="K19" s="820"/>
      <c r="L19" s="190"/>
      <c r="N19" s="191"/>
      <c r="O19" s="210" t="s">
        <v>1633</v>
      </c>
      <c r="P19" s="813">
        <f>중기사용료!$M$1202</f>
        <v>40728</v>
      </c>
      <c r="Q19" s="813"/>
      <c r="R19" s="188" t="s">
        <v>300</v>
      </c>
      <c r="S19" s="201">
        <f>O9</f>
        <v>4.32</v>
      </c>
      <c r="T19" s="188" t="s">
        <v>1582</v>
      </c>
      <c r="U19" s="203">
        <f>INT(P19/S19)</f>
        <v>9427</v>
      </c>
      <c r="V19" s="189" t="s">
        <v>289</v>
      </c>
      <c r="W19" s="189"/>
      <c r="X19" s="190"/>
      <c r="Z19" s="191"/>
      <c r="AA19" s="188" t="s">
        <v>246</v>
      </c>
      <c r="AB19" s="189" t="s">
        <v>1628</v>
      </c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90"/>
    </row>
    <row r="20" spans="2:39" ht="14.25" customHeight="1">
      <c r="B20" s="191"/>
      <c r="C20" s="210" t="s">
        <v>1633</v>
      </c>
      <c r="D20" s="813">
        <f>중기사용료!$M$442</f>
        <v>33896</v>
      </c>
      <c r="E20" s="813"/>
      <c r="F20" s="188" t="s">
        <v>300</v>
      </c>
      <c r="G20" s="201">
        <f>$C$12</f>
        <v>26.63</v>
      </c>
      <c r="H20" s="188" t="s">
        <v>287</v>
      </c>
      <c r="I20" s="203" t="s">
        <v>1582</v>
      </c>
      <c r="J20" s="820">
        <f>TRUNC(D20/G20*4)</f>
        <v>5091</v>
      </c>
      <c r="K20" s="820"/>
      <c r="L20" s="190"/>
      <c r="N20" s="191"/>
      <c r="O20" s="210"/>
      <c r="P20" s="203"/>
      <c r="Q20" s="203"/>
      <c r="R20" s="188"/>
      <c r="S20" s="201"/>
      <c r="T20" s="188"/>
      <c r="U20" s="203"/>
      <c r="V20" s="189"/>
      <c r="W20" s="189"/>
      <c r="X20" s="190"/>
      <c r="Z20" s="191"/>
      <c r="AA20" s="189" t="s">
        <v>1631</v>
      </c>
      <c r="AB20" s="189" t="str">
        <f>" 60 × "&amp;AK2&amp;" × "&amp;AI18&amp;" / "&amp;AI17&amp;" ="</f>
        <v xml:space="preserve"> 60 × 3800 × 0.9 / 61.57 =</v>
      </c>
      <c r="AC20" s="189"/>
      <c r="AD20" s="189"/>
      <c r="AE20" s="189"/>
      <c r="AF20" s="189"/>
      <c r="AG20" s="206">
        <f>TRUNC(60*AK2*AI18/AI17,2)</f>
        <v>3332.79</v>
      </c>
      <c r="AH20" s="189" t="s">
        <v>1632</v>
      </c>
      <c r="AI20" s="189"/>
      <c r="AJ20" s="189"/>
      <c r="AK20" s="189"/>
      <c r="AL20" s="189"/>
      <c r="AM20" s="190"/>
    </row>
    <row r="21" spans="2:39" ht="14.25" customHeight="1">
      <c r="B21" s="191"/>
      <c r="C21" s="210"/>
      <c r="D21" s="203"/>
      <c r="E21" s="203"/>
      <c r="F21" s="188"/>
      <c r="G21" s="201"/>
      <c r="H21" s="188"/>
      <c r="I21" s="203"/>
      <c r="J21" s="560"/>
      <c r="K21" s="560"/>
      <c r="L21" s="190"/>
      <c r="N21" s="191"/>
      <c r="O21" s="210"/>
      <c r="P21" s="203"/>
      <c r="Q21" s="203"/>
      <c r="R21" s="188"/>
      <c r="S21" s="201"/>
      <c r="T21" s="188"/>
      <c r="U21" s="203"/>
      <c r="V21" s="189"/>
      <c r="W21" s="189"/>
      <c r="X21" s="190"/>
      <c r="Z21" s="191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90"/>
    </row>
    <row r="22" spans="2:39" ht="14.25" customHeight="1">
      <c r="B22" s="191"/>
      <c r="C22" s="210"/>
      <c r="D22" s="203"/>
      <c r="E22" s="203"/>
      <c r="F22" s="188"/>
      <c r="G22" s="201"/>
      <c r="H22" s="188"/>
      <c r="I22" s="203"/>
      <c r="J22" s="560"/>
      <c r="K22" s="560"/>
      <c r="L22" s="190"/>
      <c r="N22" s="191"/>
      <c r="O22" s="210"/>
      <c r="P22" s="203"/>
      <c r="Q22" s="203"/>
      <c r="R22" s="188"/>
      <c r="S22" s="201"/>
      <c r="T22" s="188"/>
      <c r="U22" s="203"/>
      <c r="V22" s="189"/>
      <c r="W22" s="189"/>
      <c r="X22" s="190"/>
      <c r="Z22" s="191"/>
      <c r="AA22" s="189"/>
      <c r="AB22" s="206">
        <f>AG20</f>
        <v>3332.79</v>
      </c>
      <c r="AC22" s="189" t="s">
        <v>1632</v>
      </c>
      <c r="AD22" s="189"/>
      <c r="AE22" s="188" t="s">
        <v>300</v>
      </c>
      <c r="AF22" s="188">
        <f>AB4</f>
        <v>40</v>
      </c>
      <c r="AG22" s="189" t="s">
        <v>250</v>
      </c>
      <c r="AH22" s="188" t="s">
        <v>1582</v>
      </c>
      <c r="AI22" s="198">
        <f>TRUNC(AB22/AF22,2)</f>
        <v>83.31</v>
      </c>
      <c r="AJ22" s="210" t="s">
        <v>279</v>
      </c>
      <c r="AK22" s="189"/>
      <c r="AL22" s="189"/>
      <c r="AM22" s="190"/>
    </row>
    <row r="23" spans="2:39" ht="14.25" customHeight="1">
      <c r="B23" s="567" t="s">
        <v>1634</v>
      </c>
      <c r="C23" s="561"/>
      <c r="D23" s="561"/>
      <c r="E23" s="561"/>
      <c r="F23" s="561"/>
      <c r="G23" s="561"/>
      <c r="H23" s="561"/>
      <c r="I23" s="561"/>
      <c r="J23" s="561"/>
      <c r="K23" s="561"/>
      <c r="L23" s="564"/>
      <c r="N23" s="191"/>
      <c r="O23" s="210"/>
      <c r="P23" s="203"/>
      <c r="Q23" s="203"/>
      <c r="R23" s="188"/>
      <c r="S23" s="201"/>
      <c r="T23" s="188"/>
      <c r="U23" s="203"/>
      <c r="V23" s="189"/>
      <c r="W23" s="189"/>
      <c r="X23" s="190"/>
      <c r="Z23" s="191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90"/>
    </row>
    <row r="24" spans="2:39" ht="14.25" customHeight="1">
      <c r="B24" s="191"/>
      <c r="C24" s="189"/>
      <c r="D24" s="189"/>
      <c r="E24" s="189"/>
      <c r="F24" s="189"/>
      <c r="G24" s="189"/>
      <c r="H24" s="189"/>
      <c r="I24" s="189"/>
      <c r="J24" s="189"/>
      <c r="K24" s="189"/>
      <c r="L24" s="190"/>
      <c r="N24" s="191"/>
      <c r="O24" s="189"/>
      <c r="P24" s="189"/>
      <c r="Q24" s="189"/>
      <c r="R24" s="189"/>
      <c r="S24" s="189"/>
      <c r="T24" s="189"/>
      <c r="U24" s="189"/>
      <c r="V24" s="189"/>
      <c r="W24" s="189"/>
      <c r="X24" s="190"/>
      <c r="Z24" s="191"/>
      <c r="AA24" s="189" t="s">
        <v>1636</v>
      </c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90"/>
    </row>
    <row r="25" spans="2:39" ht="14.25" customHeight="1">
      <c r="B25" s="565" t="s">
        <v>1637</v>
      </c>
      <c r="C25" s="189"/>
      <c r="D25" s="189"/>
      <c r="E25" s="189"/>
      <c r="F25" s="189"/>
      <c r="G25" s="189"/>
      <c r="H25" s="193"/>
      <c r="I25" s="188"/>
      <c r="J25" s="189"/>
      <c r="K25" s="189"/>
      <c r="L25" s="190"/>
      <c r="N25" s="585" t="s">
        <v>1635</v>
      </c>
      <c r="O25" s="586" t="s">
        <v>429</v>
      </c>
      <c r="P25" s="561"/>
      <c r="Q25" s="561"/>
      <c r="R25" s="561"/>
      <c r="S25" s="561"/>
      <c r="T25" s="561"/>
      <c r="U25" s="561"/>
      <c r="V25" s="561"/>
      <c r="W25" s="561"/>
      <c r="X25" s="564"/>
      <c r="Z25" s="191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90"/>
    </row>
    <row r="26" spans="2:39" ht="14.25" customHeight="1">
      <c r="B26" s="194" t="s">
        <v>272</v>
      </c>
      <c r="C26" s="189" t="s">
        <v>1640</v>
      </c>
      <c r="D26" s="189"/>
      <c r="E26" s="189"/>
      <c r="F26" s="189"/>
      <c r="G26" s="189"/>
      <c r="H26" s="193" t="s">
        <v>255</v>
      </c>
      <c r="I26" s="195">
        <v>4</v>
      </c>
      <c r="J26" s="189"/>
      <c r="K26" s="189"/>
      <c r="L26" s="190"/>
      <c r="N26" s="591"/>
      <c r="O26" s="592"/>
      <c r="P26" s="562"/>
      <c r="Q26" s="562"/>
      <c r="R26" s="562"/>
      <c r="S26" s="562"/>
      <c r="T26" s="562"/>
      <c r="U26" s="562"/>
      <c r="V26" s="562"/>
      <c r="W26" s="562"/>
      <c r="X26" s="568"/>
      <c r="Z26" s="191"/>
      <c r="AA26" s="822" t="s">
        <v>1642</v>
      </c>
      <c r="AB26" s="822"/>
      <c r="AC26" s="813">
        <f>중기사용료!$M$1233</f>
        <v>15190</v>
      </c>
      <c r="AD26" s="813"/>
      <c r="AE26" s="813"/>
      <c r="AF26" s="203" t="s">
        <v>300</v>
      </c>
      <c r="AG26" s="821" t="str">
        <f>AI22&amp;"×"&amp;"21.57"&amp;"/"&amp;"61.57"&amp;"="</f>
        <v>83.31×21.57/61.57=</v>
      </c>
      <c r="AH26" s="821"/>
      <c r="AI26" s="821"/>
      <c r="AJ26" s="821">
        <f>TRUNC(AC26/AI22*(AI7+AI14)/AI17)</f>
        <v>63</v>
      </c>
      <c r="AK26" s="821"/>
      <c r="AL26" s="596" t="s">
        <v>1643</v>
      </c>
      <c r="AM26" s="190"/>
    </row>
    <row r="27" spans="2:39" ht="14.25" customHeight="1">
      <c r="B27" s="194" t="s">
        <v>263</v>
      </c>
      <c r="C27" s="197" t="str">
        <f>" 1000×"&amp;I26&amp;"×"&amp;I27&amp;"×"&amp;I28&amp;" × "&amp;I30&amp;"  / "&amp;I29</f>
        <v xml:space="preserve"> 1000×4×1.9×0.6 × 1  / 6</v>
      </c>
      <c r="D27" s="189"/>
      <c r="E27" s="189"/>
      <c r="F27" s="189"/>
      <c r="G27" s="189"/>
      <c r="H27" s="193" t="s">
        <v>260</v>
      </c>
      <c r="I27" s="195">
        <v>1.9</v>
      </c>
      <c r="J27" s="196"/>
      <c r="K27" s="189"/>
      <c r="L27" s="190"/>
      <c r="N27" s="587" t="s">
        <v>1638</v>
      </c>
      <c r="O27" s="211" t="s">
        <v>1639</v>
      </c>
      <c r="P27" s="189"/>
      <c r="Q27" s="189"/>
      <c r="R27" s="189"/>
      <c r="S27" s="189"/>
      <c r="T27" s="193"/>
      <c r="U27" s="188"/>
      <c r="V27" s="189"/>
      <c r="W27" s="189"/>
      <c r="X27" s="190"/>
      <c r="Z27" s="191"/>
      <c r="AA27" s="559" t="s">
        <v>1644</v>
      </c>
      <c r="AB27" s="559"/>
      <c r="AC27" s="813">
        <f>중기사용료!$M$1227</f>
        <v>27168</v>
      </c>
      <c r="AD27" s="813"/>
      <c r="AE27" s="813"/>
      <c r="AF27" s="203" t="s">
        <v>300</v>
      </c>
      <c r="AG27" s="189">
        <f>AI22</f>
        <v>83.31</v>
      </c>
      <c r="AH27" s="189"/>
      <c r="AI27" s="206" t="s">
        <v>1582</v>
      </c>
      <c r="AJ27" s="813">
        <f>TRUNC(AC27/AG27)</f>
        <v>326</v>
      </c>
      <c r="AK27" s="813"/>
      <c r="AL27" s="596" t="s">
        <v>1643</v>
      </c>
      <c r="AM27" s="190"/>
    </row>
    <row r="28" spans="2:39" ht="14.25" customHeight="1">
      <c r="B28" s="194" t="s">
        <v>1582</v>
      </c>
      <c r="C28" s="203">
        <f>TRUNC(1000*I26*I27*I28*I30/I29,2)</f>
        <v>760</v>
      </c>
      <c r="D28" s="189" t="s">
        <v>268</v>
      </c>
      <c r="E28" s="189"/>
      <c r="F28" s="189"/>
      <c r="G28" s="189"/>
      <c r="H28" s="193" t="s">
        <v>270</v>
      </c>
      <c r="I28" s="195">
        <v>0.6</v>
      </c>
      <c r="J28" s="189"/>
      <c r="K28" s="188"/>
      <c r="L28" s="190"/>
      <c r="N28" s="194" t="s">
        <v>272</v>
      </c>
      <c r="O28" s="189" t="s">
        <v>1641</v>
      </c>
      <c r="P28" s="189"/>
      <c r="Q28" s="189"/>
      <c r="T28" s="193" t="s">
        <v>255</v>
      </c>
      <c r="U28" s="195">
        <v>3</v>
      </c>
      <c r="V28" s="189"/>
      <c r="W28" s="189"/>
      <c r="X28" s="190"/>
      <c r="Z28" s="191"/>
      <c r="AA28" s="559" t="s">
        <v>1645</v>
      </c>
      <c r="AB28" s="559"/>
      <c r="AC28" s="813">
        <f>중기사용료!$M$1221</f>
        <v>13784</v>
      </c>
      <c r="AD28" s="813"/>
      <c r="AE28" s="813"/>
      <c r="AF28" s="203" t="s">
        <v>300</v>
      </c>
      <c r="AG28" s="189">
        <f>AI22</f>
        <v>83.31</v>
      </c>
      <c r="AH28" s="189"/>
      <c r="AI28" s="206" t="s">
        <v>1582</v>
      </c>
      <c r="AJ28" s="813">
        <f>TRUNC(AC28/AG28)</f>
        <v>165</v>
      </c>
      <c r="AK28" s="813"/>
      <c r="AL28" s="596" t="s">
        <v>1643</v>
      </c>
      <c r="AM28" s="190"/>
    </row>
    <row r="29" spans="2:39" ht="14.25" customHeight="1">
      <c r="B29" s="194" t="s">
        <v>1582</v>
      </c>
      <c r="C29" s="203">
        <f>C28</f>
        <v>760</v>
      </c>
      <c r="D29" s="189" t="s">
        <v>1647</v>
      </c>
      <c r="E29" s="189"/>
      <c r="F29" s="189"/>
      <c r="G29" s="189"/>
      <c r="H29" s="193" t="s">
        <v>1648</v>
      </c>
      <c r="I29" s="215">
        <v>6</v>
      </c>
      <c r="J29" s="189" t="s">
        <v>969</v>
      </c>
      <c r="K29" s="189"/>
      <c r="L29" s="190"/>
      <c r="N29" s="191"/>
      <c r="O29" s="189" t="s">
        <v>258</v>
      </c>
      <c r="P29" s="189"/>
      <c r="Q29" s="189"/>
      <c r="U29" s="202"/>
      <c r="V29" s="196"/>
      <c r="W29" s="189"/>
      <c r="X29" s="190"/>
      <c r="Z29" s="191"/>
      <c r="AA29" s="559"/>
      <c r="AB29" s="559"/>
      <c r="AC29" s="203"/>
      <c r="AD29" s="203"/>
      <c r="AE29" s="203"/>
      <c r="AF29" s="203"/>
      <c r="AG29" s="189"/>
      <c r="AH29" s="189"/>
      <c r="AI29" s="206"/>
      <c r="AJ29" s="203"/>
      <c r="AK29" s="203"/>
      <c r="AL29" s="596"/>
      <c r="AM29" s="190"/>
    </row>
    <row r="30" spans="2:39" ht="14.25" customHeight="1">
      <c r="B30" s="194" t="s">
        <v>1582</v>
      </c>
      <c r="C30" s="188">
        <f>TRUNC(C29/100,2)</f>
        <v>7.6</v>
      </c>
      <c r="D30" s="210" t="s">
        <v>279</v>
      </c>
      <c r="E30" s="189"/>
      <c r="F30" s="189"/>
      <c r="G30" s="189"/>
      <c r="H30" s="193" t="s">
        <v>259</v>
      </c>
      <c r="I30" s="188">
        <v>1</v>
      </c>
      <c r="J30" s="189"/>
      <c r="K30" s="189"/>
      <c r="L30" s="190"/>
      <c r="N30" s="194" t="s">
        <v>263</v>
      </c>
      <c r="O30" s="197" t="str">
        <f>" 1,000×"&amp;U28&amp;"×"&amp;U30&amp;"×"&amp;U32&amp;"  / "&amp;U34</f>
        <v xml:space="preserve"> 1,000×3×0.8×0.35  / 4</v>
      </c>
      <c r="P30" s="189"/>
      <c r="Q30" s="189"/>
      <c r="T30" s="193" t="s">
        <v>260</v>
      </c>
      <c r="U30" s="195">
        <v>0.8</v>
      </c>
      <c r="V30" s="196"/>
      <c r="W30" s="189"/>
      <c r="X30" s="190"/>
      <c r="Z30" s="191"/>
      <c r="AA30" s="559"/>
      <c r="AB30" s="559"/>
      <c r="AC30" s="206"/>
      <c r="AD30" s="206"/>
      <c r="AE30" s="206"/>
      <c r="AF30" s="206"/>
      <c r="AG30" s="189"/>
      <c r="AH30" s="189"/>
      <c r="AI30" s="206"/>
      <c r="AJ30" s="206"/>
      <c r="AK30" s="206"/>
      <c r="AL30" s="206"/>
      <c r="AM30" s="190"/>
    </row>
    <row r="31" spans="2:39" ht="14.25" customHeight="1">
      <c r="B31" s="191"/>
      <c r="C31" s="189"/>
      <c r="D31" s="189"/>
      <c r="E31" s="189"/>
      <c r="F31" s="189"/>
      <c r="G31" s="189"/>
      <c r="H31" s="189"/>
      <c r="I31" s="189"/>
      <c r="J31" s="189"/>
      <c r="K31" s="189"/>
      <c r="L31" s="190"/>
      <c r="N31" s="191"/>
      <c r="O31" s="189"/>
      <c r="P31" s="189"/>
      <c r="Q31" s="189"/>
      <c r="U31" s="202"/>
      <c r="V31" s="188"/>
      <c r="W31" s="189"/>
      <c r="X31" s="190"/>
      <c r="Z31" s="589" t="s">
        <v>3689</v>
      </c>
      <c r="AA31" s="586" t="s">
        <v>3690</v>
      </c>
      <c r="AB31" s="561"/>
      <c r="AC31" s="561"/>
      <c r="AD31" s="561"/>
      <c r="AE31" s="561"/>
      <c r="AF31" s="561"/>
      <c r="AG31" s="561"/>
      <c r="AH31" s="561"/>
      <c r="AI31" s="561"/>
      <c r="AJ31" s="561"/>
      <c r="AK31" s="561"/>
      <c r="AL31" s="561"/>
      <c r="AM31" s="564"/>
    </row>
    <row r="32" spans="2:39" ht="14.25" customHeight="1">
      <c r="B32" s="191"/>
      <c r="C32" s="189" t="s">
        <v>284</v>
      </c>
      <c r="D32" s="189"/>
      <c r="E32" s="189"/>
      <c r="F32" s="189"/>
      <c r="G32" s="189"/>
      <c r="H32" s="189"/>
      <c r="I32" s="189"/>
      <c r="J32" s="189"/>
      <c r="K32" s="189"/>
      <c r="L32" s="190"/>
      <c r="N32" s="194" t="s">
        <v>1582</v>
      </c>
      <c r="O32" s="198">
        <f>TRUNC(1000*U28*U30*U32/U34,2)</f>
        <v>210</v>
      </c>
      <c r="P32" s="189" t="s">
        <v>268</v>
      </c>
      <c r="Q32" s="189"/>
      <c r="T32" s="193" t="s">
        <v>270</v>
      </c>
      <c r="U32" s="200">
        <v>0.35</v>
      </c>
      <c r="W32" s="188"/>
      <c r="X32" s="190"/>
      <c r="Z32" s="191"/>
      <c r="AA32" s="189" t="s">
        <v>3300</v>
      </c>
      <c r="AB32" s="189"/>
      <c r="AC32" s="189"/>
      <c r="AD32" s="188">
        <v>0.1</v>
      </c>
      <c r="AE32" s="188" t="s">
        <v>1163</v>
      </c>
      <c r="AF32" s="188" t="s">
        <v>972</v>
      </c>
      <c r="AG32" s="813">
        <f>SUMIF('노임(2015)'!$B$4:$B$87,AA32,'노임(2015)'!$C$4:$C$87)+SUMIF('노임(2015)'!$E$4:$E$87,AA32,'노임(2015)'!$F$4:$F$87)</f>
        <v>126728</v>
      </c>
      <c r="AH32" s="813"/>
      <c r="AI32" s="188" t="s">
        <v>1582</v>
      </c>
      <c r="AJ32" s="813">
        <f>TRUNC(AD32*AG32)</f>
        <v>12672</v>
      </c>
      <c r="AK32" s="813"/>
      <c r="AL32" s="189" t="s">
        <v>1643</v>
      </c>
      <c r="AM32" s="190"/>
    </row>
    <row r="33" spans="2:39" ht="14.25" customHeight="1">
      <c r="B33" s="191"/>
      <c r="C33" s="210" t="s">
        <v>288</v>
      </c>
      <c r="D33" s="813">
        <f>중기사용료!$M$758</f>
        <v>20870</v>
      </c>
      <c r="E33" s="813"/>
      <c r="F33" s="188" t="s">
        <v>300</v>
      </c>
      <c r="G33" s="201">
        <f>C30</f>
        <v>7.6</v>
      </c>
      <c r="H33" s="188" t="s">
        <v>1582</v>
      </c>
      <c r="I33" s="203">
        <f>TRUNC(D33/G33)</f>
        <v>2746</v>
      </c>
      <c r="J33" s="189" t="s">
        <v>289</v>
      </c>
      <c r="K33" s="189"/>
      <c r="L33" s="190"/>
      <c r="N33" s="191"/>
      <c r="O33" s="189"/>
      <c r="P33" s="189"/>
      <c r="Q33" s="189"/>
      <c r="U33" s="202"/>
      <c r="V33" s="189"/>
      <c r="W33" s="189"/>
      <c r="X33" s="190"/>
      <c r="Z33" s="191"/>
      <c r="AA33" s="189" t="s">
        <v>3301</v>
      </c>
      <c r="AB33" s="189"/>
      <c r="AC33" s="189"/>
      <c r="AD33" s="188">
        <v>0.1</v>
      </c>
      <c r="AE33" s="188" t="s">
        <v>1163</v>
      </c>
      <c r="AF33" s="188" t="s">
        <v>972</v>
      </c>
      <c r="AG33" s="813">
        <f>SUMIF('노임(2015)'!$B$4:$B$87,AA33,'노임(2015)'!$C$4:$C$87)+SUMIF('노임(2015)'!$E$4:$E$87,AA33,'노임(2015)'!$F$4:$F$87)</f>
        <v>89566</v>
      </c>
      <c r="AH33" s="813"/>
      <c r="AI33" s="188" t="s">
        <v>1582</v>
      </c>
      <c r="AJ33" s="813">
        <f>TRUNC(AD33*AG33)</f>
        <v>8956</v>
      </c>
      <c r="AK33" s="813"/>
      <c r="AL33" s="189" t="s">
        <v>1643</v>
      </c>
      <c r="AM33" s="190"/>
    </row>
    <row r="34" spans="2:39" ht="14.25" customHeight="1">
      <c r="B34" s="191"/>
      <c r="C34" s="210" t="s">
        <v>1630</v>
      </c>
      <c r="D34" s="813">
        <f>중기사용료!$M$752</f>
        <v>27168</v>
      </c>
      <c r="E34" s="813"/>
      <c r="F34" s="188" t="s">
        <v>300</v>
      </c>
      <c r="G34" s="201">
        <f>C30</f>
        <v>7.6</v>
      </c>
      <c r="H34" s="188" t="s">
        <v>1582</v>
      </c>
      <c r="I34" s="203">
        <f>TRUNC(D34/G34)</f>
        <v>3574</v>
      </c>
      <c r="J34" s="189" t="s">
        <v>289</v>
      </c>
      <c r="K34" s="189"/>
      <c r="L34" s="190"/>
      <c r="N34" s="194" t="s">
        <v>1582</v>
      </c>
      <c r="O34" s="203">
        <f>O32</f>
        <v>210</v>
      </c>
      <c r="P34" s="189" t="s">
        <v>1647</v>
      </c>
      <c r="Q34" s="189"/>
      <c r="R34" s="189"/>
      <c r="S34" s="189"/>
      <c r="T34" s="204" t="s">
        <v>1648</v>
      </c>
      <c r="U34" s="214">
        <v>4</v>
      </c>
      <c r="V34" s="189" t="s">
        <v>969</v>
      </c>
      <c r="W34" s="189"/>
      <c r="X34" s="190"/>
      <c r="Z34" s="191"/>
      <c r="AA34" s="189"/>
      <c r="AB34" s="189"/>
      <c r="AC34" s="189"/>
      <c r="AD34" s="189"/>
      <c r="AE34" s="189"/>
      <c r="AF34" s="189"/>
      <c r="AG34" s="189"/>
      <c r="AH34" s="189"/>
      <c r="AI34" s="188" t="s">
        <v>1454</v>
      </c>
      <c r="AJ34" s="813">
        <f>SUM(AJ32:AK33)</f>
        <v>21628</v>
      </c>
      <c r="AK34" s="821"/>
      <c r="AL34" s="189" t="s">
        <v>1643</v>
      </c>
      <c r="AM34" s="190"/>
    </row>
    <row r="35" spans="2:39" ht="14.25" customHeight="1">
      <c r="B35" s="191"/>
      <c r="C35" s="210" t="s">
        <v>1633</v>
      </c>
      <c r="D35" s="813">
        <f>중기사용료!$M$746</f>
        <v>22837</v>
      </c>
      <c r="E35" s="813"/>
      <c r="F35" s="188" t="s">
        <v>300</v>
      </c>
      <c r="G35" s="201">
        <f>C30</f>
        <v>7.6</v>
      </c>
      <c r="H35" s="188" t="s">
        <v>1582</v>
      </c>
      <c r="I35" s="203">
        <f>TRUNC(D35/G35)</f>
        <v>3004</v>
      </c>
      <c r="J35" s="189" t="s">
        <v>289</v>
      </c>
      <c r="K35" s="189"/>
      <c r="L35" s="190"/>
      <c r="N35" s="191"/>
      <c r="O35" s="189"/>
      <c r="P35" s="189"/>
      <c r="Q35" s="189"/>
      <c r="R35" s="189"/>
      <c r="S35" s="189"/>
      <c r="V35" s="189"/>
      <c r="W35" s="189"/>
      <c r="X35" s="190"/>
      <c r="Z35" s="191"/>
      <c r="AA35" s="189"/>
      <c r="AB35" s="189"/>
      <c r="AC35" s="189"/>
      <c r="AD35" s="189"/>
      <c r="AE35" s="189"/>
      <c r="AF35" s="189"/>
      <c r="AG35" s="189"/>
      <c r="AH35" s="189"/>
      <c r="AI35" s="188"/>
      <c r="AJ35" s="203"/>
      <c r="AK35" s="188"/>
      <c r="AL35" s="189"/>
      <c r="AM35" s="190"/>
    </row>
    <row r="36" spans="2:39" ht="14.25" customHeight="1">
      <c r="B36" s="191"/>
      <c r="C36" s="210"/>
      <c r="D36" s="203"/>
      <c r="E36" s="203"/>
      <c r="F36" s="188"/>
      <c r="G36" s="201"/>
      <c r="H36" s="188"/>
      <c r="I36" s="203"/>
      <c r="J36" s="189"/>
      <c r="K36" s="189"/>
      <c r="L36" s="190"/>
      <c r="N36" s="194" t="s">
        <v>1582</v>
      </c>
      <c r="O36" s="188">
        <f>O34/100</f>
        <v>2.1</v>
      </c>
      <c r="P36" s="210" t="s">
        <v>279</v>
      </c>
      <c r="Q36" s="189"/>
      <c r="R36" s="189"/>
      <c r="S36" s="189"/>
      <c r="T36" s="193"/>
      <c r="U36" s="188"/>
      <c r="V36" s="189"/>
      <c r="W36" s="189"/>
      <c r="X36" s="190"/>
      <c r="Z36" s="191"/>
      <c r="AA36" s="189"/>
      <c r="AB36" s="189"/>
      <c r="AC36" s="189"/>
      <c r="AD36" s="189"/>
      <c r="AE36" s="189"/>
      <c r="AF36" s="189"/>
      <c r="AG36" s="189"/>
      <c r="AH36" s="189"/>
      <c r="AI36" s="188"/>
      <c r="AJ36" s="203"/>
      <c r="AK36" s="188"/>
      <c r="AL36" s="189"/>
      <c r="AM36" s="190"/>
    </row>
    <row r="37" spans="2:39" ht="14.25" customHeight="1">
      <c r="B37" s="566" t="s">
        <v>1650</v>
      </c>
      <c r="C37" s="562"/>
      <c r="D37" s="189"/>
      <c r="E37" s="189"/>
      <c r="F37" s="189"/>
      <c r="G37" s="189"/>
      <c r="H37" s="189"/>
      <c r="I37" s="189"/>
      <c r="J37" s="189"/>
      <c r="K37" s="189"/>
      <c r="L37" s="190"/>
      <c r="N37" s="191"/>
      <c r="P37" s="189"/>
      <c r="Q37" s="189"/>
      <c r="R37" s="189"/>
      <c r="S37" s="189"/>
      <c r="T37" s="193"/>
      <c r="U37" s="188"/>
      <c r="V37" s="189"/>
      <c r="W37" s="189"/>
      <c r="X37" s="190"/>
      <c r="Z37" s="191"/>
      <c r="AA37" s="189"/>
      <c r="AB37" s="189"/>
      <c r="AC37" s="189"/>
      <c r="AD37" s="189"/>
      <c r="AE37" s="189"/>
      <c r="AF37" s="189"/>
      <c r="AG37" s="189"/>
      <c r="AH37" s="189"/>
      <c r="AI37" s="188"/>
      <c r="AJ37" s="203"/>
      <c r="AK37" s="188"/>
      <c r="AL37" s="189"/>
      <c r="AM37" s="190"/>
    </row>
    <row r="38" spans="2:39" ht="14.25" customHeight="1">
      <c r="B38" s="194" t="s">
        <v>272</v>
      </c>
      <c r="C38" s="189" t="s">
        <v>1640</v>
      </c>
      <c r="D38" s="189"/>
      <c r="E38" s="189"/>
      <c r="F38" s="189"/>
      <c r="G38" s="189"/>
      <c r="H38" s="193" t="s">
        <v>272</v>
      </c>
      <c r="I38" s="189" t="s">
        <v>1653</v>
      </c>
      <c r="J38" s="189"/>
      <c r="K38" s="189"/>
      <c r="L38" s="190"/>
      <c r="N38" s="191"/>
      <c r="O38" s="189"/>
      <c r="P38" s="189"/>
      <c r="Q38" s="189"/>
      <c r="R38" s="189"/>
      <c r="S38" s="189"/>
      <c r="W38" s="189"/>
      <c r="X38" s="190"/>
      <c r="Z38" s="191"/>
      <c r="AA38" s="821" t="s">
        <v>1649</v>
      </c>
      <c r="AB38" s="821"/>
      <c r="AC38" s="189"/>
      <c r="AD38" s="189"/>
      <c r="AE38" s="189"/>
      <c r="AF38" s="189"/>
      <c r="AG38" s="189"/>
      <c r="AH38" s="189"/>
      <c r="AI38" s="188"/>
      <c r="AJ38" s="203"/>
      <c r="AK38" s="188"/>
      <c r="AL38" s="189"/>
      <c r="AM38" s="190"/>
    </row>
    <row r="39" spans="2:39" ht="14.25" customHeight="1">
      <c r="B39" s="194" t="s">
        <v>263</v>
      </c>
      <c r="C39" s="197" t="str">
        <f>" 1000×"&amp;I39&amp;"×"&amp;I40&amp;"×"&amp;I41&amp;" × 1  / "&amp;I42</f>
        <v xml:space="preserve"> 1000×2.5×1.8×0.6 × 1  / 1</v>
      </c>
      <c r="D39" s="189"/>
      <c r="E39" s="189"/>
      <c r="F39" s="189"/>
      <c r="G39" s="189"/>
      <c r="H39" s="193" t="s">
        <v>255</v>
      </c>
      <c r="I39" s="195">
        <v>2.5</v>
      </c>
      <c r="J39" s="189" t="s">
        <v>1654</v>
      </c>
      <c r="K39" s="188"/>
      <c r="L39" s="190"/>
      <c r="N39" s="191"/>
      <c r="O39" s="211" t="s">
        <v>284</v>
      </c>
      <c r="W39" s="189"/>
      <c r="X39" s="190"/>
      <c r="Z39" s="191"/>
      <c r="AA39" s="821"/>
      <c r="AB39" s="821"/>
      <c r="AC39" s="189"/>
      <c r="AD39" s="189"/>
      <c r="AE39" s="189"/>
      <c r="AF39" s="189"/>
      <c r="AG39" s="189"/>
      <c r="AH39" s="189"/>
      <c r="AI39" s="188"/>
      <c r="AJ39" s="203"/>
      <c r="AK39" s="188"/>
      <c r="AL39" s="189"/>
      <c r="AM39" s="190"/>
    </row>
    <row r="40" spans="2:39" ht="14.25" customHeight="1">
      <c r="B40" s="194" t="s">
        <v>1582</v>
      </c>
      <c r="C40" s="203">
        <f>TRUNC(1000*I39*I40*I41/I42,2)</f>
        <v>2700</v>
      </c>
      <c r="D40" s="189" t="s">
        <v>268</v>
      </c>
      <c r="E40" s="189"/>
      <c r="F40" s="189"/>
      <c r="G40" s="189"/>
      <c r="H40" s="193" t="s">
        <v>260</v>
      </c>
      <c r="I40" s="195">
        <v>1.8</v>
      </c>
      <c r="J40" s="196" t="s">
        <v>1655</v>
      </c>
      <c r="K40" s="189"/>
      <c r="L40" s="190"/>
      <c r="N40" s="191"/>
      <c r="O40" s="189"/>
      <c r="P40" s="203"/>
      <c r="R40" s="188"/>
      <c r="S40" s="212"/>
      <c r="T40" s="189"/>
      <c r="U40" s="203"/>
      <c r="V40" s="189"/>
      <c r="W40" s="189"/>
      <c r="X40" s="190"/>
      <c r="Z40" s="191"/>
      <c r="AA40" s="823" t="s">
        <v>1642</v>
      </c>
      <c r="AB40" s="823"/>
      <c r="AC40" s="813">
        <f>AJ26</f>
        <v>63</v>
      </c>
      <c r="AD40" s="813"/>
      <c r="AE40" s="813"/>
      <c r="AF40" s="189"/>
      <c r="AG40" s="189"/>
      <c r="AH40" s="189"/>
      <c r="AI40" s="188"/>
      <c r="AJ40" s="203"/>
      <c r="AK40" s="188"/>
      <c r="AL40" s="189"/>
      <c r="AM40" s="190"/>
    </row>
    <row r="41" spans="2:39" ht="14.25" customHeight="1">
      <c r="B41" s="194" t="s">
        <v>1582</v>
      </c>
      <c r="C41" s="203">
        <f>C40</f>
        <v>2700</v>
      </c>
      <c r="D41" s="189" t="s">
        <v>1647</v>
      </c>
      <c r="E41" s="189"/>
      <c r="F41" s="189"/>
      <c r="G41" s="189"/>
      <c r="H41" s="193" t="s">
        <v>270</v>
      </c>
      <c r="I41" s="200">
        <v>0.6</v>
      </c>
      <c r="J41" s="189" t="s">
        <v>1657</v>
      </c>
      <c r="K41" s="189"/>
      <c r="L41" s="190"/>
      <c r="N41" s="191"/>
      <c r="O41" s="210" t="s">
        <v>288</v>
      </c>
      <c r="P41" s="813">
        <f>중기사용료!$M$587</f>
        <v>9998</v>
      </c>
      <c r="Q41" s="813"/>
      <c r="R41" s="188" t="s">
        <v>300</v>
      </c>
      <c r="S41" s="201">
        <f>O36</f>
        <v>2.1</v>
      </c>
      <c r="T41" s="188" t="s">
        <v>1582</v>
      </c>
      <c r="U41" s="203">
        <f>INT(P41/S41)</f>
        <v>4760</v>
      </c>
      <c r="V41" s="189" t="s">
        <v>289</v>
      </c>
      <c r="W41" s="189"/>
      <c r="X41" s="190"/>
      <c r="Z41" s="191"/>
      <c r="AA41" s="823"/>
      <c r="AB41" s="823"/>
      <c r="AC41" s="813"/>
      <c r="AD41" s="813"/>
      <c r="AE41" s="813"/>
      <c r="AF41" s="189"/>
      <c r="AG41" s="189"/>
      <c r="AH41" s="189"/>
      <c r="AI41" s="188"/>
      <c r="AJ41" s="203"/>
      <c r="AK41" s="188"/>
      <c r="AL41" s="189"/>
      <c r="AM41" s="190"/>
    </row>
    <row r="42" spans="2:39" ht="14.25" customHeight="1">
      <c r="B42" s="194" t="s">
        <v>1582</v>
      </c>
      <c r="C42" s="188">
        <f>C41/100</f>
        <v>27</v>
      </c>
      <c r="D42" s="210" t="s">
        <v>279</v>
      </c>
      <c r="E42" s="189"/>
      <c r="F42" s="189"/>
      <c r="G42" s="189"/>
      <c r="H42" s="193" t="s">
        <v>1648</v>
      </c>
      <c r="I42" s="195">
        <v>1</v>
      </c>
      <c r="J42" s="189" t="s">
        <v>969</v>
      </c>
      <c r="K42" s="189"/>
      <c r="L42" s="190"/>
      <c r="N42" s="191"/>
      <c r="O42" s="210" t="s">
        <v>1630</v>
      </c>
      <c r="P42" s="813">
        <f>중기사용료!$M$581</f>
        <v>27168</v>
      </c>
      <c r="Q42" s="813"/>
      <c r="R42" s="188" t="s">
        <v>300</v>
      </c>
      <c r="S42" s="201">
        <f>O36</f>
        <v>2.1</v>
      </c>
      <c r="T42" s="188" t="s">
        <v>1582</v>
      </c>
      <c r="U42" s="203">
        <f>INT(P42/S42)</f>
        <v>12937</v>
      </c>
      <c r="V42" s="189" t="s">
        <v>289</v>
      </c>
      <c r="W42" s="189"/>
      <c r="X42" s="190"/>
      <c r="Z42" s="191"/>
      <c r="AA42" s="822" t="s">
        <v>1644</v>
      </c>
      <c r="AB42" s="822"/>
      <c r="AC42" s="813">
        <f>AJ27+AJ34</f>
        <v>21954</v>
      </c>
      <c r="AD42" s="813"/>
      <c r="AE42" s="813"/>
      <c r="AF42" s="189"/>
      <c r="AG42" s="189"/>
      <c r="AH42" s="189"/>
      <c r="AI42" s="188"/>
      <c r="AJ42" s="203"/>
      <c r="AK42" s="188"/>
      <c r="AL42" s="189"/>
      <c r="AM42" s="190"/>
    </row>
    <row r="43" spans="2:39" ht="14.25" customHeight="1">
      <c r="B43" s="191"/>
      <c r="C43" s="189"/>
      <c r="D43" s="189"/>
      <c r="E43" s="189"/>
      <c r="F43" s="189"/>
      <c r="G43" s="189"/>
      <c r="H43" s="193" t="s">
        <v>259</v>
      </c>
      <c r="I43" s="188">
        <v>1</v>
      </c>
      <c r="J43" s="189"/>
      <c r="K43" s="189"/>
      <c r="L43" s="190"/>
      <c r="N43" s="191"/>
      <c r="O43" s="210" t="s">
        <v>1633</v>
      </c>
      <c r="P43" s="813">
        <f>중기사용료!$M$575</f>
        <v>8783</v>
      </c>
      <c r="Q43" s="813"/>
      <c r="R43" s="188" t="s">
        <v>300</v>
      </c>
      <c r="S43" s="201">
        <f>O36</f>
        <v>2.1</v>
      </c>
      <c r="T43" s="188" t="s">
        <v>1582</v>
      </c>
      <c r="U43" s="203">
        <f>INT(P43/S43)</f>
        <v>4182</v>
      </c>
      <c r="V43" s="189" t="s">
        <v>289</v>
      </c>
      <c r="W43" s="189"/>
      <c r="X43" s="190"/>
      <c r="Z43" s="191"/>
      <c r="AA43" s="822"/>
      <c r="AB43" s="822"/>
      <c r="AC43" s="813"/>
      <c r="AD43" s="813"/>
      <c r="AE43" s="813"/>
      <c r="AF43" s="189"/>
      <c r="AG43" s="189"/>
      <c r="AH43" s="189"/>
      <c r="AI43" s="188"/>
      <c r="AJ43" s="203"/>
      <c r="AK43" s="188"/>
      <c r="AL43" s="189"/>
      <c r="AM43" s="190"/>
    </row>
    <row r="44" spans="2:39" ht="14.25" customHeight="1">
      <c r="B44" s="191"/>
      <c r="C44" s="189" t="s">
        <v>284</v>
      </c>
      <c r="D44" s="189"/>
      <c r="E44" s="189"/>
      <c r="F44" s="189"/>
      <c r="G44" s="189"/>
      <c r="H44" s="189"/>
      <c r="I44" s="189"/>
      <c r="J44" s="189"/>
      <c r="K44" s="189"/>
      <c r="L44" s="190"/>
      <c r="N44" s="191"/>
      <c r="O44" s="210"/>
      <c r="P44" s="203"/>
      <c r="Q44" s="203"/>
      <c r="R44" s="188"/>
      <c r="S44" s="201"/>
      <c r="T44" s="188"/>
      <c r="U44" s="203"/>
      <c r="V44" s="189"/>
      <c r="W44" s="189"/>
      <c r="X44" s="190"/>
      <c r="Z44" s="191"/>
      <c r="AA44" s="822" t="s">
        <v>1645</v>
      </c>
      <c r="AB44" s="822"/>
      <c r="AC44" s="813">
        <f>AJ28</f>
        <v>165</v>
      </c>
      <c r="AD44" s="813"/>
      <c r="AE44" s="813"/>
      <c r="AF44" s="189"/>
      <c r="AG44" s="189"/>
      <c r="AH44" s="189"/>
      <c r="AI44" s="188"/>
      <c r="AJ44" s="203"/>
      <c r="AK44" s="188"/>
      <c r="AL44" s="189"/>
      <c r="AM44" s="190"/>
    </row>
    <row r="45" spans="2:39" ht="14.25" customHeight="1">
      <c r="B45" s="191"/>
      <c r="C45" s="210" t="s">
        <v>288</v>
      </c>
      <c r="D45" s="813">
        <f>중기사용료!$M$777</f>
        <v>10970</v>
      </c>
      <c r="E45" s="813"/>
      <c r="F45" s="188" t="s">
        <v>300</v>
      </c>
      <c r="G45" s="201">
        <f>C42</f>
        <v>27</v>
      </c>
      <c r="H45" s="188" t="s">
        <v>1582</v>
      </c>
      <c r="I45" s="203">
        <f>TRUNC(D45/G45)</f>
        <v>406</v>
      </c>
      <c r="J45" s="189" t="s">
        <v>289</v>
      </c>
      <c r="K45" s="189"/>
      <c r="L45" s="190"/>
      <c r="N45" s="191"/>
      <c r="O45" s="210"/>
      <c r="P45" s="203"/>
      <c r="Q45" s="203"/>
      <c r="R45" s="188"/>
      <c r="S45" s="201"/>
      <c r="T45" s="188"/>
      <c r="U45" s="203"/>
      <c r="V45" s="189"/>
      <c r="W45" s="189"/>
      <c r="X45" s="190"/>
      <c r="Z45" s="191"/>
      <c r="AA45" s="822"/>
      <c r="AB45" s="822"/>
      <c r="AC45" s="813"/>
      <c r="AD45" s="813"/>
      <c r="AE45" s="813"/>
      <c r="AF45" s="189"/>
      <c r="AG45" s="189"/>
      <c r="AH45" s="189"/>
      <c r="AI45" s="188" t="s">
        <v>1454</v>
      </c>
      <c r="AJ45" s="813">
        <f>SUM(AC40:AE45)</f>
        <v>22182</v>
      </c>
      <c r="AK45" s="813"/>
      <c r="AL45" s="189" t="s">
        <v>1643</v>
      </c>
      <c r="AM45" s="190"/>
    </row>
    <row r="46" spans="2:39" ht="14.25" customHeight="1">
      <c r="B46" s="191"/>
      <c r="C46" s="210" t="s">
        <v>1630</v>
      </c>
      <c r="D46" s="813">
        <f>중기사용료!$M$771</f>
        <v>27168</v>
      </c>
      <c r="E46" s="813"/>
      <c r="F46" s="188" t="s">
        <v>300</v>
      </c>
      <c r="G46" s="201">
        <f>C42</f>
        <v>27</v>
      </c>
      <c r="H46" s="188" t="s">
        <v>1582</v>
      </c>
      <c r="I46" s="203">
        <f>TRUNC(D46/G46)</f>
        <v>1006</v>
      </c>
      <c r="J46" s="189" t="s">
        <v>289</v>
      </c>
      <c r="K46" s="189"/>
      <c r="L46" s="190"/>
      <c r="N46" s="191"/>
      <c r="O46" s="210"/>
      <c r="P46" s="203"/>
      <c r="Q46" s="203"/>
      <c r="R46" s="188"/>
      <c r="S46" s="201"/>
      <c r="T46" s="188"/>
      <c r="U46" s="203"/>
      <c r="V46" s="189"/>
      <c r="W46" s="189"/>
      <c r="X46" s="190"/>
      <c r="Z46" s="191"/>
      <c r="AA46" s="189"/>
      <c r="AB46" s="189"/>
      <c r="AC46" s="189"/>
      <c r="AD46" s="189"/>
      <c r="AE46" s="189"/>
      <c r="AF46" s="189"/>
      <c r="AG46" s="189"/>
      <c r="AH46" s="189"/>
      <c r="AI46" s="188"/>
      <c r="AJ46" s="203"/>
      <c r="AK46" s="188"/>
      <c r="AL46" s="189"/>
      <c r="AM46" s="190"/>
    </row>
    <row r="47" spans="2:39" ht="14.25" customHeight="1">
      <c r="B47" s="191"/>
      <c r="C47" s="210" t="s">
        <v>1633</v>
      </c>
      <c r="D47" s="813">
        <f>중기사용료!$M$765</f>
        <v>15334</v>
      </c>
      <c r="E47" s="813"/>
      <c r="F47" s="188" t="s">
        <v>300</v>
      </c>
      <c r="G47" s="201">
        <f>C42</f>
        <v>27</v>
      </c>
      <c r="H47" s="188" t="s">
        <v>1582</v>
      </c>
      <c r="I47" s="203">
        <f>TRUNC(D47/G47)</f>
        <v>567</v>
      </c>
      <c r="J47" s="189" t="s">
        <v>289</v>
      </c>
      <c r="K47" s="189"/>
      <c r="L47" s="190"/>
      <c r="N47" s="191"/>
      <c r="O47" s="189"/>
      <c r="P47" s="189"/>
      <c r="Q47" s="189"/>
      <c r="R47" s="189"/>
      <c r="S47" s="189"/>
      <c r="T47" s="189"/>
      <c r="U47" s="189"/>
      <c r="V47" s="189"/>
      <c r="W47" s="189"/>
      <c r="X47" s="190"/>
      <c r="Z47" s="191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90"/>
    </row>
    <row r="48" spans="2:39" ht="14.25" customHeight="1">
      <c r="B48" s="574"/>
      <c r="C48" s="578"/>
      <c r="D48" s="579"/>
      <c r="E48" s="579"/>
      <c r="F48" s="580"/>
      <c r="G48" s="581"/>
      <c r="H48" s="580"/>
      <c r="I48" s="579"/>
      <c r="J48" s="575"/>
      <c r="K48" s="575"/>
      <c r="L48" s="576"/>
      <c r="N48" s="574"/>
      <c r="O48" s="575"/>
      <c r="P48" s="575"/>
      <c r="Q48" s="575"/>
      <c r="R48" s="575"/>
      <c r="S48" s="575"/>
      <c r="T48" s="575"/>
      <c r="U48" s="575"/>
      <c r="V48" s="575"/>
      <c r="W48" s="575"/>
      <c r="X48" s="576"/>
      <c r="Z48" s="216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217"/>
    </row>
    <row r="49" spans="2:39" ht="14.25" customHeight="1">
      <c r="B49" s="569" t="s">
        <v>1660</v>
      </c>
      <c r="C49" s="570"/>
      <c r="D49" s="570"/>
      <c r="E49" s="570"/>
      <c r="F49" s="570"/>
      <c r="G49" s="570"/>
      <c r="H49" s="570"/>
      <c r="I49" s="570"/>
      <c r="J49" s="570"/>
      <c r="K49" s="570"/>
      <c r="L49" s="577"/>
      <c r="N49" s="593" t="s">
        <v>1651</v>
      </c>
      <c r="O49" s="594" t="s">
        <v>1652</v>
      </c>
      <c r="P49" s="594"/>
      <c r="Q49" s="571"/>
      <c r="R49" s="571"/>
      <c r="S49" s="571"/>
      <c r="T49" s="595"/>
      <c r="U49" s="573"/>
      <c r="V49" s="571"/>
      <c r="W49" s="571"/>
      <c r="X49" s="572"/>
    </row>
    <row r="50" spans="2:39" ht="14.25" customHeight="1">
      <c r="B50" s="191"/>
      <c r="C50" s="189"/>
      <c r="D50" s="189"/>
      <c r="E50" s="189"/>
      <c r="F50" s="189"/>
      <c r="G50" s="193" t="s">
        <v>1661</v>
      </c>
      <c r="H50" s="218">
        <v>5500</v>
      </c>
      <c r="I50" s="189" t="s">
        <v>456</v>
      </c>
      <c r="J50" s="189"/>
      <c r="K50" s="189"/>
      <c r="L50" s="190"/>
      <c r="N50" s="194" t="s">
        <v>272</v>
      </c>
      <c r="O50" s="189" t="s">
        <v>1641</v>
      </c>
      <c r="P50" s="189"/>
      <c r="Q50" s="189"/>
      <c r="R50" s="189"/>
      <c r="S50" s="189"/>
      <c r="T50" s="193" t="s">
        <v>255</v>
      </c>
      <c r="U50" s="195">
        <v>4</v>
      </c>
      <c r="V50" s="189"/>
      <c r="W50" s="189"/>
      <c r="X50" s="190"/>
      <c r="Z50" s="180" t="s">
        <v>1656</v>
      </c>
      <c r="AA50" s="181"/>
      <c r="AB50" s="181"/>
      <c r="AC50" s="181"/>
      <c r="AD50" s="181"/>
      <c r="AE50" s="181"/>
      <c r="AF50" s="181"/>
      <c r="AG50" s="181" t="s">
        <v>244</v>
      </c>
      <c r="AH50" s="181"/>
      <c r="AI50" s="181"/>
      <c r="AJ50" s="181"/>
      <c r="AK50" s="185">
        <v>3800</v>
      </c>
      <c r="AL50" s="181" t="s">
        <v>456</v>
      </c>
      <c r="AM50" s="183"/>
    </row>
    <row r="51" spans="2:39" ht="14.25" customHeight="1">
      <c r="B51" s="194" t="s">
        <v>246</v>
      </c>
      <c r="C51" s="189" t="s">
        <v>1662</v>
      </c>
      <c r="D51" s="189"/>
      <c r="E51" s="189"/>
      <c r="F51" s="189"/>
      <c r="G51" s="193" t="s">
        <v>1663</v>
      </c>
      <c r="H51" s="188">
        <v>0.9</v>
      </c>
      <c r="I51" s="189"/>
      <c r="J51" s="189"/>
      <c r="K51" s="189"/>
      <c r="L51" s="190"/>
      <c r="N51" s="191"/>
      <c r="O51" s="189" t="s">
        <v>258</v>
      </c>
      <c r="P51" s="189"/>
      <c r="Q51" s="189"/>
      <c r="R51" s="189"/>
      <c r="S51" s="189"/>
      <c r="T51" s="189"/>
      <c r="U51" s="213"/>
      <c r="V51" s="196"/>
      <c r="W51" s="189"/>
      <c r="X51" s="190"/>
      <c r="Z51" s="186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92"/>
    </row>
    <row r="52" spans="2:39" ht="14.25" customHeight="1">
      <c r="B52" s="191"/>
      <c r="C52" s="189" t="s">
        <v>258</v>
      </c>
      <c r="D52" s="189"/>
      <c r="E52" s="189"/>
      <c r="F52" s="189"/>
      <c r="G52" s="193" t="s">
        <v>1706</v>
      </c>
      <c r="H52" s="219">
        <v>15</v>
      </c>
      <c r="I52" s="196" t="s">
        <v>1664</v>
      </c>
      <c r="J52" s="189"/>
      <c r="K52" s="189"/>
      <c r="L52" s="190"/>
      <c r="N52" s="194" t="s">
        <v>263</v>
      </c>
      <c r="O52" s="197" t="str">
        <f>" 1,000×"&amp;U50&amp;"×"&amp;U52&amp;"×"&amp;U54&amp;"  / "&amp;U56</f>
        <v xml:space="preserve"> 1,000×4×1.8×0.25  / 10</v>
      </c>
      <c r="P52" s="189"/>
      <c r="Q52" s="189"/>
      <c r="R52" s="189"/>
      <c r="S52" s="189"/>
      <c r="T52" s="193" t="s">
        <v>260</v>
      </c>
      <c r="U52" s="195">
        <v>1.8</v>
      </c>
      <c r="V52" s="196"/>
      <c r="W52" s="189"/>
      <c r="X52" s="190"/>
      <c r="Z52" s="589" t="s">
        <v>3686</v>
      </c>
      <c r="AA52" s="586" t="s">
        <v>3688</v>
      </c>
      <c r="AB52" s="563">
        <v>75</v>
      </c>
      <c r="AC52" s="561" t="s">
        <v>250</v>
      </c>
      <c r="AD52" s="561"/>
      <c r="AE52" s="561"/>
      <c r="AF52" s="561"/>
      <c r="AG52" s="561"/>
      <c r="AH52" s="583" t="s">
        <v>251</v>
      </c>
      <c r="AI52" s="563">
        <f>AB52/100</f>
        <v>0.75</v>
      </c>
      <c r="AJ52" s="561" t="s">
        <v>252</v>
      </c>
      <c r="AK52" s="561"/>
      <c r="AL52" s="561"/>
      <c r="AM52" s="564"/>
    </row>
    <row r="53" spans="2:39" ht="14.25" customHeight="1">
      <c r="B53" s="194" t="s">
        <v>263</v>
      </c>
      <c r="C53" s="197" t="str">
        <f>" 60× "&amp;H50/1000&amp;" × "&amp;H51&amp;"  / "&amp;H59</f>
        <v xml:space="preserve"> 60× 5.5 × 0.9  / 46</v>
      </c>
      <c r="D53" s="189"/>
      <c r="E53" s="189"/>
      <c r="F53" s="189"/>
      <c r="G53" s="193" t="s">
        <v>2110</v>
      </c>
      <c r="H53" s="219">
        <f>J55</f>
        <v>16</v>
      </c>
      <c r="I53" s="196" t="s">
        <v>283</v>
      </c>
      <c r="J53" s="189"/>
      <c r="K53" s="189"/>
      <c r="L53" s="190"/>
      <c r="N53" s="191"/>
      <c r="O53" s="189"/>
      <c r="P53" s="189"/>
      <c r="Q53" s="189"/>
      <c r="R53" s="189"/>
      <c r="S53" s="189"/>
      <c r="T53" s="189"/>
      <c r="U53" s="213"/>
      <c r="V53" s="188"/>
      <c r="W53" s="189"/>
      <c r="X53" s="190"/>
      <c r="Z53" s="191"/>
      <c r="AA53" s="189"/>
      <c r="AB53" s="189"/>
      <c r="AC53" s="189"/>
      <c r="AD53" s="189"/>
      <c r="AE53" s="189"/>
      <c r="AF53" s="189"/>
      <c r="AG53" s="189"/>
      <c r="AH53" s="193" t="s">
        <v>256</v>
      </c>
      <c r="AI53" s="188">
        <v>3.55</v>
      </c>
      <c r="AJ53" s="189" t="s">
        <v>257</v>
      </c>
      <c r="AK53" s="189"/>
      <c r="AL53" s="189"/>
      <c r="AM53" s="190"/>
    </row>
    <row r="54" spans="2:39" ht="14.25" customHeight="1">
      <c r="B54" s="191"/>
      <c r="C54" s="189"/>
      <c r="D54" s="189"/>
      <c r="E54" s="189"/>
      <c r="F54" s="189"/>
      <c r="G54" s="193" t="s">
        <v>2111</v>
      </c>
      <c r="H54" s="188">
        <v>2</v>
      </c>
      <c r="I54" s="188" t="s">
        <v>300</v>
      </c>
      <c r="J54" s="188">
        <v>15</v>
      </c>
      <c r="K54" s="196" t="s">
        <v>2112</v>
      </c>
      <c r="L54" s="190"/>
      <c r="N54" s="194" t="s">
        <v>1582</v>
      </c>
      <c r="O54" s="198">
        <f>TRUNC(1000*U50*U52*U54/U56,2)</f>
        <v>180</v>
      </c>
      <c r="P54" s="189" t="s">
        <v>268</v>
      </c>
      <c r="Q54" s="189"/>
      <c r="R54" s="189"/>
      <c r="S54" s="189"/>
      <c r="T54" s="193" t="s">
        <v>270</v>
      </c>
      <c r="U54" s="200">
        <v>0.25</v>
      </c>
      <c r="V54" s="189"/>
      <c r="W54" s="188"/>
      <c r="X54" s="190"/>
      <c r="Z54" s="191"/>
      <c r="AA54" s="188" t="s">
        <v>255</v>
      </c>
      <c r="AB54" s="189" t="s">
        <v>261</v>
      </c>
      <c r="AC54" s="189"/>
      <c r="AD54" s="189"/>
      <c r="AE54" s="189"/>
      <c r="AF54" s="189"/>
      <c r="AG54" s="189"/>
      <c r="AH54" s="193" t="s">
        <v>1706</v>
      </c>
      <c r="AI54" s="188">
        <v>30</v>
      </c>
      <c r="AJ54" s="189" t="s">
        <v>241</v>
      </c>
      <c r="AK54" s="189" t="s">
        <v>262</v>
      </c>
      <c r="AL54" s="189"/>
      <c r="AM54" s="190"/>
    </row>
    <row r="55" spans="2:39" ht="14.25" customHeight="1">
      <c r="B55" s="194" t="s">
        <v>1582</v>
      </c>
      <c r="C55" s="209">
        <f>ROUND(60*H50/1000*H51/H59,2)</f>
        <v>6.46</v>
      </c>
      <c r="D55" s="189" t="s">
        <v>1665</v>
      </c>
      <c r="E55" s="189"/>
      <c r="F55" s="189"/>
      <c r="G55" s="189"/>
      <c r="H55" s="189" t="s">
        <v>1666</v>
      </c>
      <c r="I55" s="189"/>
      <c r="J55" s="219">
        <f>TRUNC(H54/J54*2*60,1)</f>
        <v>16</v>
      </c>
      <c r="K55" s="189" t="s">
        <v>241</v>
      </c>
      <c r="L55" s="190"/>
      <c r="N55" s="191"/>
      <c r="O55" s="189"/>
      <c r="P55" s="189"/>
      <c r="Q55" s="189"/>
      <c r="R55" s="189"/>
      <c r="S55" s="189"/>
      <c r="T55" s="189"/>
      <c r="U55" s="213"/>
      <c r="V55" s="189"/>
      <c r="W55" s="189"/>
      <c r="X55" s="190"/>
      <c r="Z55" s="191"/>
      <c r="AA55" s="189"/>
      <c r="AB55" s="189"/>
      <c r="AC55" s="189"/>
      <c r="AD55" s="189"/>
      <c r="AE55" s="189"/>
      <c r="AF55" s="189"/>
      <c r="AG55" s="189"/>
      <c r="AH55" s="193" t="s">
        <v>2110</v>
      </c>
      <c r="AI55" s="188">
        <f>AI56/AK56*AI57*AK57</f>
        <v>8</v>
      </c>
      <c r="AJ55" s="189" t="s">
        <v>241</v>
      </c>
      <c r="AK55" s="189"/>
      <c r="AL55" s="189"/>
      <c r="AM55" s="190"/>
    </row>
    <row r="56" spans="2:39" ht="14.25" customHeight="1">
      <c r="B56" s="191"/>
      <c r="C56" s="189"/>
      <c r="D56" s="189"/>
      <c r="E56" s="189"/>
      <c r="F56" s="189"/>
      <c r="G56" s="193" t="s">
        <v>2113</v>
      </c>
      <c r="H56" s="220">
        <f>H50</f>
        <v>5500</v>
      </c>
      <c r="I56" s="188" t="s">
        <v>1667</v>
      </c>
      <c r="J56" s="188">
        <v>550</v>
      </c>
      <c r="K56" s="189"/>
      <c r="L56" s="190"/>
      <c r="N56" s="194" t="s">
        <v>1582</v>
      </c>
      <c r="O56" s="203">
        <f>O54</f>
        <v>180</v>
      </c>
      <c r="P56" s="189" t="s">
        <v>1647</v>
      </c>
      <c r="Q56" s="189"/>
      <c r="R56" s="189"/>
      <c r="S56" s="189"/>
      <c r="T56" s="193" t="s">
        <v>1648</v>
      </c>
      <c r="U56" s="195">
        <v>10</v>
      </c>
      <c r="V56" s="189" t="s">
        <v>969</v>
      </c>
      <c r="W56" s="189"/>
      <c r="X56" s="190"/>
      <c r="Z56" s="191"/>
      <c r="AA56" s="188" t="s">
        <v>246</v>
      </c>
      <c r="AB56" s="188">
        <v>350</v>
      </c>
      <c r="AC56" s="189" t="s">
        <v>972</v>
      </c>
      <c r="AD56" s="188">
        <v>0.8</v>
      </c>
      <c r="AE56" s="188" t="s">
        <v>1582</v>
      </c>
      <c r="AF56" s="188">
        <f>AB56*AD56</f>
        <v>280</v>
      </c>
      <c r="AG56" s="189"/>
      <c r="AH56" s="193" t="s">
        <v>2111</v>
      </c>
      <c r="AI56" s="188">
        <v>1</v>
      </c>
      <c r="AJ56" s="188" t="s">
        <v>300</v>
      </c>
      <c r="AK56" s="188">
        <v>15</v>
      </c>
      <c r="AL56" s="189" t="s">
        <v>2112</v>
      </c>
      <c r="AM56" s="190"/>
    </row>
    <row r="57" spans="2:39" ht="14.25" customHeight="1">
      <c r="B57" s="194"/>
      <c r="C57" s="209"/>
      <c r="D57" s="189"/>
      <c r="E57" s="189"/>
      <c r="F57" s="189"/>
      <c r="G57" s="193" t="s">
        <v>1582</v>
      </c>
      <c r="H57" s="188">
        <f>H56/J56</f>
        <v>10</v>
      </c>
      <c r="I57" s="189" t="s">
        <v>241</v>
      </c>
      <c r="J57" s="189"/>
      <c r="K57" s="189"/>
      <c r="L57" s="190"/>
      <c r="N57" s="191"/>
      <c r="O57" s="189"/>
      <c r="P57" s="189"/>
      <c r="Q57" s="189"/>
      <c r="R57" s="189"/>
      <c r="S57" s="189"/>
      <c r="T57" s="189"/>
      <c r="U57" s="189"/>
      <c r="V57" s="189"/>
      <c r="W57" s="189"/>
      <c r="X57" s="190"/>
      <c r="Z57" s="191"/>
      <c r="AA57" s="189"/>
      <c r="AB57" s="189"/>
      <c r="AC57" s="189"/>
      <c r="AD57" s="189"/>
      <c r="AE57" s="189"/>
      <c r="AF57" s="189"/>
      <c r="AG57" s="189"/>
      <c r="AH57" s="193" t="s">
        <v>972</v>
      </c>
      <c r="AI57" s="188">
        <v>2</v>
      </c>
      <c r="AJ57" s="188" t="s">
        <v>972</v>
      </c>
      <c r="AK57" s="188">
        <v>60</v>
      </c>
      <c r="AL57" s="189" t="str">
        <f>"=  "&amp;AI56/AK56*AI57*AK57</f>
        <v>=  8</v>
      </c>
      <c r="AM57" s="190"/>
    </row>
    <row r="58" spans="2:39" ht="14.25" customHeight="1">
      <c r="B58" s="191"/>
      <c r="C58" s="189"/>
      <c r="D58" s="189"/>
      <c r="E58" s="189"/>
      <c r="F58" s="189"/>
      <c r="G58" s="193" t="s">
        <v>2114</v>
      </c>
      <c r="H58" s="188">
        <v>5</v>
      </c>
      <c r="I58" s="189" t="s">
        <v>241</v>
      </c>
      <c r="J58" s="189"/>
      <c r="K58" s="189"/>
      <c r="L58" s="190"/>
      <c r="N58" s="194" t="s">
        <v>1582</v>
      </c>
      <c r="O58" s="188">
        <f>O56/100</f>
        <v>1.8</v>
      </c>
      <c r="P58" s="210" t="s">
        <v>279</v>
      </c>
      <c r="Q58" s="189"/>
      <c r="R58" s="189"/>
      <c r="S58" s="189"/>
      <c r="T58" s="193"/>
      <c r="U58" s="188"/>
      <c r="V58" s="189"/>
      <c r="W58" s="189"/>
      <c r="X58" s="190"/>
      <c r="Z58" s="191"/>
      <c r="AA58" s="188" t="s">
        <v>255</v>
      </c>
      <c r="AB58" s="189" t="str">
        <f>AF56&amp;" / "&amp;AI52&amp;" × "&amp;AI53</f>
        <v>280 / 0.75 × 3.55</v>
      </c>
      <c r="AC58" s="189"/>
      <c r="AD58" s="189"/>
      <c r="AE58" s="189"/>
      <c r="AF58" s="189"/>
      <c r="AG58" s="189"/>
      <c r="AH58" s="193" t="s">
        <v>2113</v>
      </c>
      <c r="AI58" s="188">
        <f>ROUND(AI62,2)</f>
        <v>13.57</v>
      </c>
      <c r="AJ58" s="189" t="s">
        <v>271</v>
      </c>
      <c r="AK58" s="189"/>
      <c r="AL58" s="189"/>
      <c r="AM58" s="190"/>
    </row>
    <row r="59" spans="2:39" ht="14.25" customHeight="1">
      <c r="B59" s="194"/>
      <c r="C59" s="188"/>
      <c r="D59" s="210"/>
      <c r="E59" s="189"/>
      <c r="F59" s="189"/>
      <c r="G59" s="193" t="s">
        <v>240</v>
      </c>
      <c r="H59" s="219">
        <f>H52+H53+H57+H58</f>
        <v>46</v>
      </c>
      <c r="I59" s="189" t="s">
        <v>241</v>
      </c>
      <c r="J59" s="189"/>
      <c r="K59" s="189"/>
      <c r="L59" s="190"/>
      <c r="N59" s="191"/>
      <c r="O59" s="189"/>
      <c r="P59" s="189"/>
      <c r="Q59" s="189"/>
      <c r="R59" s="189"/>
      <c r="S59" s="189"/>
      <c r="T59" s="193"/>
      <c r="U59" s="188"/>
      <c r="V59" s="189"/>
      <c r="W59" s="189"/>
      <c r="X59" s="190"/>
      <c r="Z59" s="191"/>
      <c r="AA59" s="189"/>
      <c r="AB59" s="189"/>
      <c r="AC59" s="189"/>
      <c r="AD59" s="189"/>
      <c r="AE59" s="189"/>
      <c r="AF59" s="189"/>
      <c r="AG59" s="189"/>
      <c r="AH59" s="193"/>
      <c r="AI59" s="206">
        <f>AK50</f>
        <v>3800</v>
      </c>
      <c r="AJ59" s="189" t="s">
        <v>300</v>
      </c>
      <c r="AK59" s="189" t="str">
        <f>"("&amp;AI52&amp;"×"&amp;AI53&amp;")"</f>
        <v>(0.75×3.55)</v>
      </c>
      <c r="AL59" s="189"/>
      <c r="AM59" s="190"/>
    </row>
    <row r="60" spans="2:39" ht="14.25" customHeight="1">
      <c r="B60" s="191"/>
      <c r="C60" s="211" t="s">
        <v>1668</v>
      </c>
      <c r="D60" s="189"/>
      <c r="E60" s="189"/>
      <c r="F60" s="189"/>
      <c r="G60" s="189"/>
      <c r="H60" s="189"/>
      <c r="I60" s="189"/>
      <c r="J60" s="189"/>
      <c r="K60" s="189"/>
      <c r="L60" s="190"/>
      <c r="N60" s="191"/>
      <c r="O60" s="211" t="s">
        <v>284</v>
      </c>
      <c r="P60" s="189"/>
      <c r="Q60" s="189"/>
      <c r="R60" s="189"/>
      <c r="S60" s="189"/>
      <c r="T60" s="189"/>
      <c r="U60" s="189"/>
      <c r="V60" s="189"/>
      <c r="W60" s="189"/>
      <c r="X60" s="190"/>
      <c r="Z60" s="191"/>
      <c r="AA60" s="188" t="s">
        <v>276</v>
      </c>
      <c r="AB60" s="198">
        <f>TRUNC(AF56/(AI52*AI53),2)</f>
        <v>105.16</v>
      </c>
      <c r="AC60" s="189" t="s">
        <v>277</v>
      </c>
      <c r="AD60" s="189"/>
      <c r="AE60" s="189"/>
      <c r="AF60" s="189"/>
      <c r="AG60" s="189"/>
      <c r="AH60" s="193" t="s">
        <v>1582</v>
      </c>
      <c r="AI60" s="206">
        <f>TRUNC(AK50/(AI52*AI53))</f>
        <v>1427</v>
      </c>
      <c r="AJ60" s="189" t="s">
        <v>278</v>
      </c>
      <c r="AK60" s="189"/>
      <c r="AL60" s="189"/>
      <c r="AM60" s="190"/>
    </row>
    <row r="61" spans="2:39" ht="14.25" customHeight="1">
      <c r="B61" s="191"/>
      <c r="C61" s="210" t="s">
        <v>288</v>
      </c>
      <c r="D61" s="830">
        <f>중기사용료!$M$1594</f>
        <v>13479</v>
      </c>
      <c r="E61" s="830"/>
      <c r="F61" s="201">
        <f>C55</f>
        <v>6.46</v>
      </c>
      <c r="G61" s="833" t="s">
        <v>1669</v>
      </c>
      <c r="H61" s="833"/>
      <c r="I61" s="203">
        <f>TRUNC(D61/F61*0.08*26/46)</f>
        <v>94</v>
      </c>
      <c r="J61" s="189" t="s">
        <v>975</v>
      </c>
      <c r="K61" s="189"/>
      <c r="L61" s="190"/>
      <c r="N61" s="191"/>
      <c r="O61" s="189"/>
      <c r="P61" s="203"/>
      <c r="Q61" s="189"/>
      <c r="R61" s="188"/>
      <c r="S61" s="212"/>
      <c r="T61" s="189"/>
      <c r="U61" s="203"/>
      <c r="V61" s="189"/>
      <c r="W61" s="189"/>
      <c r="X61" s="190"/>
      <c r="Z61" s="191"/>
      <c r="AA61" s="189"/>
      <c r="AB61" s="189"/>
      <c r="AC61" s="189"/>
      <c r="AD61" s="189"/>
      <c r="AE61" s="189"/>
      <c r="AF61" s="189"/>
      <c r="AG61" s="189"/>
      <c r="AH61" s="193" t="s">
        <v>1601</v>
      </c>
      <c r="AI61" s="206">
        <f>AI60</f>
        <v>1427</v>
      </c>
      <c r="AJ61" s="189" t="s">
        <v>300</v>
      </c>
      <c r="AK61" s="188">
        <f>AB60</f>
        <v>105.16</v>
      </c>
      <c r="AL61" s="189" t="s">
        <v>281</v>
      </c>
      <c r="AM61" s="190"/>
    </row>
    <row r="62" spans="2:39" ht="14.25" customHeight="1">
      <c r="B62" s="191"/>
      <c r="C62" s="210" t="s">
        <v>1630</v>
      </c>
      <c r="D62" s="830">
        <f>중기사용료!$M$1588</f>
        <v>24483</v>
      </c>
      <c r="E62" s="830"/>
      <c r="F62" s="209">
        <f>C55</f>
        <v>6.46</v>
      </c>
      <c r="G62" s="201" t="s">
        <v>1670</v>
      </c>
      <c r="H62" s="188" t="s">
        <v>1582</v>
      </c>
      <c r="I62" s="203">
        <f>TRUNC(D62/F62*0.08)</f>
        <v>303</v>
      </c>
      <c r="J62" s="189" t="s">
        <v>975</v>
      </c>
      <c r="K62" s="189"/>
      <c r="L62" s="190"/>
      <c r="N62" s="191"/>
      <c r="O62" s="210" t="s">
        <v>288</v>
      </c>
      <c r="P62" s="813">
        <f>중기사용료!$M$777</f>
        <v>10970</v>
      </c>
      <c r="Q62" s="813"/>
      <c r="R62" s="188" t="s">
        <v>300</v>
      </c>
      <c r="S62" s="201">
        <f>O58</f>
        <v>1.8</v>
      </c>
      <c r="T62" s="188" t="s">
        <v>1582</v>
      </c>
      <c r="U62" s="203">
        <f>INT(P62/S62)</f>
        <v>6094</v>
      </c>
      <c r="V62" s="189" t="s">
        <v>289</v>
      </c>
      <c r="W62" s="189"/>
      <c r="X62" s="190"/>
      <c r="Z62" s="191"/>
      <c r="AA62" s="189"/>
      <c r="AB62" s="189"/>
      <c r="AC62" s="189"/>
      <c r="AD62" s="189"/>
      <c r="AE62" s="189"/>
      <c r="AF62" s="189"/>
      <c r="AG62" s="189"/>
      <c r="AH62" s="193" t="s">
        <v>1582</v>
      </c>
      <c r="AI62" s="189">
        <f>AI61/AK61</f>
        <v>13.569798402434387</v>
      </c>
      <c r="AJ62" s="189" t="s">
        <v>283</v>
      </c>
      <c r="AK62" s="189"/>
      <c r="AL62" s="189"/>
      <c r="AM62" s="190"/>
    </row>
    <row r="63" spans="2:39" ht="14.25" customHeight="1">
      <c r="B63" s="191"/>
      <c r="C63" s="210" t="s">
        <v>1633</v>
      </c>
      <c r="D63" s="830">
        <f>중기사용료!$M$1582</f>
        <v>7823</v>
      </c>
      <c r="E63" s="830"/>
      <c r="F63" s="209">
        <f>C55</f>
        <v>6.46</v>
      </c>
      <c r="G63" s="201" t="s">
        <v>1670</v>
      </c>
      <c r="H63" s="188" t="s">
        <v>1582</v>
      </c>
      <c r="I63" s="203">
        <f>TRUNC(D63/F63*0.08)</f>
        <v>96</v>
      </c>
      <c r="J63" s="189" t="s">
        <v>975</v>
      </c>
      <c r="K63" s="189"/>
      <c r="L63" s="190"/>
      <c r="N63" s="191"/>
      <c r="O63" s="210" t="s">
        <v>1630</v>
      </c>
      <c r="P63" s="813">
        <f>중기사용료!$M$771</f>
        <v>27168</v>
      </c>
      <c r="Q63" s="813"/>
      <c r="R63" s="188" t="s">
        <v>300</v>
      </c>
      <c r="S63" s="201">
        <f>O58</f>
        <v>1.8</v>
      </c>
      <c r="T63" s="188" t="s">
        <v>1582</v>
      </c>
      <c r="U63" s="203">
        <f>INT(P63/S63)</f>
        <v>15093</v>
      </c>
      <c r="V63" s="189" t="s">
        <v>289</v>
      </c>
      <c r="W63" s="189"/>
      <c r="X63" s="190"/>
      <c r="Z63" s="191"/>
      <c r="AA63" s="189"/>
      <c r="AB63" s="189"/>
      <c r="AC63" s="189"/>
      <c r="AD63" s="189"/>
      <c r="AE63" s="189"/>
      <c r="AF63" s="189"/>
      <c r="AG63" s="189"/>
      <c r="AH63" s="193" t="s">
        <v>2114</v>
      </c>
      <c r="AI63" s="188">
        <v>10</v>
      </c>
      <c r="AJ63" s="189" t="s">
        <v>241</v>
      </c>
      <c r="AK63" s="189"/>
      <c r="AL63" s="189"/>
      <c r="AM63" s="190"/>
    </row>
    <row r="64" spans="2:39" ht="14.25" customHeight="1">
      <c r="B64" s="191"/>
      <c r="C64" s="210"/>
      <c r="D64" s="221"/>
      <c r="E64" s="221"/>
      <c r="F64" s="209"/>
      <c r="G64" s="201"/>
      <c r="H64" s="188"/>
      <c r="I64" s="203"/>
      <c r="J64" s="189"/>
      <c r="K64" s="189"/>
      <c r="L64" s="190"/>
      <c r="N64" s="191"/>
      <c r="O64" s="210" t="s">
        <v>1633</v>
      </c>
      <c r="P64" s="813">
        <f>중기사용료!$M$765</f>
        <v>15334</v>
      </c>
      <c r="Q64" s="813"/>
      <c r="R64" s="188" t="s">
        <v>300</v>
      </c>
      <c r="S64" s="201">
        <f>O58</f>
        <v>1.8</v>
      </c>
      <c r="T64" s="188" t="s">
        <v>1582</v>
      </c>
      <c r="U64" s="203">
        <f>INT(P64/S64)</f>
        <v>8518</v>
      </c>
      <c r="V64" s="189" t="s">
        <v>289</v>
      </c>
      <c r="W64" s="189"/>
      <c r="X64" s="190"/>
      <c r="Z64" s="191"/>
      <c r="AA64" s="189"/>
      <c r="AB64" s="189"/>
      <c r="AC64" s="189"/>
      <c r="AD64" s="189"/>
      <c r="AE64" s="189"/>
      <c r="AF64" s="189"/>
      <c r="AG64" s="189"/>
      <c r="AH64" s="193" t="s">
        <v>240</v>
      </c>
      <c r="AI64" s="189" t="str">
        <f>AI54&amp;"+"&amp;AI55&amp;"+"&amp;AI58&amp;"+"&amp;AI63</f>
        <v>30+8+13.57+10</v>
      </c>
      <c r="AJ64" s="189"/>
      <c r="AK64" s="189"/>
      <c r="AL64" s="189"/>
      <c r="AM64" s="190"/>
    </row>
    <row r="65" spans="2:39" ht="14.25" customHeight="1">
      <c r="B65" s="191"/>
      <c r="C65" s="210"/>
      <c r="D65" s="221"/>
      <c r="E65" s="221"/>
      <c r="F65" s="209"/>
      <c r="G65" s="201"/>
      <c r="H65" s="188"/>
      <c r="I65" s="203"/>
      <c r="J65" s="189"/>
      <c r="K65" s="189"/>
      <c r="L65" s="190"/>
      <c r="N65" s="191"/>
      <c r="O65" s="210"/>
      <c r="P65" s="203"/>
      <c r="Q65" s="203"/>
      <c r="R65" s="188"/>
      <c r="S65" s="201"/>
      <c r="T65" s="188"/>
      <c r="U65" s="203"/>
      <c r="V65" s="189"/>
      <c r="W65" s="189"/>
      <c r="X65" s="190"/>
      <c r="Z65" s="191"/>
      <c r="AA65" s="189" t="s">
        <v>285</v>
      </c>
      <c r="AB65" s="189"/>
      <c r="AC65" s="189"/>
      <c r="AD65" s="189"/>
      <c r="AE65" s="189"/>
      <c r="AF65" s="189"/>
      <c r="AG65" s="189"/>
      <c r="AH65" s="193" t="s">
        <v>1582</v>
      </c>
      <c r="AI65" s="188">
        <f>AI54+AI55+AI58+AI63</f>
        <v>61.57</v>
      </c>
      <c r="AJ65" s="189" t="s">
        <v>241</v>
      </c>
      <c r="AK65" s="189"/>
      <c r="AL65" s="189"/>
      <c r="AM65" s="190"/>
    </row>
    <row r="66" spans="2:39" ht="14.25" customHeight="1">
      <c r="B66" s="191"/>
      <c r="C66" s="225" t="s">
        <v>1674</v>
      </c>
      <c r="D66" s="221"/>
      <c r="E66" s="221"/>
      <c r="F66" s="209"/>
      <c r="G66" s="201"/>
      <c r="H66" s="188"/>
      <c r="I66" s="203"/>
      <c r="J66" s="189"/>
      <c r="K66" s="189"/>
      <c r="L66" s="190"/>
      <c r="N66" s="191"/>
      <c r="O66" s="210"/>
      <c r="P66" s="203"/>
      <c r="Q66" s="203"/>
      <c r="R66" s="188"/>
      <c r="S66" s="201"/>
      <c r="T66" s="188"/>
      <c r="U66" s="203"/>
      <c r="V66" s="189"/>
      <c r="W66" s="189"/>
      <c r="X66" s="190"/>
      <c r="Z66" s="191"/>
      <c r="AA66" s="189"/>
      <c r="AB66" s="189"/>
      <c r="AC66" s="189"/>
      <c r="AD66" s="189"/>
      <c r="AE66" s="189"/>
      <c r="AF66" s="189"/>
      <c r="AG66" s="189"/>
      <c r="AH66" s="193" t="s">
        <v>270</v>
      </c>
      <c r="AI66" s="188">
        <v>0.9</v>
      </c>
      <c r="AJ66" s="189"/>
      <c r="AK66" s="189"/>
      <c r="AL66" s="189"/>
      <c r="AM66" s="190"/>
    </row>
    <row r="67" spans="2:39" ht="14.25" customHeight="1">
      <c r="B67" s="191"/>
      <c r="D67" s="221"/>
      <c r="E67" s="221"/>
      <c r="F67" s="209"/>
      <c r="G67" s="201"/>
      <c r="H67" s="188"/>
      <c r="I67" s="203"/>
      <c r="J67" s="189"/>
      <c r="K67" s="189"/>
      <c r="L67" s="190"/>
      <c r="N67" s="191"/>
      <c r="O67" s="210"/>
      <c r="P67" s="203"/>
      <c r="Q67" s="203"/>
      <c r="R67" s="188"/>
      <c r="S67" s="201"/>
      <c r="T67" s="188"/>
      <c r="U67" s="203"/>
      <c r="V67" s="189"/>
      <c r="W67" s="189"/>
      <c r="X67" s="190"/>
      <c r="Z67" s="191"/>
      <c r="AA67" s="188" t="s">
        <v>246</v>
      </c>
      <c r="AB67" s="189" t="s">
        <v>1628</v>
      </c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90"/>
    </row>
    <row r="68" spans="2:39" ht="14.25" customHeight="1">
      <c r="B68" s="191"/>
      <c r="C68" s="225" t="s">
        <v>1116</v>
      </c>
      <c r="D68" s="834">
        <f>SUM(J18,I33,I45,I61)</f>
        <v>7016</v>
      </c>
      <c r="E68" s="834"/>
      <c r="F68" s="209"/>
      <c r="G68" s="201"/>
      <c r="H68" s="188"/>
      <c r="I68" s="203"/>
      <c r="J68" s="189"/>
      <c r="K68" s="189"/>
      <c r="L68" s="190"/>
      <c r="N68" s="191"/>
      <c r="O68" s="210"/>
      <c r="P68" s="203"/>
      <c r="Q68" s="203"/>
      <c r="R68" s="188"/>
      <c r="S68" s="201"/>
      <c r="T68" s="188"/>
      <c r="U68" s="203"/>
      <c r="V68" s="189"/>
      <c r="W68" s="189"/>
      <c r="X68" s="190"/>
      <c r="Z68" s="191"/>
      <c r="AA68" s="189" t="s">
        <v>1631</v>
      </c>
      <c r="AB68" s="189" t="str">
        <f>" 60 × "&amp;AK50&amp;" × "&amp;AI66&amp;" / "&amp;AI65&amp;" ="</f>
        <v xml:space="preserve"> 60 × 3800 × 0.9 / 61.57 =</v>
      </c>
      <c r="AC68" s="189"/>
      <c r="AD68" s="189"/>
      <c r="AE68" s="189"/>
      <c r="AF68" s="189"/>
      <c r="AG68" s="206">
        <f>TRUNC(60*AK50*AI66/AI65,2)</f>
        <v>3332.79</v>
      </c>
      <c r="AH68" s="189" t="s">
        <v>1632</v>
      </c>
      <c r="AI68" s="189"/>
      <c r="AJ68" s="189"/>
      <c r="AK68" s="189"/>
      <c r="AL68" s="189"/>
      <c r="AM68" s="190"/>
    </row>
    <row r="69" spans="2:39" ht="14.25" customHeight="1">
      <c r="B69" s="191"/>
      <c r="C69" s="226"/>
      <c r="D69" s="221"/>
      <c r="E69" s="221"/>
      <c r="F69" s="209"/>
      <c r="G69" s="201"/>
      <c r="H69" s="188"/>
      <c r="I69" s="203"/>
      <c r="J69" s="189"/>
      <c r="K69" s="189"/>
      <c r="L69" s="190"/>
      <c r="N69" s="587" t="s">
        <v>3683</v>
      </c>
      <c r="O69" s="211" t="s">
        <v>3684</v>
      </c>
      <c r="P69" s="211"/>
      <c r="Q69" s="189"/>
      <c r="R69" s="189"/>
      <c r="S69" s="189"/>
      <c r="T69" s="193"/>
      <c r="U69" s="188"/>
      <c r="V69" s="189"/>
      <c r="W69" s="189"/>
      <c r="X69" s="190"/>
      <c r="Z69" s="191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90"/>
    </row>
    <row r="70" spans="2:39" ht="14.25" customHeight="1">
      <c r="B70" s="191"/>
      <c r="C70" s="225" t="s">
        <v>1115</v>
      </c>
      <c r="D70" s="834">
        <f>SUM(J19,I34,I46,I62)</f>
        <v>8963</v>
      </c>
      <c r="E70" s="834"/>
      <c r="F70" s="209"/>
      <c r="G70" s="201"/>
      <c r="H70" s="188"/>
      <c r="I70" s="203"/>
      <c r="J70" s="189"/>
      <c r="K70" s="189"/>
      <c r="L70" s="190"/>
      <c r="N70" s="194" t="s">
        <v>272</v>
      </c>
      <c r="O70" s="189" t="s">
        <v>1641</v>
      </c>
      <c r="P70" s="189"/>
      <c r="Q70" s="189"/>
      <c r="R70" s="189"/>
      <c r="S70" s="189"/>
      <c r="T70" s="193" t="s">
        <v>255</v>
      </c>
      <c r="U70" s="195">
        <v>3</v>
      </c>
      <c r="V70" s="189"/>
      <c r="W70" s="189"/>
      <c r="X70" s="190"/>
      <c r="Z70" s="191"/>
      <c r="AA70" s="189"/>
      <c r="AB70" s="206">
        <f>AG68</f>
        <v>3332.79</v>
      </c>
      <c r="AC70" s="189" t="s">
        <v>1632</v>
      </c>
      <c r="AD70" s="189"/>
      <c r="AE70" s="188" t="s">
        <v>300</v>
      </c>
      <c r="AF70" s="188">
        <f>AB52</f>
        <v>75</v>
      </c>
      <c r="AG70" s="189" t="s">
        <v>250</v>
      </c>
      <c r="AH70" s="188" t="s">
        <v>1582</v>
      </c>
      <c r="AI70" s="198">
        <f>TRUNC(AB70/AF70,2)</f>
        <v>44.43</v>
      </c>
      <c r="AJ70" s="210" t="s">
        <v>279</v>
      </c>
      <c r="AK70" s="189"/>
      <c r="AL70" s="189"/>
      <c r="AM70" s="190"/>
    </row>
    <row r="71" spans="2:39" ht="14.25" customHeight="1">
      <c r="B71" s="191"/>
      <c r="C71" s="226"/>
      <c r="D71" s="221"/>
      <c r="E71" s="221"/>
      <c r="F71" s="209"/>
      <c r="G71" s="201"/>
      <c r="H71" s="188"/>
      <c r="I71" s="203"/>
      <c r="J71" s="189"/>
      <c r="K71" s="189"/>
      <c r="L71" s="190"/>
      <c r="N71" s="194" t="s">
        <v>263</v>
      </c>
      <c r="O71" s="197" t="str">
        <f>" 1,000×"&amp;U70&amp;"×"&amp;U71&amp;"×"&amp;U72&amp;"  / "&amp;U73</f>
        <v xml:space="preserve"> 1,000×3×1.2×0.3  / 4</v>
      </c>
      <c r="P71" s="189"/>
      <c r="Q71" s="189"/>
      <c r="R71" s="189"/>
      <c r="S71" s="189"/>
      <c r="T71" s="193" t="s">
        <v>260</v>
      </c>
      <c r="U71" s="195">
        <v>1.2</v>
      </c>
      <c r="V71" s="196"/>
      <c r="W71" s="189"/>
      <c r="X71" s="190"/>
      <c r="Z71" s="191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90"/>
    </row>
    <row r="72" spans="2:39" ht="14.25" customHeight="1">
      <c r="B72" s="191"/>
      <c r="C72" s="225" t="s">
        <v>1677</v>
      </c>
      <c r="D72" s="834">
        <f>SUM(J20,I35,I47,I63)</f>
        <v>8758</v>
      </c>
      <c r="E72" s="834"/>
      <c r="F72" s="189"/>
      <c r="G72" s="189"/>
      <c r="H72" s="189"/>
      <c r="I72" s="189"/>
      <c r="J72" s="189"/>
      <c r="K72" s="189"/>
      <c r="L72" s="190"/>
      <c r="N72" s="194" t="s">
        <v>1582</v>
      </c>
      <c r="O72" s="198">
        <f>TRUNC(1000*U70*U71*U72/U73,2)</f>
        <v>270</v>
      </c>
      <c r="P72" s="189" t="s">
        <v>268</v>
      </c>
      <c r="Q72" s="189"/>
      <c r="R72" s="189"/>
      <c r="S72" s="189"/>
      <c r="T72" s="193" t="s">
        <v>270</v>
      </c>
      <c r="U72" s="200">
        <v>0.3</v>
      </c>
      <c r="V72" s="189"/>
      <c r="W72" s="188"/>
      <c r="X72" s="190"/>
      <c r="Z72" s="191"/>
      <c r="AA72" s="189" t="s">
        <v>1636</v>
      </c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90"/>
    </row>
    <row r="73" spans="2:39" ht="14.25" customHeight="1">
      <c r="B73" s="216"/>
      <c r="C73" s="179"/>
      <c r="D73" s="179"/>
      <c r="E73" s="179"/>
      <c r="F73" s="179"/>
      <c r="G73" s="179"/>
      <c r="H73" s="179"/>
      <c r="I73" s="179"/>
      <c r="J73" s="179"/>
      <c r="K73" s="179"/>
      <c r="L73" s="217"/>
      <c r="N73" s="194" t="s">
        <v>1582</v>
      </c>
      <c r="O73" s="203">
        <f>O72</f>
        <v>270</v>
      </c>
      <c r="P73" s="189" t="s">
        <v>1647</v>
      </c>
      <c r="Q73" s="189"/>
      <c r="R73" s="189"/>
      <c r="S73" s="189"/>
      <c r="T73" s="193" t="s">
        <v>1648</v>
      </c>
      <c r="U73" s="195">
        <v>4</v>
      </c>
      <c r="V73" s="189" t="s">
        <v>969</v>
      </c>
      <c r="W73" s="189"/>
      <c r="X73" s="190"/>
      <c r="Z73" s="191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90"/>
    </row>
    <row r="74" spans="2:39" ht="14.25" customHeight="1">
      <c r="L74" s="179"/>
      <c r="N74" s="194" t="s">
        <v>1582</v>
      </c>
      <c r="O74" s="188">
        <f>O73/100</f>
        <v>2.7</v>
      </c>
      <c r="P74" s="210" t="s">
        <v>279</v>
      </c>
      <c r="Q74" s="189"/>
      <c r="R74" s="189"/>
      <c r="S74" s="189"/>
      <c r="T74" s="193"/>
      <c r="U74" s="188"/>
      <c r="V74" s="189"/>
      <c r="W74" s="189"/>
      <c r="X74" s="190"/>
      <c r="Z74" s="191"/>
      <c r="AA74" s="822" t="s">
        <v>1642</v>
      </c>
      <c r="AB74" s="822"/>
      <c r="AC74" s="813">
        <f>중기사용료!$M$1233</f>
        <v>15190</v>
      </c>
      <c r="AD74" s="813"/>
      <c r="AE74" s="813"/>
      <c r="AF74" s="203" t="s">
        <v>300</v>
      </c>
      <c r="AG74" s="821" t="str">
        <f>AI70&amp;"×"&amp;"21.57"&amp;"/"&amp;"61.57"&amp;"="</f>
        <v>44.43×21.57/61.57=</v>
      </c>
      <c r="AH74" s="821"/>
      <c r="AI74" s="821"/>
      <c r="AJ74" s="821">
        <f>TRUNC(AC74/AI70*(AI55+AI62)/AI65)</f>
        <v>119</v>
      </c>
      <c r="AK74" s="821"/>
      <c r="AL74" s="596" t="s">
        <v>1643</v>
      </c>
      <c r="AM74" s="190"/>
    </row>
    <row r="75" spans="2:39" ht="14.25" customHeight="1">
      <c r="B75" s="180" t="s">
        <v>1678</v>
      </c>
      <c r="C75" s="181"/>
      <c r="D75" s="181"/>
      <c r="E75" s="181"/>
      <c r="F75" s="181" t="s">
        <v>1679</v>
      </c>
      <c r="G75" s="181"/>
      <c r="H75" s="181"/>
      <c r="I75" s="181" t="s">
        <v>1680</v>
      </c>
      <c r="J75" s="181"/>
      <c r="K75" s="181"/>
      <c r="L75" s="183"/>
      <c r="N75" s="191"/>
      <c r="O75" s="189"/>
      <c r="P75" s="189"/>
      <c r="Q75" s="189"/>
      <c r="R75" s="189"/>
      <c r="S75" s="189"/>
      <c r="T75" s="193"/>
      <c r="U75" s="188"/>
      <c r="V75" s="189"/>
      <c r="W75" s="189"/>
      <c r="X75" s="190"/>
      <c r="Z75" s="191"/>
      <c r="AA75" s="559" t="s">
        <v>1644</v>
      </c>
      <c r="AB75" s="559"/>
      <c r="AC75" s="813">
        <f>중기사용료!$M$1227</f>
        <v>27168</v>
      </c>
      <c r="AD75" s="813"/>
      <c r="AE75" s="813"/>
      <c r="AF75" s="203" t="s">
        <v>300</v>
      </c>
      <c r="AG75" s="821">
        <f>AI70</f>
        <v>44.43</v>
      </c>
      <c r="AH75" s="821"/>
      <c r="AI75" s="203" t="s">
        <v>1582</v>
      </c>
      <c r="AJ75" s="813">
        <f>TRUNC(AC75/AG75)</f>
        <v>611</v>
      </c>
      <c r="AK75" s="813"/>
      <c r="AL75" s="206" t="s">
        <v>1643</v>
      </c>
      <c r="AM75" s="190"/>
    </row>
    <row r="76" spans="2:39" ht="14.25" customHeight="1">
      <c r="B76" s="191"/>
      <c r="C76" s="189"/>
      <c r="D76" s="189"/>
      <c r="E76" s="189"/>
      <c r="F76" s="189"/>
      <c r="G76" s="189"/>
      <c r="H76" s="189"/>
      <c r="I76" s="189"/>
      <c r="J76" s="189"/>
      <c r="K76" s="189"/>
      <c r="L76" s="190"/>
      <c r="N76" s="191"/>
      <c r="O76" s="211" t="s">
        <v>284</v>
      </c>
      <c r="P76" s="189"/>
      <c r="Q76" s="189"/>
      <c r="R76" s="189"/>
      <c r="S76" s="189"/>
      <c r="T76" s="189"/>
      <c r="U76" s="189"/>
      <c r="V76" s="189"/>
      <c r="W76" s="189"/>
      <c r="X76" s="190"/>
      <c r="Z76" s="191"/>
      <c r="AA76" s="559" t="s">
        <v>1645</v>
      </c>
      <c r="AB76" s="559"/>
      <c r="AC76" s="813">
        <f>중기사용료!$M$1221</f>
        <v>13784</v>
      </c>
      <c r="AD76" s="813"/>
      <c r="AE76" s="813"/>
      <c r="AF76" s="203" t="s">
        <v>300</v>
      </c>
      <c r="AG76" s="821">
        <f>AI70</f>
        <v>44.43</v>
      </c>
      <c r="AH76" s="821"/>
      <c r="AI76" s="203" t="s">
        <v>1582</v>
      </c>
      <c r="AJ76" s="813">
        <f>TRUNC(AC76/AG76)</f>
        <v>310</v>
      </c>
      <c r="AK76" s="813"/>
      <c r="AL76" s="596" t="s">
        <v>1643</v>
      </c>
      <c r="AM76" s="190"/>
    </row>
    <row r="77" spans="2:39" ht="14.25" customHeight="1">
      <c r="B77" s="194" t="s">
        <v>246</v>
      </c>
      <c r="C77" s="189" t="s">
        <v>1684</v>
      </c>
      <c r="D77" s="189"/>
      <c r="E77" s="189"/>
      <c r="F77" s="189"/>
      <c r="G77" s="189"/>
      <c r="H77" s="193" t="s">
        <v>272</v>
      </c>
      <c r="I77" s="198">
        <v>9.2399999999999996E-2</v>
      </c>
      <c r="J77" s="189" t="s">
        <v>1352</v>
      </c>
      <c r="K77" s="189"/>
      <c r="L77" s="190"/>
      <c r="N77" s="191"/>
      <c r="O77" s="189"/>
      <c r="P77" s="203"/>
      <c r="Q77" s="189"/>
      <c r="R77" s="188"/>
      <c r="S77" s="212"/>
      <c r="T77" s="189"/>
      <c r="U77" s="203"/>
      <c r="V77" s="189"/>
      <c r="W77" s="189"/>
      <c r="X77" s="190"/>
      <c r="Z77" s="191"/>
      <c r="AA77" s="559"/>
      <c r="AB77" s="559"/>
      <c r="AC77" s="203"/>
      <c r="AD77" s="203"/>
      <c r="AE77" s="203"/>
      <c r="AF77" s="203"/>
      <c r="AG77" s="188"/>
      <c r="AH77" s="188"/>
      <c r="AI77" s="203"/>
      <c r="AJ77" s="203"/>
      <c r="AK77" s="203"/>
      <c r="AL77" s="596"/>
      <c r="AM77" s="190"/>
    </row>
    <row r="78" spans="2:39" ht="14.25" customHeight="1">
      <c r="B78" s="191"/>
      <c r="C78" s="189" t="s">
        <v>258</v>
      </c>
      <c r="D78" s="189"/>
      <c r="E78" s="189"/>
      <c r="F78" s="189"/>
      <c r="G78" s="189"/>
      <c r="H78" s="189"/>
      <c r="I78" s="213"/>
      <c r="J78" s="196"/>
      <c r="K78" s="189"/>
      <c r="L78" s="190"/>
      <c r="N78" s="191"/>
      <c r="O78" s="210" t="s">
        <v>288</v>
      </c>
      <c r="P78" s="813">
        <f>중기사용료!$M$663</f>
        <v>11050</v>
      </c>
      <c r="Q78" s="813"/>
      <c r="R78" s="188" t="s">
        <v>300</v>
      </c>
      <c r="S78" s="201">
        <f>O74</f>
        <v>2.7</v>
      </c>
      <c r="T78" s="188" t="s">
        <v>1582</v>
      </c>
      <c r="U78" s="203">
        <f>INT(P78/S78)</f>
        <v>4092</v>
      </c>
      <c r="V78" s="189" t="s">
        <v>289</v>
      </c>
      <c r="W78" s="189"/>
      <c r="X78" s="190"/>
      <c r="Z78" s="191"/>
      <c r="AA78" s="559"/>
      <c r="AB78" s="559"/>
      <c r="AC78" s="206"/>
      <c r="AD78" s="206"/>
      <c r="AE78" s="206"/>
      <c r="AF78" s="206"/>
      <c r="AG78" s="189"/>
      <c r="AH78" s="189"/>
      <c r="AI78" s="206"/>
      <c r="AJ78" s="206"/>
      <c r="AK78" s="206"/>
      <c r="AL78" s="206"/>
      <c r="AM78" s="190"/>
    </row>
    <row r="79" spans="2:39" ht="14.25" customHeight="1">
      <c r="B79" s="194" t="s">
        <v>263</v>
      </c>
      <c r="C79" s="197" t="str">
        <f>I77&amp;"×"&amp;I79&amp;"×"&amp;I81&amp;"×"&amp;I83&amp;" × 1  / "&amp;I87</f>
        <v>0.0924×36000×0.15×0.5 × 1  / 57</v>
      </c>
      <c r="D79" s="189"/>
      <c r="E79" s="189"/>
      <c r="F79" s="189"/>
      <c r="G79" s="189"/>
      <c r="H79" s="193" t="s">
        <v>1648</v>
      </c>
      <c r="I79" s="229">
        <v>36000</v>
      </c>
      <c r="J79" s="196" t="s">
        <v>1685</v>
      </c>
      <c r="K79" s="189"/>
      <c r="L79" s="190"/>
      <c r="N79" s="191"/>
      <c r="O79" s="210" t="s">
        <v>1630</v>
      </c>
      <c r="P79" s="813">
        <f>중기사용료!$M$657</f>
        <v>27168</v>
      </c>
      <c r="Q79" s="813"/>
      <c r="R79" s="188" t="s">
        <v>300</v>
      </c>
      <c r="S79" s="201">
        <f>O74</f>
        <v>2.7</v>
      </c>
      <c r="T79" s="188" t="s">
        <v>1582</v>
      </c>
      <c r="U79" s="203">
        <f>INT(P79/S79)</f>
        <v>10062</v>
      </c>
      <c r="V79" s="189" t="s">
        <v>289</v>
      </c>
      <c r="W79" s="189"/>
      <c r="X79" s="190"/>
      <c r="Z79" s="589" t="s">
        <v>3689</v>
      </c>
      <c r="AA79" s="586" t="s">
        <v>3690</v>
      </c>
      <c r="AB79" s="561"/>
      <c r="AC79" s="561"/>
      <c r="AD79" s="561"/>
      <c r="AE79" s="561"/>
      <c r="AF79" s="561"/>
      <c r="AG79" s="561"/>
      <c r="AH79" s="561"/>
      <c r="AI79" s="561"/>
      <c r="AJ79" s="561"/>
      <c r="AK79" s="561"/>
      <c r="AL79" s="561"/>
      <c r="AM79" s="564"/>
    </row>
    <row r="80" spans="2:39" ht="14.25" customHeight="1">
      <c r="B80" s="191"/>
      <c r="C80" s="189"/>
      <c r="D80" s="189"/>
      <c r="E80" s="189"/>
      <c r="F80" s="189"/>
      <c r="G80" s="189"/>
      <c r="H80" s="189"/>
      <c r="I80" s="213"/>
      <c r="J80" s="188"/>
      <c r="K80" s="189"/>
      <c r="L80" s="190"/>
      <c r="N80" s="191"/>
      <c r="O80" s="210" t="s">
        <v>1633</v>
      </c>
      <c r="P80" s="813">
        <f>중기사용료!$M$651</f>
        <v>10303</v>
      </c>
      <c r="Q80" s="813"/>
      <c r="R80" s="188" t="s">
        <v>300</v>
      </c>
      <c r="S80" s="201">
        <f>O74</f>
        <v>2.7</v>
      </c>
      <c r="T80" s="188" t="s">
        <v>1582</v>
      </c>
      <c r="U80" s="203">
        <f>INT(P80/S80)</f>
        <v>3815</v>
      </c>
      <c r="V80" s="189" t="s">
        <v>289</v>
      </c>
      <c r="W80" s="189"/>
      <c r="X80" s="190"/>
      <c r="Z80" s="191"/>
      <c r="AA80" s="189" t="s">
        <v>3300</v>
      </c>
      <c r="AB80" s="189"/>
      <c r="AC80" s="189"/>
      <c r="AD80" s="188">
        <v>0.1</v>
      </c>
      <c r="AE80" s="188" t="s">
        <v>1163</v>
      </c>
      <c r="AF80" s="188" t="s">
        <v>972</v>
      </c>
      <c r="AG80" s="813">
        <f>SUMIF('노임(2015)'!$B$4:$B$87,AA80,'노임(2015)'!$C$4:$C$87)+SUMIF('노임(2015)'!$E$4:$E$87,AA80,'노임(2015)'!$F$4:$F$87)</f>
        <v>126728</v>
      </c>
      <c r="AH80" s="813"/>
      <c r="AI80" s="188" t="s">
        <v>1582</v>
      </c>
      <c r="AJ80" s="813">
        <f>TRUNC(AD80*AG80)</f>
        <v>12672</v>
      </c>
      <c r="AK80" s="813"/>
      <c r="AL80" s="189" t="s">
        <v>1643</v>
      </c>
      <c r="AM80" s="190"/>
    </row>
    <row r="81" spans="2:39" ht="14.25" customHeight="1">
      <c r="B81" s="194" t="s">
        <v>1582</v>
      </c>
      <c r="C81" s="198">
        <f>TRUNC(I77*I79*I81*I83*I85/I87,2)</f>
        <v>4.37</v>
      </c>
      <c r="D81" s="189" t="s">
        <v>4003</v>
      </c>
      <c r="E81" s="189"/>
      <c r="F81" s="189"/>
      <c r="G81" s="189"/>
      <c r="H81" s="193" t="s">
        <v>269</v>
      </c>
      <c r="I81" s="200">
        <v>0.15</v>
      </c>
      <c r="J81" s="189" t="s">
        <v>1190</v>
      </c>
      <c r="K81" s="188"/>
      <c r="L81" s="190"/>
      <c r="N81" s="191"/>
      <c r="O81" s="210"/>
      <c r="P81" s="203"/>
      <c r="Q81" s="203"/>
      <c r="R81" s="188"/>
      <c r="S81" s="201"/>
      <c r="T81" s="188"/>
      <c r="U81" s="203"/>
      <c r="V81" s="189"/>
      <c r="W81" s="189"/>
      <c r="X81" s="190"/>
      <c r="Z81" s="191"/>
      <c r="AA81" s="189" t="s">
        <v>3301</v>
      </c>
      <c r="AB81" s="189"/>
      <c r="AC81" s="189"/>
      <c r="AD81" s="188">
        <v>0.1</v>
      </c>
      <c r="AE81" s="188" t="s">
        <v>1163</v>
      </c>
      <c r="AF81" s="188" t="s">
        <v>972</v>
      </c>
      <c r="AG81" s="813">
        <f>SUMIF('노임(2015)'!$B$4:$B$87,AA81,'노임(2015)'!$C$4:$C$87)+SUMIF('노임(2015)'!$E$4:$E$87,AA81,'노임(2015)'!$F$4:$F$87)</f>
        <v>89566</v>
      </c>
      <c r="AH81" s="813"/>
      <c r="AI81" s="188" t="s">
        <v>1582</v>
      </c>
      <c r="AJ81" s="813">
        <f>TRUNC(AD81*AG81)</f>
        <v>8956</v>
      </c>
      <c r="AK81" s="813"/>
      <c r="AL81" s="189" t="s">
        <v>1643</v>
      </c>
      <c r="AM81" s="190"/>
    </row>
    <row r="82" spans="2:39" ht="14.25" customHeight="1">
      <c r="B82" s="191"/>
      <c r="C82" s="189"/>
      <c r="D82" s="189"/>
      <c r="E82" s="189"/>
      <c r="F82" s="189"/>
      <c r="G82" s="189"/>
      <c r="H82" s="189"/>
      <c r="I82" s="213"/>
      <c r="J82" s="189"/>
      <c r="K82" s="189"/>
      <c r="L82" s="190"/>
      <c r="N82" s="191"/>
      <c r="O82" s="816" t="s">
        <v>239</v>
      </c>
      <c r="P82" s="814" t="s">
        <v>1116</v>
      </c>
      <c r="Q82" s="802"/>
      <c r="R82" s="814" t="s">
        <v>1115</v>
      </c>
      <c r="S82" s="802"/>
      <c r="T82" s="814" t="s">
        <v>1436</v>
      </c>
      <c r="U82" s="802"/>
      <c r="V82" s="814" t="s">
        <v>2045</v>
      </c>
      <c r="W82" s="802"/>
      <c r="X82" s="190"/>
      <c r="Z82" s="191"/>
      <c r="AA82" s="189"/>
      <c r="AB82" s="189"/>
      <c r="AC82" s="189"/>
      <c r="AD82" s="189"/>
      <c r="AE82" s="189"/>
      <c r="AF82" s="189"/>
      <c r="AG82" s="189"/>
      <c r="AH82" s="189"/>
      <c r="AI82" s="188" t="s">
        <v>1454</v>
      </c>
      <c r="AJ82" s="813">
        <f>SUM(AJ80:AK81)</f>
        <v>21628</v>
      </c>
      <c r="AK82" s="821"/>
      <c r="AL82" s="189" t="s">
        <v>1643</v>
      </c>
      <c r="AM82" s="190"/>
    </row>
    <row r="83" spans="2:39" ht="14.25" customHeight="1">
      <c r="B83" s="194"/>
      <c r="C83" s="198"/>
      <c r="D83" s="189"/>
      <c r="E83" s="189"/>
      <c r="F83" s="189"/>
      <c r="G83" s="189"/>
      <c r="H83" s="193" t="s">
        <v>270</v>
      </c>
      <c r="I83" s="195">
        <v>0.5</v>
      </c>
      <c r="J83" s="189" t="s">
        <v>969</v>
      </c>
      <c r="K83" s="189"/>
      <c r="L83" s="190"/>
      <c r="N83" s="191"/>
      <c r="O83" s="817"/>
      <c r="P83" s="803"/>
      <c r="Q83" s="804"/>
      <c r="R83" s="803"/>
      <c r="S83" s="804"/>
      <c r="T83" s="803"/>
      <c r="U83" s="804"/>
      <c r="V83" s="803"/>
      <c r="W83" s="804"/>
      <c r="X83" s="190"/>
      <c r="Z83" s="191"/>
      <c r="AA83" s="189"/>
      <c r="AB83" s="189"/>
      <c r="AC83" s="189"/>
      <c r="AD83" s="189"/>
      <c r="AE83" s="189"/>
      <c r="AF83" s="189"/>
      <c r="AG83" s="189"/>
      <c r="AH83" s="189"/>
      <c r="AI83" s="188"/>
      <c r="AJ83" s="203"/>
      <c r="AK83" s="188"/>
      <c r="AL83" s="189"/>
      <c r="AM83" s="190"/>
    </row>
    <row r="84" spans="2:39" ht="14.25" customHeight="1">
      <c r="B84" s="191"/>
      <c r="C84" s="189"/>
      <c r="D84" s="189"/>
      <c r="E84" s="189"/>
      <c r="F84" s="189"/>
      <c r="G84" s="189"/>
      <c r="H84" s="189"/>
      <c r="I84" s="189"/>
      <c r="J84" s="189"/>
      <c r="K84" s="189"/>
      <c r="L84" s="190"/>
      <c r="N84" s="191"/>
      <c r="O84" s="818" t="s">
        <v>1671</v>
      </c>
      <c r="P84" s="801">
        <f>U17</f>
        <v>3589</v>
      </c>
      <c r="Q84" s="802"/>
      <c r="R84" s="801">
        <f>U18</f>
        <v>6288</v>
      </c>
      <c r="S84" s="802"/>
      <c r="T84" s="801">
        <f>U19</f>
        <v>9427</v>
      </c>
      <c r="U84" s="802"/>
      <c r="V84" s="801">
        <f>P84+R84+T84</f>
        <v>19304</v>
      </c>
      <c r="W84" s="802"/>
      <c r="X84" s="190"/>
      <c r="Z84" s="191"/>
      <c r="AA84" s="189"/>
      <c r="AB84" s="189"/>
      <c r="AC84" s="189"/>
      <c r="AD84" s="189"/>
      <c r="AE84" s="189"/>
      <c r="AF84" s="189"/>
      <c r="AG84" s="189"/>
      <c r="AH84" s="189"/>
      <c r="AI84" s="188"/>
      <c r="AJ84" s="203"/>
      <c r="AK84" s="188"/>
      <c r="AL84" s="189"/>
      <c r="AM84" s="190"/>
    </row>
    <row r="85" spans="2:39" ht="14.25" customHeight="1">
      <c r="B85" s="194"/>
      <c r="C85" s="188"/>
      <c r="D85" s="210"/>
      <c r="E85" s="189"/>
      <c r="F85" s="189"/>
      <c r="G85" s="189"/>
      <c r="H85" s="193" t="s">
        <v>1686</v>
      </c>
      <c r="I85" s="188">
        <v>1</v>
      </c>
      <c r="J85" s="189"/>
      <c r="K85" s="189"/>
      <c r="L85" s="190"/>
      <c r="N85" s="191"/>
      <c r="O85" s="819"/>
      <c r="P85" s="803"/>
      <c r="Q85" s="804"/>
      <c r="R85" s="803"/>
      <c r="S85" s="804"/>
      <c r="T85" s="803"/>
      <c r="U85" s="804"/>
      <c r="V85" s="803"/>
      <c r="W85" s="804"/>
      <c r="X85" s="190"/>
      <c r="Z85" s="191"/>
      <c r="AA85" s="821" t="s">
        <v>1649</v>
      </c>
      <c r="AB85" s="821"/>
      <c r="AC85" s="189"/>
      <c r="AD85" s="189"/>
      <c r="AE85" s="189"/>
      <c r="AF85" s="189"/>
      <c r="AG85" s="189"/>
      <c r="AH85" s="189"/>
      <c r="AI85" s="188"/>
      <c r="AJ85" s="203"/>
      <c r="AK85" s="188"/>
      <c r="AL85" s="189"/>
      <c r="AM85" s="190"/>
    </row>
    <row r="86" spans="2:39" ht="14.25" customHeight="1">
      <c r="B86" s="191"/>
      <c r="C86" s="189"/>
      <c r="D86" s="189"/>
      <c r="E86" s="189"/>
      <c r="F86" s="189"/>
      <c r="G86" s="189"/>
      <c r="H86" s="193"/>
      <c r="I86" s="188"/>
      <c r="J86" s="189"/>
      <c r="K86" s="189"/>
      <c r="L86" s="190"/>
      <c r="N86" s="191"/>
      <c r="O86" s="222" t="s">
        <v>1672</v>
      </c>
      <c r="P86" s="801">
        <f>U41</f>
        <v>4760</v>
      </c>
      <c r="Q86" s="802"/>
      <c r="R86" s="801">
        <f>U42</f>
        <v>12937</v>
      </c>
      <c r="S86" s="802"/>
      <c r="T86" s="801">
        <f>U43</f>
        <v>4182</v>
      </c>
      <c r="U86" s="802"/>
      <c r="V86" s="801">
        <f>P86+R86+T86</f>
        <v>21879</v>
      </c>
      <c r="W86" s="802"/>
      <c r="X86" s="190"/>
      <c r="Z86" s="191"/>
      <c r="AA86" s="821"/>
      <c r="AB86" s="821"/>
      <c r="AC86" s="189"/>
      <c r="AD86" s="189"/>
      <c r="AE86" s="189"/>
      <c r="AF86" s="189"/>
      <c r="AG86" s="189"/>
      <c r="AH86" s="189"/>
      <c r="AI86" s="188"/>
      <c r="AJ86" s="203"/>
      <c r="AK86" s="188"/>
      <c r="AL86" s="189"/>
      <c r="AM86" s="190"/>
    </row>
    <row r="87" spans="2:39" ht="14.25" customHeight="1">
      <c r="B87" s="191"/>
      <c r="C87" s="189"/>
      <c r="D87" s="189"/>
      <c r="E87" s="189"/>
      <c r="F87" s="189"/>
      <c r="G87" s="189"/>
      <c r="H87" s="193" t="s">
        <v>1687</v>
      </c>
      <c r="I87" s="188">
        <v>57</v>
      </c>
      <c r="J87" s="189" t="s">
        <v>969</v>
      </c>
      <c r="K87" s="189"/>
      <c r="L87" s="190"/>
      <c r="N87" s="191"/>
      <c r="O87" s="224" t="s">
        <v>1673</v>
      </c>
      <c r="P87" s="803"/>
      <c r="Q87" s="804"/>
      <c r="R87" s="803"/>
      <c r="S87" s="804"/>
      <c r="T87" s="803"/>
      <c r="U87" s="804"/>
      <c r="V87" s="803"/>
      <c r="W87" s="804"/>
      <c r="X87" s="190"/>
      <c r="Z87" s="191"/>
      <c r="AA87" s="823" t="s">
        <v>1642</v>
      </c>
      <c r="AB87" s="823"/>
      <c r="AC87" s="813">
        <f>AJ74</f>
        <v>119</v>
      </c>
      <c r="AD87" s="813"/>
      <c r="AE87" s="813"/>
      <c r="AF87" s="189"/>
      <c r="AG87" s="189"/>
      <c r="AH87" s="189"/>
      <c r="AI87" s="188"/>
      <c r="AJ87" s="203"/>
      <c r="AK87" s="188"/>
      <c r="AL87" s="189"/>
      <c r="AM87" s="190"/>
    </row>
    <row r="88" spans="2:39" ht="14.25" customHeight="1">
      <c r="B88" s="191"/>
      <c r="C88" s="211"/>
      <c r="D88" s="189"/>
      <c r="E88" s="189"/>
      <c r="F88" s="189"/>
      <c r="G88" s="189"/>
      <c r="H88" s="189"/>
      <c r="I88" s="189"/>
      <c r="J88" s="189"/>
      <c r="K88" s="189"/>
      <c r="L88" s="190"/>
      <c r="N88" s="191"/>
      <c r="O88" s="222" t="s">
        <v>2216</v>
      </c>
      <c r="P88" s="801">
        <f>U62</f>
        <v>6094</v>
      </c>
      <c r="Q88" s="802"/>
      <c r="R88" s="801">
        <f>U63</f>
        <v>15093</v>
      </c>
      <c r="S88" s="802"/>
      <c r="T88" s="801">
        <f>U64</f>
        <v>8518</v>
      </c>
      <c r="U88" s="802"/>
      <c r="V88" s="801">
        <f>P88+R88+T88</f>
        <v>29705</v>
      </c>
      <c r="W88" s="802"/>
      <c r="X88" s="190"/>
      <c r="Z88" s="191"/>
      <c r="AA88" s="823"/>
      <c r="AB88" s="823"/>
      <c r="AC88" s="813"/>
      <c r="AD88" s="813"/>
      <c r="AE88" s="813"/>
      <c r="AF88" s="189"/>
      <c r="AG88" s="189"/>
      <c r="AH88" s="189"/>
      <c r="AI88" s="188"/>
      <c r="AJ88" s="203"/>
      <c r="AK88" s="188"/>
      <c r="AL88" s="189"/>
      <c r="AM88" s="190"/>
    </row>
    <row r="89" spans="2:39" ht="14.25" customHeight="1">
      <c r="B89" s="191"/>
      <c r="C89" s="189"/>
      <c r="D89" s="203"/>
      <c r="E89" s="189"/>
      <c r="F89" s="188"/>
      <c r="G89" s="212"/>
      <c r="H89" s="189"/>
      <c r="I89" s="203"/>
      <c r="J89" s="189"/>
      <c r="K89" s="189"/>
      <c r="L89" s="190"/>
      <c r="N89" s="191"/>
      <c r="O89" s="224" t="s">
        <v>1675</v>
      </c>
      <c r="P89" s="803"/>
      <c r="Q89" s="804"/>
      <c r="R89" s="803"/>
      <c r="S89" s="804"/>
      <c r="T89" s="803"/>
      <c r="U89" s="804"/>
      <c r="V89" s="803"/>
      <c r="W89" s="804"/>
      <c r="X89" s="190"/>
      <c r="Z89" s="191"/>
      <c r="AA89" s="822" t="s">
        <v>1644</v>
      </c>
      <c r="AB89" s="822"/>
      <c r="AC89" s="813">
        <f>AJ75+AJ82</f>
        <v>22239</v>
      </c>
      <c r="AD89" s="813"/>
      <c r="AE89" s="813"/>
      <c r="AF89" s="189"/>
      <c r="AG89" s="189"/>
      <c r="AH89" s="189"/>
      <c r="AI89" s="188"/>
      <c r="AJ89" s="203"/>
      <c r="AK89" s="188"/>
      <c r="AL89" s="189"/>
      <c r="AM89" s="190"/>
    </row>
    <row r="90" spans="2:39" ht="14.25" customHeight="1">
      <c r="B90" s="191"/>
      <c r="C90" s="210" t="s">
        <v>288</v>
      </c>
      <c r="D90" s="813">
        <f>중기사용료!$M$796</f>
        <v>1019</v>
      </c>
      <c r="E90" s="813"/>
      <c r="F90" s="188" t="s">
        <v>300</v>
      </c>
      <c r="G90" s="201">
        <f>$C$81</f>
        <v>4.37</v>
      </c>
      <c r="H90" s="188" t="s">
        <v>1582</v>
      </c>
      <c r="I90" s="203">
        <f>TRUNC(D90/G90)</f>
        <v>233</v>
      </c>
      <c r="J90" s="189" t="s">
        <v>289</v>
      </c>
      <c r="K90" s="189"/>
      <c r="L90" s="190"/>
      <c r="N90" s="191"/>
      <c r="O90" s="222" t="s">
        <v>2214</v>
      </c>
      <c r="P90" s="801">
        <f>U78</f>
        <v>4092</v>
      </c>
      <c r="Q90" s="802"/>
      <c r="R90" s="801">
        <f>U79</f>
        <v>10062</v>
      </c>
      <c r="S90" s="802"/>
      <c r="T90" s="801">
        <f>U80</f>
        <v>3815</v>
      </c>
      <c r="U90" s="802"/>
      <c r="V90" s="801">
        <f>P90+R90+T90</f>
        <v>17969</v>
      </c>
      <c r="W90" s="802"/>
      <c r="X90" s="190"/>
      <c r="Z90" s="191"/>
      <c r="AA90" s="822"/>
      <c r="AB90" s="822"/>
      <c r="AC90" s="813"/>
      <c r="AD90" s="813"/>
      <c r="AE90" s="813"/>
      <c r="AF90" s="189"/>
      <c r="AG90" s="189"/>
      <c r="AH90" s="189"/>
      <c r="AI90" s="188"/>
      <c r="AJ90" s="203"/>
      <c r="AK90" s="188"/>
      <c r="AL90" s="189"/>
      <c r="AM90" s="190"/>
    </row>
    <row r="91" spans="2:39" ht="14.25" customHeight="1">
      <c r="B91" s="191"/>
      <c r="C91" s="210" t="s">
        <v>1630</v>
      </c>
      <c r="D91" s="813">
        <f>중기사용료!$M$790</f>
        <v>18939</v>
      </c>
      <c r="E91" s="813"/>
      <c r="F91" s="188" t="s">
        <v>300</v>
      </c>
      <c r="G91" s="201">
        <f>$C$81</f>
        <v>4.37</v>
      </c>
      <c r="H91" s="188" t="s">
        <v>1582</v>
      </c>
      <c r="I91" s="203">
        <f>TRUNC(D91/G91)</f>
        <v>4333</v>
      </c>
      <c r="J91" s="189" t="s">
        <v>289</v>
      </c>
      <c r="K91" s="189"/>
      <c r="L91" s="190"/>
      <c r="N91" s="191"/>
      <c r="O91" s="227" t="s">
        <v>1676</v>
      </c>
      <c r="P91" s="803"/>
      <c r="Q91" s="804"/>
      <c r="R91" s="803"/>
      <c r="S91" s="804"/>
      <c r="T91" s="803"/>
      <c r="U91" s="804"/>
      <c r="V91" s="803"/>
      <c r="W91" s="804"/>
      <c r="X91" s="190"/>
      <c r="Z91" s="191"/>
      <c r="AA91" s="822" t="s">
        <v>1645</v>
      </c>
      <c r="AB91" s="822"/>
      <c r="AC91" s="813">
        <f>AJ76</f>
        <v>310</v>
      </c>
      <c r="AD91" s="813"/>
      <c r="AE91" s="813"/>
      <c r="AF91" s="189"/>
      <c r="AG91" s="189"/>
      <c r="AH91" s="189"/>
      <c r="AI91" s="188"/>
      <c r="AJ91" s="203"/>
      <c r="AK91" s="188"/>
      <c r="AL91" s="189"/>
      <c r="AM91" s="190"/>
    </row>
    <row r="92" spans="2:39" ht="14.25" customHeight="1">
      <c r="B92" s="191"/>
      <c r="C92" s="210" t="s">
        <v>1633</v>
      </c>
      <c r="D92" s="813">
        <f>중기사용료!$M$784</f>
        <v>412</v>
      </c>
      <c r="E92" s="813"/>
      <c r="F92" s="188" t="s">
        <v>300</v>
      </c>
      <c r="G92" s="201">
        <f>$C$81</f>
        <v>4.37</v>
      </c>
      <c r="H92" s="188" t="s">
        <v>1582</v>
      </c>
      <c r="I92" s="203">
        <f>TRUNC(D92/G92)</f>
        <v>94</v>
      </c>
      <c r="J92" s="189" t="s">
        <v>289</v>
      </c>
      <c r="K92" s="189"/>
      <c r="L92" s="190"/>
      <c r="N92" s="191"/>
      <c r="O92" s="816" t="s">
        <v>1454</v>
      </c>
      <c r="P92" s="801">
        <f>SUM(P84:Q91)</f>
        <v>18535</v>
      </c>
      <c r="Q92" s="802"/>
      <c r="R92" s="801">
        <f>SUM(R84:S91)</f>
        <v>44380</v>
      </c>
      <c r="S92" s="802"/>
      <c r="T92" s="801">
        <f>SUM(T84:U91)</f>
        <v>25942</v>
      </c>
      <c r="U92" s="802"/>
      <c r="V92" s="801">
        <f>P92+R92+T92</f>
        <v>88857</v>
      </c>
      <c r="W92" s="802"/>
      <c r="X92" s="190"/>
      <c r="Z92" s="191"/>
      <c r="AA92" s="822"/>
      <c r="AB92" s="822"/>
      <c r="AC92" s="813"/>
      <c r="AD92" s="813"/>
      <c r="AE92" s="813"/>
      <c r="AF92" s="189"/>
      <c r="AG92" s="189"/>
      <c r="AH92" s="189"/>
      <c r="AI92" s="188" t="s">
        <v>1454</v>
      </c>
      <c r="AJ92" s="813">
        <f>SUM(AC87:AE92)</f>
        <v>22668</v>
      </c>
      <c r="AK92" s="813"/>
      <c r="AL92" s="189" t="s">
        <v>1643</v>
      </c>
      <c r="AM92" s="190"/>
    </row>
    <row r="93" spans="2:39" ht="14.25" customHeight="1">
      <c r="B93" s="191"/>
      <c r="C93" s="210"/>
      <c r="D93" s="203"/>
      <c r="E93" s="203"/>
      <c r="F93" s="188"/>
      <c r="G93" s="201"/>
      <c r="H93" s="188"/>
      <c r="I93" s="203"/>
      <c r="J93" s="189"/>
      <c r="K93" s="189"/>
      <c r="L93" s="190"/>
      <c r="N93" s="191"/>
      <c r="O93" s="817"/>
      <c r="P93" s="803"/>
      <c r="Q93" s="804"/>
      <c r="R93" s="803"/>
      <c r="S93" s="804"/>
      <c r="T93" s="803"/>
      <c r="U93" s="804"/>
      <c r="V93" s="803"/>
      <c r="W93" s="804"/>
      <c r="X93" s="190"/>
      <c r="Z93" s="191"/>
      <c r="AA93" s="189"/>
      <c r="AB93" s="189"/>
      <c r="AC93" s="189"/>
      <c r="AD93" s="189"/>
      <c r="AE93" s="189"/>
      <c r="AF93" s="189"/>
      <c r="AG93" s="189"/>
      <c r="AH93" s="189"/>
      <c r="AI93" s="188"/>
      <c r="AJ93" s="203"/>
      <c r="AK93" s="188"/>
      <c r="AL93" s="189"/>
      <c r="AM93" s="190"/>
    </row>
    <row r="94" spans="2:39" ht="14.25" customHeight="1">
      <c r="B94" s="191"/>
      <c r="C94" s="210"/>
      <c r="D94" s="203"/>
      <c r="E94" s="203"/>
      <c r="F94" s="188"/>
      <c r="G94" s="201"/>
      <c r="H94" s="188"/>
      <c r="I94" s="203"/>
      <c r="J94" s="189"/>
      <c r="K94" s="189"/>
      <c r="L94" s="190"/>
      <c r="N94" s="191"/>
      <c r="O94" s="188"/>
      <c r="P94" s="188"/>
      <c r="Q94" s="188"/>
      <c r="R94" s="188"/>
      <c r="S94" s="188"/>
      <c r="T94" s="188"/>
      <c r="U94" s="188"/>
      <c r="V94" s="188"/>
      <c r="W94" s="188"/>
      <c r="X94" s="190"/>
      <c r="Z94" s="191"/>
      <c r="AA94" s="189"/>
      <c r="AB94" s="189"/>
      <c r="AC94" s="189"/>
      <c r="AD94" s="189"/>
      <c r="AE94" s="189"/>
      <c r="AF94" s="189"/>
      <c r="AG94" s="189"/>
      <c r="AH94" s="189"/>
      <c r="AI94" s="188"/>
      <c r="AJ94" s="203"/>
      <c r="AK94" s="188"/>
      <c r="AL94" s="189"/>
      <c r="AM94" s="190"/>
    </row>
    <row r="95" spans="2:39" ht="14.25" customHeight="1">
      <c r="B95" s="191"/>
      <c r="C95" s="189"/>
      <c r="D95" s="189"/>
      <c r="E95" s="189"/>
      <c r="F95" s="189"/>
      <c r="G95" s="189"/>
      <c r="H95" s="189"/>
      <c r="I95" s="189"/>
      <c r="J95" s="189"/>
      <c r="K95" s="189"/>
      <c r="L95" s="190"/>
      <c r="N95" s="191"/>
      <c r="O95" s="188"/>
      <c r="P95" s="188"/>
      <c r="Q95" s="188"/>
      <c r="R95" s="188"/>
      <c r="S95" s="188"/>
      <c r="T95" s="188"/>
      <c r="U95" s="188"/>
      <c r="V95" s="189"/>
      <c r="W95" s="189"/>
      <c r="X95" s="190"/>
      <c r="Z95" s="191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90"/>
    </row>
    <row r="96" spans="2:39" ht="14.25" customHeight="1">
      <c r="B96" s="216"/>
      <c r="C96" s="179"/>
      <c r="D96" s="179"/>
      <c r="E96" s="179"/>
      <c r="F96" s="179"/>
      <c r="G96" s="179"/>
      <c r="H96" s="179"/>
      <c r="I96" s="179"/>
      <c r="J96" s="179"/>
      <c r="K96" s="179"/>
      <c r="L96" s="217"/>
      <c r="N96" s="216"/>
      <c r="O96" s="228"/>
      <c r="P96" s="228"/>
      <c r="Q96" s="228"/>
      <c r="R96" s="228"/>
      <c r="S96" s="228"/>
      <c r="T96" s="228"/>
      <c r="U96" s="228"/>
      <c r="V96" s="179"/>
      <c r="W96" s="179"/>
      <c r="X96" s="217"/>
      <c r="Z96" s="216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217"/>
    </row>
    <row r="97" spans="2:39" ht="14.25" customHeight="1">
      <c r="B97" s="179"/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O97" s="228"/>
      <c r="P97" s="228"/>
      <c r="Q97" s="228"/>
      <c r="R97" s="228"/>
      <c r="S97" s="228"/>
      <c r="T97" s="228"/>
      <c r="U97" s="228"/>
      <c r="V97" s="179"/>
      <c r="W97" s="179"/>
    </row>
    <row r="98" spans="2:39" s="184" customFormat="1" ht="14.25" customHeight="1">
      <c r="B98" s="180" t="s">
        <v>1688</v>
      </c>
      <c r="C98" s="181"/>
      <c r="D98" s="181"/>
      <c r="E98" s="181" t="s">
        <v>1689</v>
      </c>
      <c r="F98" s="181"/>
      <c r="G98" s="181"/>
      <c r="H98" s="181" t="s">
        <v>1317</v>
      </c>
      <c r="I98" s="181"/>
      <c r="J98" s="181"/>
      <c r="K98" s="181"/>
      <c r="L98" s="183"/>
      <c r="N98" s="180" t="s">
        <v>1681</v>
      </c>
      <c r="O98" s="181"/>
      <c r="P98" s="181"/>
      <c r="Q98" s="181"/>
      <c r="R98" s="181"/>
      <c r="S98" s="181"/>
      <c r="T98" s="181" t="s">
        <v>1682</v>
      </c>
      <c r="U98" s="181"/>
      <c r="V98" s="181"/>
      <c r="W98" s="181"/>
      <c r="X98" s="183"/>
      <c r="Z98" s="180" t="s">
        <v>243</v>
      </c>
      <c r="AA98" s="181"/>
      <c r="AB98" s="181"/>
      <c r="AC98" s="181"/>
      <c r="AD98" s="181"/>
      <c r="AE98" s="181"/>
      <c r="AF98" s="181"/>
      <c r="AG98" s="181" t="s">
        <v>1683</v>
      </c>
      <c r="AH98" s="181"/>
      <c r="AI98" s="181"/>
      <c r="AJ98" s="181"/>
      <c r="AK98" s="185">
        <v>400</v>
      </c>
      <c r="AL98" s="181" t="s">
        <v>456</v>
      </c>
      <c r="AM98" s="183"/>
    </row>
    <row r="99" spans="2:39" ht="14.25" customHeight="1">
      <c r="B99" s="828"/>
      <c r="C99" s="829"/>
      <c r="D99" s="829"/>
      <c r="E99" s="829"/>
      <c r="F99" s="829"/>
      <c r="G99" s="829"/>
      <c r="H99" s="188"/>
      <c r="I99" s="189"/>
      <c r="J99" s="189"/>
      <c r="K99" s="189"/>
      <c r="L99" s="190"/>
      <c r="N99" s="191"/>
      <c r="O99" s="189"/>
      <c r="P99" s="189"/>
      <c r="Q99" s="189"/>
      <c r="R99" s="189"/>
      <c r="S99" s="189"/>
      <c r="T99" s="189"/>
      <c r="U99" s="189"/>
      <c r="V99" s="189"/>
      <c r="W99" s="189"/>
      <c r="X99" s="190"/>
      <c r="Z99" s="186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92"/>
    </row>
    <row r="100" spans="2:39" ht="14.25" customHeight="1">
      <c r="B100" s="191"/>
      <c r="C100" s="189"/>
      <c r="D100" s="189"/>
      <c r="E100" s="189"/>
      <c r="F100" s="189"/>
      <c r="G100" s="189"/>
      <c r="H100" s="193" t="s">
        <v>246</v>
      </c>
      <c r="I100" s="189" t="s">
        <v>247</v>
      </c>
      <c r="J100" s="189"/>
      <c r="K100" s="189"/>
      <c r="L100" s="190"/>
      <c r="N100" s="585" t="s">
        <v>248</v>
      </c>
      <c r="O100" s="586" t="s">
        <v>249</v>
      </c>
      <c r="P100" s="586"/>
      <c r="Q100" s="561"/>
      <c r="R100" s="561"/>
      <c r="S100" s="561"/>
      <c r="T100" s="583"/>
      <c r="U100" s="563"/>
      <c r="V100" s="561"/>
      <c r="W100" s="561"/>
      <c r="X100" s="564"/>
      <c r="Z100" s="589" t="s">
        <v>3686</v>
      </c>
      <c r="AA100" s="586" t="s">
        <v>3688</v>
      </c>
      <c r="AB100" s="563">
        <v>40</v>
      </c>
      <c r="AC100" s="561" t="s">
        <v>250</v>
      </c>
      <c r="AD100" s="561"/>
      <c r="AE100" s="561"/>
      <c r="AF100" s="561"/>
      <c r="AG100" s="561"/>
      <c r="AH100" s="583" t="s">
        <v>251</v>
      </c>
      <c r="AI100" s="563">
        <f>AB100/100</f>
        <v>0.4</v>
      </c>
      <c r="AJ100" s="561" t="s">
        <v>252</v>
      </c>
      <c r="AK100" s="561"/>
      <c r="AL100" s="561"/>
      <c r="AM100" s="564"/>
    </row>
    <row r="101" spans="2:39" ht="14.25" customHeight="1">
      <c r="B101" s="194" t="s">
        <v>246</v>
      </c>
      <c r="C101" s="189" t="s">
        <v>253</v>
      </c>
      <c r="D101" s="189"/>
      <c r="E101" s="189"/>
      <c r="F101" s="189"/>
      <c r="G101" s="189"/>
      <c r="H101" s="193" t="s">
        <v>251</v>
      </c>
      <c r="I101" s="188">
        <v>50</v>
      </c>
      <c r="J101" s="189" t="s">
        <v>1190</v>
      </c>
      <c r="K101" s="189"/>
      <c r="L101" s="190"/>
      <c r="N101" s="194" t="s">
        <v>246</v>
      </c>
      <c r="O101" s="189" t="s">
        <v>254</v>
      </c>
      <c r="P101" s="189"/>
      <c r="Q101" s="189"/>
      <c r="T101" s="193" t="s">
        <v>255</v>
      </c>
      <c r="U101" s="195">
        <v>180</v>
      </c>
      <c r="V101" s="189"/>
      <c r="W101" s="189"/>
      <c r="X101" s="190"/>
      <c r="Z101" s="191"/>
      <c r="AA101" s="189"/>
      <c r="AB101" s="189"/>
      <c r="AC101" s="189"/>
      <c r="AD101" s="189"/>
      <c r="AE101" s="189"/>
      <c r="AF101" s="189"/>
      <c r="AG101" s="189"/>
      <c r="AH101" s="193" t="s">
        <v>256</v>
      </c>
      <c r="AI101" s="188">
        <v>2.4</v>
      </c>
      <c r="AJ101" s="189" t="s">
        <v>257</v>
      </c>
      <c r="AK101" s="189"/>
      <c r="AL101" s="189"/>
      <c r="AM101" s="190"/>
    </row>
    <row r="102" spans="2:39" ht="14.25" customHeight="1">
      <c r="B102" s="191"/>
      <c r="C102" s="189" t="s">
        <v>258</v>
      </c>
      <c r="D102" s="189"/>
      <c r="E102" s="189"/>
      <c r="F102" s="189"/>
      <c r="G102" s="189"/>
      <c r="H102" s="193" t="s">
        <v>259</v>
      </c>
      <c r="I102" s="188">
        <v>1</v>
      </c>
      <c r="J102" s="189"/>
      <c r="K102" s="189"/>
      <c r="L102" s="190"/>
      <c r="N102" s="191"/>
      <c r="O102" s="189" t="s">
        <v>258</v>
      </c>
      <c r="P102" s="189"/>
      <c r="Q102" s="189"/>
      <c r="T102" s="193" t="s">
        <v>260</v>
      </c>
      <c r="U102" s="195">
        <v>3</v>
      </c>
      <c r="V102" s="196"/>
      <c r="W102" s="189"/>
      <c r="X102" s="190"/>
      <c r="Z102" s="191"/>
      <c r="AA102" s="188" t="s">
        <v>255</v>
      </c>
      <c r="AB102" s="189" t="s">
        <v>261</v>
      </c>
      <c r="AC102" s="189"/>
      <c r="AD102" s="189"/>
      <c r="AE102" s="189"/>
      <c r="AF102" s="189"/>
      <c r="AG102" s="189"/>
      <c r="AH102" s="193" t="s">
        <v>1706</v>
      </c>
      <c r="AI102" s="188">
        <v>2.37</v>
      </c>
      <c r="AJ102" s="189" t="s">
        <v>241</v>
      </c>
      <c r="AK102" s="189" t="s">
        <v>262</v>
      </c>
      <c r="AL102" s="189"/>
      <c r="AM102" s="190"/>
    </row>
    <row r="103" spans="2:39" ht="14.25" customHeight="1">
      <c r="B103" s="194" t="s">
        <v>263</v>
      </c>
      <c r="C103" s="197" t="str">
        <f>" 60×"&amp;I103&amp;"×"&amp;I101&amp;"×"&amp;I105&amp;"×"&amp;I102&amp;"×"&amp;I107&amp;" / ("&amp;I104&amp;"ㆍ"&amp;I108&amp;")sec"</f>
        <v xml:space="preserve"> 60×2.9×50×0.1×1×0.6 / (1ㆍ1.96)sec</v>
      </c>
      <c r="D103" s="189"/>
      <c r="E103" s="189"/>
      <c r="F103" s="189"/>
      <c r="G103" s="189"/>
      <c r="H103" s="193" t="s">
        <v>264</v>
      </c>
      <c r="I103" s="188">
        <v>2.9</v>
      </c>
      <c r="J103" s="189" t="s">
        <v>265</v>
      </c>
      <c r="K103" s="189"/>
      <c r="L103" s="190"/>
      <c r="N103" s="194" t="s">
        <v>263</v>
      </c>
      <c r="O103" s="197" t="str">
        <f xml:space="preserve"> U101&amp;"×"&amp;U102&amp;"×"&amp;U103&amp;"×"&amp;U104&amp;"×"&amp;U105&amp;" / "&amp;U107</f>
        <v>180×3×0.075×2.35×0.8 / 17.62</v>
      </c>
      <c r="P103" s="189"/>
      <c r="Q103" s="189"/>
      <c r="T103" s="193" t="s">
        <v>242</v>
      </c>
      <c r="U103" s="198">
        <v>7.4999999999999997E-2</v>
      </c>
      <c r="V103" s="196"/>
      <c r="W103" s="189"/>
      <c r="X103" s="190"/>
      <c r="Z103" s="191"/>
      <c r="AA103" s="189"/>
      <c r="AB103" s="189"/>
      <c r="AC103" s="189"/>
      <c r="AD103" s="189"/>
      <c r="AE103" s="189"/>
      <c r="AF103" s="189"/>
      <c r="AG103" s="189"/>
      <c r="AH103" s="193" t="s">
        <v>2110</v>
      </c>
      <c r="AI103" s="188">
        <f>AI104/AK104*AI105*AK105</f>
        <v>2</v>
      </c>
      <c r="AJ103" s="189" t="s">
        <v>241</v>
      </c>
      <c r="AK103" s="189"/>
      <c r="AL103" s="189"/>
      <c r="AM103" s="190"/>
    </row>
    <row r="104" spans="2:39" ht="14.25" customHeight="1">
      <c r="B104" s="191"/>
      <c r="C104" s="189"/>
      <c r="D104" s="189"/>
      <c r="E104" s="189"/>
      <c r="F104" s="189"/>
      <c r="G104" s="189"/>
      <c r="H104" s="193" t="s">
        <v>266</v>
      </c>
      <c r="I104" s="188">
        <v>1</v>
      </c>
      <c r="J104" s="196" t="s">
        <v>969</v>
      </c>
      <c r="K104" s="189"/>
      <c r="L104" s="190"/>
      <c r="N104" s="191"/>
      <c r="O104" s="189"/>
      <c r="P104" s="189"/>
      <c r="Q104" s="189"/>
      <c r="T104" s="193" t="s">
        <v>267</v>
      </c>
      <c r="U104" s="199">
        <v>2.35</v>
      </c>
      <c r="V104" s="188"/>
      <c r="W104" s="189"/>
      <c r="X104" s="190"/>
      <c r="Z104" s="191"/>
      <c r="AA104" s="188" t="s">
        <v>246</v>
      </c>
      <c r="AB104" s="188">
        <v>35</v>
      </c>
      <c r="AC104" s="189" t="s">
        <v>972</v>
      </c>
      <c r="AD104" s="188">
        <f>AI114</f>
        <v>0.9</v>
      </c>
      <c r="AE104" s="188" t="s">
        <v>1582</v>
      </c>
      <c r="AF104" s="188">
        <f>AB104*AD104</f>
        <v>31.5</v>
      </c>
      <c r="AG104" s="189"/>
      <c r="AH104" s="193" t="s">
        <v>2111</v>
      </c>
      <c r="AI104" s="188">
        <v>0.05</v>
      </c>
      <c r="AJ104" s="188" t="s">
        <v>300</v>
      </c>
      <c r="AK104" s="188">
        <v>3</v>
      </c>
      <c r="AL104" s="189" t="s">
        <v>2112</v>
      </c>
      <c r="AM104" s="190"/>
    </row>
    <row r="105" spans="2:39" ht="14.25" customHeight="1">
      <c r="B105" s="194" t="s">
        <v>1582</v>
      </c>
      <c r="C105" s="201">
        <f>TRUNC(60*I103*I101*I105*I102*I107/(I108*I104),2)</f>
        <v>266.32</v>
      </c>
      <c r="D105" s="189" t="s">
        <v>4003</v>
      </c>
      <c r="E105" s="189"/>
      <c r="F105" s="189"/>
      <c r="G105" s="189"/>
      <c r="H105" s="193" t="s">
        <v>269</v>
      </c>
      <c r="I105" s="188">
        <v>0.1</v>
      </c>
      <c r="J105" s="196" t="s">
        <v>1190</v>
      </c>
      <c r="K105" s="188"/>
      <c r="L105" s="190"/>
      <c r="N105" s="194" t="s">
        <v>1582</v>
      </c>
      <c r="O105" s="198">
        <f>TRUNC(U101*U102*U103*U104*U105/U107,2)</f>
        <v>4.32</v>
      </c>
      <c r="P105" s="189" t="s">
        <v>4003</v>
      </c>
      <c r="Q105" s="189"/>
      <c r="T105" s="193" t="s">
        <v>270</v>
      </c>
      <c r="U105" s="200">
        <v>0.8</v>
      </c>
      <c r="W105" s="188"/>
      <c r="X105" s="190"/>
      <c r="Z105" s="191"/>
      <c r="AA105" s="189"/>
      <c r="AB105" s="189"/>
      <c r="AC105" s="189"/>
      <c r="AD105" s="189"/>
      <c r="AE105" s="189"/>
      <c r="AF105" s="189"/>
      <c r="AG105" s="189"/>
      <c r="AH105" s="188" t="s">
        <v>972</v>
      </c>
      <c r="AI105" s="188">
        <v>2</v>
      </c>
      <c r="AJ105" s="188" t="s">
        <v>972</v>
      </c>
      <c r="AK105" s="230">
        <v>60</v>
      </c>
      <c r="AL105" s="189">
        <f>AI104/AK104*AI105*AK105</f>
        <v>2</v>
      </c>
      <c r="AM105" s="190"/>
    </row>
    <row r="106" spans="2:39" ht="14.25" customHeight="1">
      <c r="B106" s="191"/>
      <c r="C106" s="189"/>
      <c r="D106" s="189"/>
      <c r="E106" s="189"/>
      <c r="F106" s="189"/>
      <c r="G106" s="189"/>
      <c r="H106" s="193"/>
      <c r="I106" s="188"/>
      <c r="J106" s="188"/>
      <c r="K106" s="188"/>
      <c r="L106" s="190"/>
      <c r="N106" s="191"/>
      <c r="O106" s="189"/>
      <c r="P106" s="189"/>
      <c r="Q106" s="189"/>
      <c r="U106" s="202"/>
      <c r="V106" s="189"/>
      <c r="W106" s="189"/>
      <c r="X106" s="190"/>
      <c r="Z106" s="191"/>
      <c r="AA106" s="188" t="s">
        <v>255</v>
      </c>
      <c r="AB106" s="189" t="str">
        <f>AF104&amp;" / "&amp;AI100&amp;" × "&amp;AI101</f>
        <v>31.5 / 0.4 × 2.4</v>
      </c>
      <c r="AC106" s="189"/>
      <c r="AD106" s="189"/>
      <c r="AE106" s="189"/>
      <c r="AF106" s="189"/>
      <c r="AG106" s="189"/>
      <c r="AH106" s="193" t="s">
        <v>2113</v>
      </c>
      <c r="AI106" s="188">
        <f>ROUND(AI110,2)</f>
        <v>12.68</v>
      </c>
      <c r="AJ106" s="189" t="s">
        <v>271</v>
      </c>
      <c r="AK106" s="189"/>
      <c r="AL106" s="189"/>
      <c r="AM106" s="190"/>
    </row>
    <row r="107" spans="2:39" ht="14.25" customHeight="1">
      <c r="B107" s="194" t="s">
        <v>272</v>
      </c>
      <c r="C107" s="201">
        <f>C105</f>
        <v>266.32</v>
      </c>
      <c r="D107" s="189" t="s">
        <v>4005</v>
      </c>
      <c r="E107" s="189"/>
      <c r="F107" s="189"/>
      <c r="G107" s="189"/>
      <c r="H107" s="193" t="s">
        <v>270</v>
      </c>
      <c r="I107" s="188">
        <v>0.6</v>
      </c>
      <c r="J107" s="189"/>
      <c r="K107" s="189"/>
      <c r="L107" s="190"/>
      <c r="N107" s="194"/>
      <c r="O107" s="203"/>
      <c r="P107" s="189"/>
      <c r="Q107" s="189"/>
      <c r="R107" s="189"/>
      <c r="S107" s="189"/>
      <c r="T107" s="204" t="s">
        <v>273</v>
      </c>
      <c r="U107" s="205">
        <f>U109</f>
        <v>17.62</v>
      </c>
      <c r="V107" s="189" t="s">
        <v>274</v>
      </c>
      <c r="W107" s="189"/>
      <c r="X107" s="190"/>
      <c r="Z107" s="191"/>
      <c r="AA107" s="189"/>
      <c r="AB107" s="189"/>
      <c r="AC107" s="189"/>
      <c r="AD107" s="189"/>
      <c r="AE107" s="189"/>
      <c r="AF107" s="189"/>
      <c r="AG107" s="189"/>
      <c r="AH107" s="193"/>
      <c r="AI107" s="206">
        <f>AK98</f>
        <v>400</v>
      </c>
      <c r="AJ107" s="189" t="s">
        <v>300</v>
      </c>
      <c r="AK107" s="189" t="str">
        <f>"("&amp;AI100&amp;"×"&amp;AI101&amp;")"</f>
        <v>(0.4×2.4)</v>
      </c>
      <c r="AL107" s="189"/>
      <c r="AM107" s="190"/>
    </row>
    <row r="108" spans="2:39" ht="14.25" customHeight="1">
      <c r="B108" s="191"/>
      <c r="C108" s="189"/>
      <c r="D108" s="189"/>
      <c r="E108" s="189"/>
      <c r="F108" s="189"/>
      <c r="G108" s="189"/>
      <c r="H108" s="193" t="s">
        <v>275</v>
      </c>
      <c r="I108" s="209">
        <f>TRUNC(0.06*(I101/I110+I101/I111)+2*I112,2)</f>
        <v>1.96</v>
      </c>
      <c r="J108" s="189"/>
      <c r="K108" s="189"/>
      <c r="L108" s="190"/>
      <c r="N108" s="191"/>
      <c r="O108" s="189"/>
      <c r="P108" s="189"/>
      <c r="Q108" s="189"/>
      <c r="R108" s="189"/>
      <c r="S108" s="189"/>
      <c r="T108" s="207">
        <v>2.35</v>
      </c>
      <c r="U108" s="231">
        <f>U103</f>
        <v>7.4999999999999997E-2</v>
      </c>
      <c r="V108" s="189">
        <v>100</v>
      </c>
      <c r="W108" s="189"/>
      <c r="X108" s="190"/>
      <c r="Z108" s="191"/>
      <c r="AA108" s="188" t="s">
        <v>276</v>
      </c>
      <c r="AB108" s="198">
        <f>TRUNC(AF104/(AI100*AI101),2)</f>
        <v>32.81</v>
      </c>
      <c r="AC108" s="189" t="s">
        <v>277</v>
      </c>
      <c r="AD108" s="189"/>
      <c r="AE108" s="189"/>
      <c r="AF108" s="189"/>
      <c r="AG108" s="189"/>
      <c r="AH108" s="193" t="s">
        <v>1582</v>
      </c>
      <c r="AI108" s="206">
        <f>TRUNC(AK98/(AI100*AI101))</f>
        <v>416</v>
      </c>
      <c r="AJ108" s="189" t="s">
        <v>278</v>
      </c>
      <c r="AK108" s="189"/>
      <c r="AL108" s="189"/>
      <c r="AM108" s="190"/>
    </row>
    <row r="109" spans="2:39" ht="14.25" customHeight="1">
      <c r="B109" s="194" t="s">
        <v>1582</v>
      </c>
      <c r="C109" s="188">
        <f>TRUNC(C107/10,2)</f>
        <v>26.63</v>
      </c>
      <c r="D109" s="210" t="s">
        <v>279</v>
      </c>
      <c r="E109" s="189"/>
      <c r="F109" s="189"/>
      <c r="G109" s="189"/>
      <c r="H109" s="193" t="s">
        <v>1582</v>
      </c>
      <c r="I109" s="189" t="s">
        <v>280</v>
      </c>
      <c r="J109" s="189"/>
      <c r="K109" s="189"/>
      <c r="L109" s="190"/>
      <c r="N109" s="194"/>
      <c r="O109" s="188"/>
      <c r="P109" s="210"/>
      <c r="Q109" s="189"/>
      <c r="R109" s="189"/>
      <c r="S109" s="189"/>
      <c r="T109" s="193" t="s">
        <v>1582</v>
      </c>
      <c r="U109" s="188">
        <f>TRUNC(T108*U108*V108,2)</f>
        <v>17.62</v>
      </c>
      <c r="V109" s="189"/>
      <c r="W109" s="189"/>
      <c r="X109" s="190"/>
      <c r="Z109" s="191"/>
      <c r="AA109" s="189"/>
      <c r="AB109" s="189"/>
      <c r="AC109" s="189"/>
      <c r="AD109" s="189"/>
      <c r="AE109" s="189"/>
      <c r="AF109" s="189"/>
      <c r="AG109" s="189"/>
      <c r="AH109" s="193" t="s">
        <v>1601</v>
      </c>
      <c r="AI109" s="206">
        <f>AI108</f>
        <v>416</v>
      </c>
      <c r="AJ109" s="189" t="s">
        <v>300</v>
      </c>
      <c r="AK109" s="188">
        <f>AB108</f>
        <v>32.81</v>
      </c>
      <c r="AL109" s="189" t="s">
        <v>281</v>
      </c>
      <c r="AM109" s="190"/>
    </row>
    <row r="110" spans="2:39" ht="14.25" customHeight="1">
      <c r="B110" s="191"/>
      <c r="C110" s="189"/>
      <c r="D110" s="189"/>
      <c r="E110" s="189"/>
      <c r="F110" s="189"/>
      <c r="G110" s="189"/>
      <c r="H110" s="193" t="s">
        <v>1596</v>
      </c>
      <c r="I110" s="188">
        <v>6</v>
      </c>
      <c r="J110" s="189" t="s">
        <v>282</v>
      </c>
      <c r="K110" s="189"/>
      <c r="L110" s="190"/>
      <c r="N110" s="191"/>
      <c r="P110" s="189"/>
      <c r="Q110" s="189"/>
      <c r="R110" s="189"/>
      <c r="S110" s="189"/>
      <c r="T110" s="193"/>
      <c r="U110" s="188"/>
      <c r="V110" s="189"/>
      <c r="W110" s="189"/>
      <c r="X110" s="190"/>
      <c r="Z110" s="191"/>
      <c r="AA110" s="189"/>
      <c r="AB110" s="189"/>
      <c r="AC110" s="189"/>
      <c r="AD110" s="189"/>
      <c r="AE110" s="189"/>
      <c r="AF110" s="189"/>
      <c r="AG110" s="189"/>
      <c r="AH110" s="193" t="s">
        <v>1582</v>
      </c>
      <c r="AI110" s="189">
        <f>AI109/AK109</f>
        <v>12.679061261810423</v>
      </c>
      <c r="AJ110" s="189" t="s">
        <v>283</v>
      </c>
      <c r="AK110" s="189"/>
      <c r="AL110" s="189"/>
      <c r="AM110" s="190"/>
    </row>
    <row r="111" spans="2:39" ht="14.25" customHeight="1">
      <c r="B111" s="191"/>
      <c r="C111" s="189"/>
      <c r="D111" s="189"/>
      <c r="E111" s="189"/>
      <c r="F111" s="189"/>
      <c r="G111" s="189"/>
      <c r="H111" s="193" t="s">
        <v>1597</v>
      </c>
      <c r="I111" s="188">
        <v>6.5</v>
      </c>
      <c r="J111" s="189" t="s">
        <v>282</v>
      </c>
      <c r="K111" s="189"/>
      <c r="L111" s="190"/>
      <c r="N111" s="191"/>
      <c r="O111" s="189"/>
      <c r="P111" s="189"/>
      <c r="Q111" s="189"/>
      <c r="R111" s="189"/>
      <c r="S111" s="189"/>
      <c r="W111" s="189"/>
      <c r="X111" s="190"/>
      <c r="Z111" s="191"/>
      <c r="AA111" s="189"/>
      <c r="AB111" s="189"/>
      <c r="AC111" s="189"/>
      <c r="AD111" s="189"/>
      <c r="AE111" s="189"/>
      <c r="AF111" s="189"/>
      <c r="AG111" s="189"/>
      <c r="AH111" s="193" t="s">
        <v>2114</v>
      </c>
      <c r="AI111" s="188">
        <v>10</v>
      </c>
      <c r="AJ111" s="189" t="s">
        <v>241</v>
      </c>
      <c r="AK111" s="189"/>
      <c r="AL111" s="189"/>
      <c r="AM111" s="190"/>
    </row>
    <row r="112" spans="2:39" ht="14.25" customHeight="1">
      <c r="B112" s="191"/>
      <c r="C112" s="211" t="s">
        <v>284</v>
      </c>
      <c r="D112" s="189"/>
      <c r="E112" s="189"/>
      <c r="F112" s="189"/>
      <c r="G112" s="189"/>
      <c r="H112" s="193" t="s">
        <v>242</v>
      </c>
      <c r="I112" s="188">
        <v>0.5</v>
      </c>
      <c r="J112" s="189" t="s">
        <v>1600</v>
      </c>
      <c r="K112" s="189"/>
      <c r="L112" s="190"/>
      <c r="N112" s="191"/>
      <c r="O112" s="211" t="s">
        <v>284</v>
      </c>
      <c r="W112" s="189"/>
      <c r="X112" s="190"/>
      <c r="Z112" s="191"/>
      <c r="AA112" s="189"/>
      <c r="AB112" s="189"/>
      <c r="AC112" s="189"/>
      <c r="AD112" s="189"/>
      <c r="AE112" s="189"/>
      <c r="AF112" s="189"/>
      <c r="AG112" s="189"/>
      <c r="AH112" s="193" t="s">
        <v>240</v>
      </c>
      <c r="AI112" s="189" t="str">
        <f>AI102&amp;"+"&amp;AI103&amp;"+"&amp;AI106&amp;"+"&amp;AI111</f>
        <v>2.37+2+12.68+10</v>
      </c>
      <c r="AJ112" s="189"/>
      <c r="AK112" s="189"/>
      <c r="AL112" s="189"/>
      <c r="AM112" s="190"/>
    </row>
    <row r="113" spans="2:39" ht="14.25" customHeight="1">
      <c r="B113" s="191"/>
      <c r="C113" s="189"/>
      <c r="D113" s="203"/>
      <c r="E113" s="189"/>
      <c r="F113" s="188"/>
      <c r="G113" s="212"/>
      <c r="H113" s="189"/>
      <c r="I113" s="203"/>
      <c r="J113" s="189"/>
      <c r="K113" s="189"/>
      <c r="L113" s="190"/>
      <c r="N113" s="191"/>
      <c r="O113" s="189"/>
      <c r="P113" s="203"/>
      <c r="R113" s="188"/>
      <c r="S113" s="212"/>
      <c r="T113" s="189"/>
      <c r="U113" s="203"/>
      <c r="V113" s="189"/>
      <c r="W113" s="189"/>
      <c r="X113" s="190"/>
      <c r="Z113" s="191"/>
      <c r="AA113" s="189" t="s">
        <v>285</v>
      </c>
      <c r="AB113" s="189"/>
      <c r="AC113" s="189"/>
      <c r="AD113" s="189"/>
      <c r="AE113" s="189"/>
      <c r="AF113" s="189"/>
      <c r="AG113" s="189"/>
      <c r="AH113" s="193" t="s">
        <v>1582</v>
      </c>
      <c r="AI113" s="188">
        <f>AI102+AI103+AI106+AI111</f>
        <v>27.05</v>
      </c>
      <c r="AJ113" s="189" t="s">
        <v>241</v>
      </c>
      <c r="AK113" s="189"/>
      <c r="AL113" s="189"/>
      <c r="AM113" s="190"/>
    </row>
    <row r="114" spans="2:39" ht="14.25" customHeight="1">
      <c r="B114" s="191"/>
      <c r="C114" s="210" t="s">
        <v>286</v>
      </c>
      <c r="D114" s="813">
        <f>중기사용료!$M$454</f>
        <v>25105</v>
      </c>
      <c r="E114" s="813"/>
      <c r="F114" s="188" t="s">
        <v>300</v>
      </c>
      <c r="G114" s="201">
        <f>$C$109</f>
        <v>26.63</v>
      </c>
      <c r="H114" s="188" t="s">
        <v>1690</v>
      </c>
      <c r="I114" s="203" t="s">
        <v>1582</v>
      </c>
      <c r="J114" s="820">
        <f>TRUNC(D114/G114*10)</f>
        <v>9427</v>
      </c>
      <c r="K114" s="820"/>
      <c r="L114" s="190"/>
      <c r="N114" s="191"/>
      <c r="O114" s="210" t="s">
        <v>288</v>
      </c>
      <c r="P114" s="813">
        <f>중기사용료!$M$1214</f>
        <v>15508</v>
      </c>
      <c r="Q114" s="813"/>
      <c r="R114" s="188" t="s">
        <v>300</v>
      </c>
      <c r="S114" s="201">
        <f>O105</f>
        <v>4.32</v>
      </c>
      <c r="T114" s="188" t="s">
        <v>1582</v>
      </c>
      <c r="U114" s="203">
        <f>INT(P114/S114)</f>
        <v>3589</v>
      </c>
      <c r="V114" s="189" t="s">
        <v>289</v>
      </c>
      <c r="W114" s="189"/>
      <c r="X114" s="190"/>
      <c r="Z114" s="191"/>
      <c r="AA114" s="189"/>
      <c r="AB114" s="189"/>
      <c r="AC114" s="189"/>
      <c r="AD114" s="189"/>
      <c r="AE114" s="189"/>
      <c r="AF114" s="189"/>
      <c r="AG114" s="189"/>
      <c r="AH114" s="193" t="s">
        <v>270</v>
      </c>
      <c r="AI114" s="188">
        <v>0.9</v>
      </c>
      <c r="AJ114" s="189"/>
      <c r="AK114" s="189"/>
      <c r="AL114" s="189"/>
      <c r="AM114" s="190"/>
    </row>
    <row r="115" spans="2:39" ht="14.25" customHeight="1">
      <c r="B115" s="191"/>
      <c r="C115" s="210" t="s">
        <v>1629</v>
      </c>
      <c r="D115" s="813">
        <f>중기사용료!$M$448</f>
        <v>27168</v>
      </c>
      <c r="E115" s="813"/>
      <c r="F115" s="188" t="s">
        <v>300</v>
      </c>
      <c r="G115" s="201">
        <f>$C$109</f>
        <v>26.63</v>
      </c>
      <c r="H115" s="188" t="s">
        <v>1690</v>
      </c>
      <c r="I115" s="203" t="s">
        <v>1582</v>
      </c>
      <c r="J115" s="820">
        <f>TRUNC(D115/G115*10)</f>
        <v>10202</v>
      </c>
      <c r="K115" s="820"/>
      <c r="L115" s="190"/>
      <c r="N115" s="191"/>
      <c r="O115" s="210" t="s">
        <v>1630</v>
      </c>
      <c r="P115" s="813">
        <f>중기사용료!$M$1208</f>
        <v>27168</v>
      </c>
      <c r="Q115" s="813"/>
      <c r="R115" s="188" t="s">
        <v>300</v>
      </c>
      <c r="S115" s="201">
        <f>O105</f>
        <v>4.32</v>
      </c>
      <c r="T115" s="188" t="s">
        <v>1582</v>
      </c>
      <c r="U115" s="203">
        <f>INT(P115/S115)</f>
        <v>6288</v>
      </c>
      <c r="V115" s="189" t="s">
        <v>289</v>
      </c>
      <c r="W115" s="189"/>
      <c r="X115" s="190"/>
      <c r="Z115" s="191"/>
      <c r="AA115" s="188" t="s">
        <v>246</v>
      </c>
      <c r="AB115" s="189" t="s">
        <v>1628</v>
      </c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90"/>
    </row>
    <row r="116" spans="2:39" ht="14.25" customHeight="1">
      <c r="B116" s="191"/>
      <c r="C116" s="210" t="s">
        <v>1633</v>
      </c>
      <c r="D116" s="813">
        <f>중기사용료!$M$442</f>
        <v>33896</v>
      </c>
      <c r="E116" s="813"/>
      <c r="F116" s="188" t="s">
        <v>300</v>
      </c>
      <c r="G116" s="201">
        <f>$C$109</f>
        <v>26.63</v>
      </c>
      <c r="H116" s="188" t="s">
        <v>1690</v>
      </c>
      <c r="I116" s="203" t="s">
        <v>1582</v>
      </c>
      <c r="J116" s="820">
        <f>TRUNC(D116/G116*10)</f>
        <v>12728</v>
      </c>
      <c r="K116" s="820"/>
      <c r="L116" s="190"/>
      <c r="N116" s="191"/>
      <c r="O116" s="210" t="s">
        <v>1633</v>
      </c>
      <c r="P116" s="813">
        <f>중기사용료!$M$1202</f>
        <v>40728</v>
      </c>
      <c r="Q116" s="813"/>
      <c r="R116" s="188" t="s">
        <v>300</v>
      </c>
      <c r="S116" s="201">
        <f>O105</f>
        <v>4.32</v>
      </c>
      <c r="T116" s="188" t="s">
        <v>1582</v>
      </c>
      <c r="U116" s="203">
        <f>INT(P116/S116)</f>
        <v>9427</v>
      </c>
      <c r="V116" s="189" t="s">
        <v>289</v>
      </c>
      <c r="W116" s="189"/>
      <c r="X116" s="190"/>
      <c r="Z116" s="191"/>
      <c r="AA116" s="189" t="s">
        <v>1631</v>
      </c>
      <c r="AB116" s="189" t="str">
        <f>" 60 × "&amp;AK98&amp;" × "&amp;AI114&amp;" / "&amp;AI113&amp;" ="</f>
        <v xml:space="preserve"> 60 × 400 × 0.9 / 27.05 =</v>
      </c>
      <c r="AC116" s="189"/>
      <c r="AD116" s="189"/>
      <c r="AE116" s="189"/>
      <c r="AF116" s="189"/>
      <c r="AG116" s="206">
        <f>TRUNC(60*AK98*AI114/AI113,2)</f>
        <v>798.52</v>
      </c>
      <c r="AH116" s="189" t="s">
        <v>1632</v>
      </c>
      <c r="AI116" s="189"/>
      <c r="AJ116" s="189"/>
      <c r="AK116" s="189"/>
      <c r="AL116" s="189"/>
      <c r="AM116" s="190"/>
    </row>
    <row r="117" spans="2:39" ht="14.25" customHeight="1">
      <c r="B117" s="191"/>
      <c r="C117" s="210"/>
      <c r="D117" s="203"/>
      <c r="E117" s="203"/>
      <c r="F117" s="188"/>
      <c r="G117" s="201"/>
      <c r="H117" s="188"/>
      <c r="I117" s="203"/>
      <c r="J117" s="560"/>
      <c r="K117" s="560"/>
      <c r="L117" s="190"/>
      <c r="N117" s="191"/>
      <c r="O117" s="210"/>
      <c r="P117" s="203"/>
      <c r="Q117" s="203"/>
      <c r="R117" s="188"/>
      <c r="S117" s="201"/>
      <c r="T117" s="188"/>
      <c r="U117" s="203"/>
      <c r="V117" s="189"/>
      <c r="W117" s="189"/>
      <c r="X117" s="190"/>
      <c r="Z117" s="191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90"/>
    </row>
    <row r="118" spans="2:39" ht="14.25" customHeight="1">
      <c r="B118" s="191"/>
      <c r="C118" s="210"/>
      <c r="D118" s="203"/>
      <c r="E118" s="203"/>
      <c r="F118" s="188"/>
      <c r="G118" s="201"/>
      <c r="H118" s="188"/>
      <c r="I118" s="203"/>
      <c r="J118" s="560"/>
      <c r="K118" s="560"/>
      <c r="L118" s="190"/>
      <c r="N118" s="191"/>
      <c r="O118" s="210"/>
      <c r="P118" s="203"/>
      <c r="Q118" s="203"/>
      <c r="R118" s="188"/>
      <c r="S118" s="201"/>
      <c r="T118" s="188"/>
      <c r="U118" s="203"/>
      <c r="V118" s="189"/>
      <c r="W118" s="189"/>
      <c r="X118" s="190"/>
      <c r="Z118" s="191"/>
      <c r="AA118" s="189"/>
      <c r="AB118" s="206">
        <f>AG116</f>
        <v>798.52</v>
      </c>
      <c r="AC118" s="189" t="s">
        <v>1632</v>
      </c>
      <c r="AD118" s="189"/>
      <c r="AE118" s="188" t="s">
        <v>300</v>
      </c>
      <c r="AF118" s="188">
        <f>AB100</f>
        <v>40</v>
      </c>
      <c r="AG118" s="189" t="s">
        <v>250</v>
      </c>
      <c r="AH118" s="188" t="s">
        <v>1582</v>
      </c>
      <c r="AI118" s="198">
        <f>TRUNC(AB118/AF118,2)</f>
        <v>19.96</v>
      </c>
      <c r="AJ118" s="210" t="s">
        <v>279</v>
      </c>
      <c r="AK118" s="189"/>
      <c r="AL118" s="189"/>
      <c r="AM118" s="190"/>
    </row>
    <row r="119" spans="2:39" ht="14.25" customHeight="1">
      <c r="B119" s="191"/>
      <c r="C119" s="189"/>
      <c r="D119" s="189"/>
      <c r="E119" s="189"/>
      <c r="F119" s="189"/>
      <c r="G119" s="189"/>
      <c r="H119" s="189"/>
      <c r="I119" s="189"/>
      <c r="J119" s="189"/>
      <c r="K119" s="189"/>
      <c r="L119" s="190"/>
      <c r="N119" s="191"/>
      <c r="O119" s="210"/>
      <c r="P119" s="203"/>
      <c r="Q119" s="203"/>
      <c r="R119" s="188"/>
      <c r="S119" s="201"/>
      <c r="T119" s="188"/>
      <c r="U119" s="203"/>
      <c r="V119" s="189"/>
      <c r="W119" s="189"/>
      <c r="X119" s="190"/>
      <c r="Z119" s="191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90"/>
    </row>
    <row r="120" spans="2:39" ht="14.25" customHeight="1">
      <c r="B120" s="216"/>
      <c r="C120" s="179"/>
      <c r="D120" s="179"/>
      <c r="E120" s="179"/>
      <c r="F120" s="179"/>
      <c r="G120" s="179"/>
      <c r="H120" s="179"/>
      <c r="I120" s="179"/>
      <c r="J120" s="179"/>
      <c r="K120" s="179"/>
      <c r="L120" s="217"/>
      <c r="N120" s="191"/>
      <c r="O120" s="210"/>
      <c r="P120" s="203"/>
      <c r="Q120" s="203"/>
      <c r="R120" s="188"/>
      <c r="S120" s="201"/>
      <c r="T120" s="188"/>
      <c r="U120" s="203"/>
      <c r="V120" s="189"/>
      <c r="W120" s="189"/>
      <c r="X120" s="190"/>
      <c r="Z120" s="191"/>
      <c r="AA120" s="189" t="s">
        <v>1636</v>
      </c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90"/>
    </row>
    <row r="121" spans="2:39" ht="14.25" customHeight="1">
      <c r="I121" s="189"/>
      <c r="J121" s="179"/>
      <c r="K121" s="179"/>
      <c r="L121" s="179"/>
      <c r="N121" s="191"/>
      <c r="O121" s="189"/>
      <c r="P121" s="189"/>
      <c r="Q121" s="189"/>
      <c r="R121" s="189"/>
      <c r="S121" s="189"/>
      <c r="T121" s="189"/>
      <c r="U121" s="189"/>
      <c r="V121" s="189"/>
      <c r="W121" s="189"/>
      <c r="X121" s="190"/>
      <c r="Z121" s="191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90"/>
    </row>
    <row r="122" spans="2:39" ht="14.25" customHeight="1">
      <c r="B122" s="180" t="str">
        <f>B98</f>
        <v xml:space="preserve">  □ 혼합기층공 </v>
      </c>
      <c r="C122" s="181"/>
      <c r="D122" s="181"/>
      <c r="E122" s="181" t="str">
        <f>E98</f>
        <v>(t=20cm)</v>
      </c>
      <c r="F122" s="181"/>
      <c r="G122" s="181"/>
      <c r="H122" s="181" t="s">
        <v>1691</v>
      </c>
      <c r="I122" s="181"/>
      <c r="J122" s="181"/>
      <c r="K122" s="181"/>
      <c r="L122" s="183"/>
      <c r="N122" s="585" t="s">
        <v>1635</v>
      </c>
      <c r="O122" s="586" t="s">
        <v>429</v>
      </c>
      <c r="P122" s="586"/>
      <c r="Q122" s="561"/>
      <c r="R122" s="561"/>
      <c r="S122" s="561"/>
      <c r="T122" s="561"/>
      <c r="U122" s="561"/>
      <c r="V122" s="561"/>
      <c r="W122" s="561"/>
      <c r="X122" s="564"/>
      <c r="Z122" s="191"/>
      <c r="AA122" s="822" t="s">
        <v>1642</v>
      </c>
      <c r="AB122" s="822"/>
      <c r="AC122" s="813">
        <f>중기사용료!$M$1252</f>
        <v>1684</v>
      </c>
      <c r="AD122" s="813"/>
      <c r="AE122" s="813"/>
      <c r="AF122" s="203" t="s">
        <v>300</v>
      </c>
      <c r="AG122" s="821" t="str">
        <f>AI118&amp;"×"&amp;(AI103+AI106)&amp;"/"&amp;AI113&amp;"="</f>
        <v>19.96×14.68/27.05=</v>
      </c>
      <c r="AH122" s="821"/>
      <c r="AI122" s="821"/>
      <c r="AJ122" s="821">
        <f>TRUNC(AC122/AI118*(AI103+AI106)/AI113)</f>
        <v>45</v>
      </c>
      <c r="AK122" s="821"/>
      <c r="AL122" s="596" t="s">
        <v>1643</v>
      </c>
      <c r="AM122" s="190"/>
    </row>
    <row r="123" spans="2:39" ht="14.25" customHeight="1">
      <c r="B123" s="191"/>
      <c r="C123" s="189"/>
      <c r="D123" s="189"/>
      <c r="E123" s="189"/>
      <c r="F123" s="189"/>
      <c r="G123" s="189"/>
      <c r="H123" s="189"/>
      <c r="I123" s="189"/>
      <c r="J123" s="189"/>
      <c r="K123" s="189"/>
      <c r="L123" s="192"/>
      <c r="N123" s="591"/>
      <c r="O123" s="592"/>
      <c r="P123" s="592"/>
      <c r="Q123" s="562"/>
      <c r="R123" s="562"/>
      <c r="S123" s="562"/>
      <c r="T123" s="562"/>
      <c r="U123" s="562"/>
      <c r="V123" s="562"/>
      <c r="W123" s="562"/>
      <c r="X123" s="568"/>
      <c r="Z123" s="191"/>
      <c r="AA123" s="559" t="s">
        <v>1644</v>
      </c>
      <c r="AB123" s="559"/>
      <c r="AC123" s="813">
        <f>중기사용료!$M$1246</f>
        <v>27168</v>
      </c>
      <c r="AD123" s="813"/>
      <c r="AE123" s="813"/>
      <c r="AF123" s="203" t="s">
        <v>300</v>
      </c>
      <c r="AG123" s="821">
        <f>AI118</f>
        <v>19.96</v>
      </c>
      <c r="AH123" s="821"/>
      <c r="AI123" s="203" t="s">
        <v>1582</v>
      </c>
      <c r="AJ123" s="813">
        <f>TRUNC(AC123/AG123)</f>
        <v>1361</v>
      </c>
      <c r="AK123" s="813"/>
      <c r="AL123" s="596" t="s">
        <v>1643</v>
      </c>
      <c r="AM123" s="190"/>
    </row>
    <row r="124" spans="2:39" ht="14.25" customHeight="1">
      <c r="B124" s="191"/>
      <c r="C124" s="189"/>
      <c r="D124" s="189"/>
      <c r="E124" s="189"/>
      <c r="F124" s="189"/>
      <c r="G124" s="189"/>
      <c r="H124" s="189"/>
      <c r="I124" s="189"/>
      <c r="J124" s="189"/>
      <c r="K124" s="189"/>
      <c r="L124" s="190"/>
      <c r="N124" s="587" t="s">
        <v>1638</v>
      </c>
      <c r="O124" s="211" t="s">
        <v>1639</v>
      </c>
      <c r="P124" s="211"/>
      <c r="Q124" s="189"/>
      <c r="R124" s="189"/>
      <c r="S124" s="189"/>
      <c r="T124" s="193"/>
      <c r="U124" s="188"/>
      <c r="V124" s="189"/>
      <c r="W124" s="189"/>
      <c r="X124" s="190"/>
      <c r="Z124" s="191"/>
      <c r="AA124" s="559" t="s">
        <v>1645</v>
      </c>
      <c r="AB124" s="559"/>
      <c r="AC124" s="813">
        <f>중기사용료!$M$1240</f>
        <v>689</v>
      </c>
      <c r="AD124" s="813"/>
      <c r="AE124" s="813"/>
      <c r="AF124" s="203" t="s">
        <v>300</v>
      </c>
      <c r="AG124" s="821">
        <f>AI118</f>
        <v>19.96</v>
      </c>
      <c r="AH124" s="821"/>
      <c r="AI124" s="203" t="s">
        <v>1582</v>
      </c>
      <c r="AJ124" s="813">
        <f>TRUNC(AC124/AG124)</f>
        <v>34</v>
      </c>
      <c r="AK124" s="813"/>
      <c r="AL124" s="596" t="s">
        <v>1643</v>
      </c>
      <c r="AM124" s="190"/>
    </row>
    <row r="125" spans="2:39" ht="14.25" customHeight="1">
      <c r="B125" s="194" t="s">
        <v>272</v>
      </c>
      <c r="C125" s="189" t="s">
        <v>1692</v>
      </c>
      <c r="D125" s="189"/>
      <c r="E125" s="189"/>
      <c r="G125" s="193" t="s">
        <v>255</v>
      </c>
      <c r="H125" s="234">
        <v>4</v>
      </c>
      <c r="I125" s="188"/>
      <c r="J125" s="189"/>
      <c r="K125" s="189"/>
      <c r="L125" s="190"/>
      <c r="N125" s="194" t="s">
        <v>272</v>
      </c>
      <c r="O125" s="189" t="s">
        <v>1641</v>
      </c>
      <c r="P125" s="189"/>
      <c r="Q125" s="189"/>
      <c r="T125" s="193" t="s">
        <v>255</v>
      </c>
      <c r="U125" s="195">
        <v>3</v>
      </c>
      <c r="V125" s="189"/>
      <c r="W125" s="189"/>
      <c r="X125" s="190"/>
      <c r="Z125" s="191"/>
      <c r="AA125" s="559"/>
      <c r="AB125" s="559"/>
      <c r="AC125" s="203"/>
      <c r="AD125" s="203"/>
      <c r="AE125" s="203"/>
      <c r="AF125" s="203"/>
      <c r="AG125" s="188"/>
      <c r="AH125" s="188"/>
      <c r="AI125" s="203"/>
      <c r="AJ125" s="203"/>
      <c r="AK125" s="203"/>
      <c r="AL125" s="596"/>
      <c r="AM125" s="190"/>
    </row>
    <row r="126" spans="2:39" ht="14.25" customHeight="1">
      <c r="B126" s="191"/>
      <c r="C126" s="189" t="s">
        <v>258</v>
      </c>
      <c r="D126" s="189"/>
      <c r="E126" s="189"/>
      <c r="G126" s="193"/>
      <c r="H126" s="234"/>
      <c r="I126" s="234"/>
      <c r="J126" s="189"/>
      <c r="K126" s="189"/>
      <c r="L126" s="190"/>
      <c r="N126" s="191"/>
      <c r="O126" s="189" t="s">
        <v>258</v>
      </c>
      <c r="P126" s="189"/>
      <c r="Q126" s="189"/>
      <c r="U126" s="202"/>
      <c r="V126" s="196"/>
      <c r="W126" s="189"/>
      <c r="X126" s="190"/>
      <c r="Z126" s="191"/>
      <c r="AA126" s="559"/>
      <c r="AB126" s="559"/>
      <c r="AC126" s="206"/>
      <c r="AD126" s="206"/>
      <c r="AE126" s="206"/>
      <c r="AF126" s="206"/>
      <c r="AG126" s="189"/>
      <c r="AH126" s="189"/>
      <c r="AI126" s="206"/>
      <c r="AJ126" s="206"/>
      <c r="AK126" s="206"/>
      <c r="AL126" s="206"/>
      <c r="AM126" s="190"/>
    </row>
    <row r="127" spans="2:39" ht="14.25" customHeight="1">
      <c r="B127" s="194" t="s">
        <v>1693</v>
      </c>
      <c r="C127" s="197" t="str">
        <f>"1,000×"&amp;H125&amp;"×"&amp;H127&amp;"×"&amp;H129&amp;"× 1 / "&amp;H131</f>
        <v>1,000×4×1.9×0.6× 1 / 1</v>
      </c>
      <c r="D127" s="189"/>
      <c r="E127" s="189"/>
      <c r="G127" s="193" t="s">
        <v>1694</v>
      </c>
      <c r="H127" s="235">
        <v>1.9</v>
      </c>
      <c r="I127" s="236"/>
      <c r="J127" s="196"/>
      <c r="K127" s="189"/>
      <c r="L127" s="190"/>
      <c r="N127" s="194" t="s">
        <v>263</v>
      </c>
      <c r="O127" s="197" t="str">
        <f>" 1,000×"&amp;U125&amp;"×"&amp;U127&amp;"×"&amp;U129&amp;"  / "&amp;U131</f>
        <v xml:space="preserve"> 1,000×3×0.8×0.35  / 4</v>
      </c>
      <c r="P127" s="189"/>
      <c r="Q127" s="189"/>
      <c r="T127" s="193" t="s">
        <v>260</v>
      </c>
      <c r="U127" s="195">
        <v>0.8</v>
      </c>
      <c r="V127" s="196"/>
      <c r="W127" s="189"/>
      <c r="X127" s="190"/>
      <c r="Z127" s="589" t="s">
        <v>3689</v>
      </c>
      <c r="AA127" s="586" t="s">
        <v>3690</v>
      </c>
      <c r="AB127" s="561"/>
      <c r="AC127" s="561"/>
      <c r="AD127" s="561"/>
      <c r="AE127" s="561"/>
      <c r="AF127" s="561"/>
      <c r="AG127" s="561"/>
      <c r="AH127" s="561"/>
      <c r="AI127" s="561"/>
      <c r="AJ127" s="561"/>
      <c r="AK127" s="561"/>
      <c r="AL127" s="561"/>
      <c r="AM127" s="564"/>
    </row>
    <row r="128" spans="2:39" ht="14.25" customHeight="1">
      <c r="B128" s="191"/>
      <c r="C128" s="189"/>
      <c r="D128" s="189"/>
      <c r="E128" s="189"/>
      <c r="G128" s="193"/>
      <c r="I128" s="188"/>
      <c r="J128" s="196"/>
      <c r="K128" s="189"/>
      <c r="L128" s="190"/>
      <c r="N128" s="191"/>
      <c r="O128" s="189"/>
      <c r="P128" s="189"/>
      <c r="Q128" s="189"/>
      <c r="U128" s="202"/>
      <c r="V128" s="188"/>
      <c r="W128" s="189"/>
      <c r="X128" s="190"/>
      <c r="Z128" s="191"/>
      <c r="AA128" s="189" t="s">
        <v>3300</v>
      </c>
      <c r="AB128" s="189"/>
      <c r="AC128" s="189"/>
      <c r="AD128" s="188">
        <v>0.6</v>
      </c>
      <c r="AE128" s="188" t="s">
        <v>1163</v>
      </c>
      <c r="AF128" s="188" t="s">
        <v>972</v>
      </c>
      <c r="AG128" s="232">
        <f>SUMIF('노임(2015)'!$B$4:$B$87,AA128,'노임(2015)'!$C$4:$C$87)+SUMIF('노임(2015)'!$E$4:$E$87,AA128,'노임(2015)'!$F$4:$F$87)</f>
        <v>126728</v>
      </c>
      <c r="AH128" s="233">
        <v>0.04</v>
      </c>
      <c r="AI128" s="188" t="s">
        <v>1582</v>
      </c>
      <c r="AJ128" s="813">
        <f>TRUNC(AD128*AG128*AH128)</f>
        <v>3041</v>
      </c>
      <c r="AK128" s="813"/>
      <c r="AL128" s="189" t="s">
        <v>1643</v>
      </c>
      <c r="AM128" s="190"/>
    </row>
    <row r="129" spans="2:39" ht="14.25" customHeight="1">
      <c r="B129" s="194" t="s">
        <v>1582</v>
      </c>
      <c r="C129" s="201">
        <f>TRUNC(1000*H125*H127*H129/H131,2)</f>
        <v>4560</v>
      </c>
      <c r="D129" s="189" t="s">
        <v>268</v>
      </c>
      <c r="E129" s="189"/>
      <c r="G129" s="193" t="s">
        <v>270</v>
      </c>
      <c r="H129" s="234">
        <v>0.6</v>
      </c>
      <c r="I129" s="188"/>
      <c r="J129" s="188"/>
      <c r="K129" s="188"/>
      <c r="L129" s="190"/>
      <c r="N129" s="194" t="s">
        <v>1582</v>
      </c>
      <c r="O129" s="198">
        <f>TRUNC(1000*U125*U127*U129/U131,2)</f>
        <v>210</v>
      </c>
      <c r="P129" s="189" t="s">
        <v>268</v>
      </c>
      <c r="Q129" s="189"/>
      <c r="T129" s="193" t="s">
        <v>270</v>
      </c>
      <c r="U129" s="200">
        <v>0.35</v>
      </c>
      <c r="W129" s="188"/>
      <c r="X129" s="190"/>
      <c r="Z129" s="191"/>
      <c r="AA129" s="189" t="s">
        <v>3301</v>
      </c>
      <c r="AB129" s="189"/>
      <c r="AC129" s="189"/>
      <c r="AD129" s="188">
        <v>1.7</v>
      </c>
      <c r="AE129" s="188" t="s">
        <v>1163</v>
      </c>
      <c r="AF129" s="188" t="s">
        <v>972</v>
      </c>
      <c r="AG129" s="232">
        <f>SUMIF('노임(2015)'!$B$4:$B$87,AA129,'노임(2015)'!$C$4:$C$87)+SUMIF('노임(2015)'!$E$4:$E$87,AA129,'노임(2015)'!$F$4:$F$87)</f>
        <v>89566</v>
      </c>
      <c r="AH129" s="233">
        <v>0.04</v>
      </c>
      <c r="AI129" s="188" t="s">
        <v>1582</v>
      </c>
      <c r="AJ129" s="813">
        <f>TRUNC(AD129*AG129*AH128)</f>
        <v>6090</v>
      </c>
      <c r="AK129" s="813"/>
      <c r="AL129" s="189" t="s">
        <v>1643</v>
      </c>
      <c r="AM129" s="190"/>
    </row>
    <row r="130" spans="2:39" ht="14.25" customHeight="1">
      <c r="B130" s="191"/>
      <c r="C130" s="189"/>
      <c r="D130" s="189"/>
      <c r="E130" s="189"/>
      <c r="G130" s="204"/>
      <c r="I130" s="234"/>
      <c r="K130" s="189"/>
      <c r="L130" s="190"/>
      <c r="N130" s="191"/>
      <c r="O130" s="189"/>
      <c r="P130" s="189"/>
      <c r="Q130" s="189"/>
      <c r="U130" s="202"/>
      <c r="V130" s="189"/>
      <c r="W130" s="189"/>
      <c r="X130" s="190"/>
      <c r="Z130" s="191"/>
      <c r="AA130" s="189"/>
      <c r="AB130" s="189"/>
      <c r="AC130" s="189"/>
      <c r="AD130" s="189"/>
      <c r="AE130" s="189"/>
      <c r="AF130" s="189"/>
      <c r="AG130" s="189"/>
      <c r="AH130" s="189"/>
      <c r="AI130" s="188" t="s">
        <v>1454</v>
      </c>
      <c r="AJ130" s="813">
        <f>SUM(AJ128:AK129)</f>
        <v>9131</v>
      </c>
      <c r="AK130" s="821"/>
      <c r="AL130" s="189" t="s">
        <v>1643</v>
      </c>
      <c r="AM130" s="190"/>
    </row>
    <row r="131" spans="2:39" ht="14.25" customHeight="1">
      <c r="B131" s="194" t="s">
        <v>1582</v>
      </c>
      <c r="C131" s="188">
        <f>C129/100</f>
        <v>45.6</v>
      </c>
      <c r="D131" s="189" t="s">
        <v>279</v>
      </c>
      <c r="E131" s="189"/>
      <c r="F131" s="189"/>
      <c r="G131" s="193" t="s">
        <v>1648</v>
      </c>
      <c r="H131" s="234">
        <v>1</v>
      </c>
      <c r="I131" s="189" t="s">
        <v>969</v>
      </c>
      <c r="J131" s="189"/>
      <c r="K131" s="189"/>
      <c r="L131" s="190"/>
      <c r="N131" s="194" t="s">
        <v>1582</v>
      </c>
      <c r="O131" s="203">
        <f>O129</f>
        <v>210</v>
      </c>
      <c r="P131" s="189" t="s">
        <v>1647</v>
      </c>
      <c r="Q131" s="189"/>
      <c r="R131" s="189"/>
      <c r="S131" s="189"/>
      <c r="T131" s="204" t="s">
        <v>1648</v>
      </c>
      <c r="U131" s="214">
        <v>4</v>
      </c>
      <c r="V131" s="189" t="s">
        <v>969</v>
      </c>
      <c r="W131" s="189"/>
      <c r="X131" s="190"/>
      <c r="Z131" s="191"/>
      <c r="AA131" s="189"/>
      <c r="AB131" s="189"/>
      <c r="AC131" s="189"/>
      <c r="AD131" s="189"/>
      <c r="AE131" s="189"/>
      <c r="AF131" s="189"/>
      <c r="AG131" s="189"/>
      <c r="AH131" s="189"/>
      <c r="AI131" s="188"/>
      <c r="AJ131" s="203"/>
      <c r="AK131" s="188"/>
      <c r="AL131" s="189"/>
      <c r="AM131" s="190"/>
    </row>
    <row r="132" spans="2:39" ht="14.25" customHeight="1">
      <c r="B132" s="191"/>
      <c r="C132" s="189"/>
      <c r="D132" s="189"/>
      <c r="E132" s="189"/>
      <c r="F132" s="189"/>
      <c r="G132" s="189"/>
      <c r="H132" s="189"/>
      <c r="I132" s="189"/>
      <c r="J132" s="189"/>
      <c r="K132" s="189"/>
      <c r="L132" s="190"/>
      <c r="N132" s="191"/>
      <c r="O132" s="189"/>
      <c r="P132" s="189"/>
      <c r="Q132" s="189"/>
      <c r="R132" s="189"/>
      <c r="S132" s="189"/>
      <c r="V132" s="189"/>
      <c r="W132" s="189"/>
      <c r="X132" s="190"/>
      <c r="Z132" s="191"/>
      <c r="AA132" s="189"/>
      <c r="AB132" s="189"/>
      <c r="AC132" s="189"/>
      <c r="AD132" s="189"/>
      <c r="AE132" s="189"/>
      <c r="AF132" s="189"/>
      <c r="AG132" s="189"/>
      <c r="AH132" s="189"/>
      <c r="AI132" s="188"/>
      <c r="AJ132" s="203"/>
      <c r="AK132" s="188"/>
      <c r="AL132" s="189"/>
      <c r="AM132" s="190"/>
    </row>
    <row r="133" spans="2:39" ht="14.25" customHeight="1">
      <c r="B133" s="191"/>
      <c r="C133" s="189"/>
      <c r="D133" s="189"/>
      <c r="E133" s="189"/>
      <c r="F133" s="189"/>
      <c r="G133" s="189"/>
      <c r="H133" s="189"/>
      <c r="I133" s="189"/>
      <c r="J133" s="189"/>
      <c r="K133" s="189"/>
      <c r="L133" s="190"/>
      <c r="N133" s="194" t="s">
        <v>1582</v>
      </c>
      <c r="O133" s="188">
        <f>O131/100</f>
        <v>2.1</v>
      </c>
      <c r="P133" s="210" t="s">
        <v>279</v>
      </c>
      <c r="Q133" s="189"/>
      <c r="R133" s="189"/>
      <c r="S133" s="189"/>
      <c r="T133" s="193"/>
      <c r="U133" s="188"/>
      <c r="V133" s="189"/>
      <c r="W133" s="189"/>
      <c r="X133" s="190"/>
      <c r="Z133" s="191"/>
      <c r="AA133" s="821" t="s">
        <v>1649</v>
      </c>
      <c r="AB133" s="821"/>
      <c r="AC133" s="189"/>
      <c r="AD133" s="189"/>
      <c r="AE133" s="189"/>
      <c r="AF133" s="189"/>
      <c r="AG133" s="189"/>
      <c r="AH133" s="189"/>
      <c r="AI133" s="188"/>
      <c r="AJ133" s="203"/>
      <c r="AK133" s="188"/>
      <c r="AL133" s="189"/>
      <c r="AM133" s="190"/>
    </row>
    <row r="134" spans="2:39" ht="14.25" customHeight="1">
      <c r="B134" s="191"/>
      <c r="C134" s="211" t="s">
        <v>1695</v>
      </c>
      <c r="D134" s="189"/>
      <c r="E134" s="189"/>
      <c r="F134" s="189"/>
      <c r="G134" s="189"/>
      <c r="H134" s="189"/>
      <c r="I134" s="189"/>
      <c r="J134" s="189"/>
      <c r="K134" s="189"/>
      <c r="L134" s="190"/>
      <c r="N134" s="191"/>
      <c r="P134" s="189"/>
      <c r="Q134" s="189"/>
      <c r="R134" s="189"/>
      <c r="S134" s="189"/>
      <c r="T134" s="193"/>
      <c r="U134" s="188"/>
      <c r="V134" s="189"/>
      <c r="W134" s="189"/>
      <c r="X134" s="190"/>
      <c r="Z134" s="191"/>
      <c r="AA134" s="821"/>
      <c r="AB134" s="821"/>
      <c r="AC134" s="189"/>
      <c r="AD134" s="189"/>
      <c r="AE134" s="189"/>
      <c r="AF134" s="189"/>
      <c r="AG134" s="189"/>
      <c r="AH134" s="189"/>
      <c r="AI134" s="188"/>
      <c r="AJ134" s="203"/>
      <c r="AK134" s="188"/>
      <c r="AL134" s="189"/>
      <c r="AM134" s="190"/>
    </row>
    <row r="135" spans="2:39" ht="14.25" customHeight="1">
      <c r="B135" s="191"/>
      <c r="C135" s="189"/>
      <c r="D135" s="189"/>
      <c r="E135" s="189"/>
      <c r="F135" s="189"/>
      <c r="G135" s="189"/>
      <c r="H135" s="189"/>
      <c r="I135" s="189"/>
      <c r="J135" s="189"/>
      <c r="K135" s="189"/>
      <c r="L135" s="190"/>
      <c r="N135" s="191"/>
      <c r="O135" s="189"/>
      <c r="P135" s="189"/>
      <c r="Q135" s="189"/>
      <c r="R135" s="189"/>
      <c r="S135" s="189"/>
      <c r="W135" s="189"/>
      <c r="X135" s="190"/>
      <c r="Z135" s="191"/>
      <c r="AA135" s="823" t="s">
        <v>1642</v>
      </c>
      <c r="AB135" s="823"/>
      <c r="AC135" s="813">
        <f>AJ122</f>
        <v>45</v>
      </c>
      <c r="AD135" s="813"/>
      <c r="AE135" s="813"/>
      <c r="AF135" s="189"/>
      <c r="AG135" s="189"/>
      <c r="AH135" s="189"/>
      <c r="AI135" s="188"/>
      <c r="AJ135" s="203"/>
      <c r="AK135" s="188"/>
      <c r="AL135" s="189"/>
      <c r="AM135" s="190"/>
    </row>
    <row r="136" spans="2:39" ht="14.25" customHeight="1">
      <c r="B136" s="191"/>
      <c r="C136" s="210" t="s">
        <v>288</v>
      </c>
      <c r="D136" s="813">
        <f>중기사용료!$M$758</f>
        <v>20870</v>
      </c>
      <c r="E136" s="813"/>
      <c r="F136" s="188" t="s">
        <v>300</v>
      </c>
      <c r="G136" s="201">
        <f>$C$131</f>
        <v>45.6</v>
      </c>
      <c r="H136" s="188" t="s">
        <v>1582</v>
      </c>
      <c r="I136" s="203">
        <f>TRUNC(D136/G136)</f>
        <v>457</v>
      </c>
      <c r="J136" s="189" t="s">
        <v>1696</v>
      </c>
      <c r="K136" s="189"/>
      <c r="L136" s="190"/>
      <c r="N136" s="191"/>
      <c r="O136" s="211" t="s">
        <v>284</v>
      </c>
      <c r="W136" s="189"/>
      <c r="X136" s="190"/>
      <c r="Z136" s="191"/>
      <c r="AA136" s="823"/>
      <c r="AB136" s="823"/>
      <c r="AC136" s="813"/>
      <c r="AD136" s="813"/>
      <c r="AE136" s="813"/>
      <c r="AF136" s="189"/>
      <c r="AG136" s="189"/>
      <c r="AH136" s="189"/>
      <c r="AI136" s="188"/>
      <c r="AJ136" s="203"/>
      <c r="AK136" s="188"/>
      <c r="AL136" s="189"/>
      <c r="AM136" s="190"/>
    </row>
    <row r="137" spans="2:39" ht="14.25" customHeight="1">
      <c r="B137" s="191"/>
      <c r="C137" s="210" t="s">
        <v>1630</v>
      </c>
      <c r="D137" s="813">
        <f>중기사용료!$M$752</f>
        <v>27168</v>
      </c>
      <c r="E137" s="813"/>
      <c r="F137" s="188" t="s">
        <v>300</v>
      </c>
      <c r="G137" s="201">
        <f>$C$131</f>
        <v>45.6</v>
      </c>
      <c r="H137" s="188" t="s">
        <v>1582</v>
      </c>
      <c r="I137" s="203">
        <f>TRUNC(D137/G137)</f>
        <v>595</v>
      </c>
      <c r="J137" s="189" t="s">
        <v>1696</v>
      </c>
      <c r="K137" s="189"/>
      <c r="L137" s="190"/>
      <c r="N137" s="191"/>
      <c r="O137" s="189"/>
      <c r="P137" s="203"/>
      <c r="R137" s="188"/>
      <c r="S137" s="212"/>
      <c r="T137" s="189"/>
      <c r="U137" s="203"/>
      <c r="V137" s="189"/>
      <c r="W137" s="189"/>
      <c r="X137" s="190"/>
      <c r="Z137" s="191"/>
      <c r="AA137" s="822" t="s">
        <v>1644</v>
      </c>
      <c r="AB137" s="822"/>
      <c r="AC137" s="813">
        <f>AJ123+AJ130</f>
        <v>10492</v>
      </c>
      <c r="AD137" s="813"/>
      <c r="AE137" s="813"/>
      <c r="AF137" s="189"/>
      <c r="AG137" s="189"/>
      <c r="AH137" s="189"/>
      <c r="AI137" s="188"/>
      <c r="AJ137" s="203"/>
      <c r="AK137" s="188"/>
      <c r="AL137" s="189"/>
      <c r="AM137" s="190"/>
    </row>
    <row r="138" spans="2:39" ht="14.25" customHeight="1">
      <c r="B138" s="191"/>
      <c r="C138" s="210" t="s">
        <v>1633</v>
      </c>
      <c r="D138" s="813">
        <f>중기사용료!$M$746</f>
        <v>22837</v>
      </c>
      <c r="E138" s="813"/>
      <c r="F138" s="188" t="s">
        <v>300</v>
      </c>
      <c r="G138" s="201">
        <f>$C$131</f>
        <v>45.6</v>
      </c>
      <c r="H138" s="188" t="s">
        <v>1582</v>
      </c>
      <c r="I138" s="203">
        <f>TRUNC(D138/G138)</f>
        <v>500</v>
      </c>
      <c r="J138" s="189" t="s">
        <v>1696</v>
      </c>
      <c r="K138" s="189"/>
      <c r="L138" s="190"/>
      <c r="N138" s="191"/>
      <c r="O138" s="210" t="s">
        <v>288</v>
      </c>
      <c r="P138" s="813">
        <f>중기사용료!$M$587</f>
        <v>9998</v>
      </c>
      <c r="Q138" s="813"/>
      <c r="R138" s="188" t="s">
        <v>300</v>
      </c>
      <c r="S138" s="201">
        <f>O133</f>
        <v>2.1</v>
      </c>
      <c r="T138" s="188" t="s">
        <v>1582</v>
      </c>
      <c r="U138" s="203">
        <f>INT(P138/S138)</f>
        <v>4760</v>
      </c>
      <c r="V138" s="189" t="s">
        <v>289</v>
      </c>
      <c r="W138" s="189"/>
      <c r="X138" s="190"/>
      <c r="Z138" s="191"/>
      <c r="AA138" s="822"/>
      <c r="AB138" s="822"/>
      <c r="AC138" s="813"/>
      <c r="AD138" s="813"/>
      <c r="AE138" s="813"/>
      <c r="AF138" s="189"/>
      <c r="AG138" s="189"/>
      <c r="AH138" s="189"/>
      <c r="AI138" s="188"/>
      <c r="AJ138" s="203"/>
      <c r="AK138" s="188"/>
      <c r="AL138" s="189"/>
      <c r="AM138" s="190"/>
    </row>
    <row r="139" spans="2:39" ht="14.25" customHeight="1">
      <c r="B139" s="191"/>
      <c r="C139" s="189"/>
      <c r="D139" s="189"/>
      <c r="E139" s="189"/>
      <c r="F139" s="189"/>
      <c r="G139" s="189"/>
      <c r="H139" s="189"/>
      <c r="J139" s="189"/>
      <c r="K139" s="189"/>
      <c r="L139" s="190"/>
      <c r="N139" s="191"/>
      <c r="O139" s="210" t="s">
        <v>1630</v>
      </c>
      <c r="P139" s="813">
        <f>중기사용료!$M$581</f>
        <v>27168</v>
      </c>
      <c r="Q139" s="813"/>
      <c r="R139" s="188" t="s">
        <v>300</v>
      </c>
      <c r="S139" s="201">
        <f>O133</f>
        <v>2.1</v>
      </c>
      <c r="T139" s="188" t="s">
        <v>1582</v>
      </c>
      <c r="U139" s="203">
        <f>INT(P139/S139)</f>
        <v>12937</v>
      </c>
      <c r="V139" s="189" t="s">
        <v>289</v>
      </c>
      <c r="W139" s="189"/>
      <c r="X139" s="190"/>
      <c r="Z139" s="191"/>
      <c r="AA139" s="822" t="s">
        <v>1645</v>
      </c>
      <c r="AB139" s="822"/>
      <c r="AC139" s="813">
        <f>AJ124</f>
        <v>34</v>
      </c>
      <c r="AD139" s="813"/>
      <c r="AE139" s="813"/>
      <c r="AF139" s="189"/>
      <c r="AG139" s="189"/>
      <c r="AH139" s="189"/>
      <c r="AI139" s="188"/>
      <c r="AJ139" s="203"/>
      <c r="AK139" s="188"/>
      <c r="AL139" s="189"/>
      <c r="AM139" s="190"/>
    </row>
    <row r="140" spans="2:39" ht="14.25" customHeight="1">
      <c r="B140" s="191"/>
      <c r="C140" s="189"/>
      <c r="D140" s="189"/>
      <c r="E140" s="189"/>
      <c r="F140" s="189"/>
      <c r="G140" s="189"/>
      <c r="H140" s="189"/>
      <c r="J140" s="189"/>
      <c r="K140" s="189"/>
      <c r="L140" s="190"/>
      <c r="N140" s="191"/>
      <c r="O140" s="210" t="s">
        <v>1633</v>
      </c>
      <c r="P140" s="813">
        <f>중기사용료!$M$575</f>
        <v>8783</v>
      </c>
      <c r="Q140" s="813"/>
      <c r="R140" s="188" t="s">
        <v>300</v>
      </c>
      <c r="S140" s="201">
        <f>O133</f>
        <v>2.1</v>
      </c>
      <c r="T140" s="188" t="s">
        <v>1582</v>
      </c>
      <c r="U140" s="203">
        <f>INT(P140/S140)</f>
        <v>4182</v>
      </c>
      <c r="V140" s="189" t="s">
        <v>289</v>
      </c>
      <c r="W140" s="189"/>
      <c r="X140" s="190"/>
      <c r="Z140" s="191"/>
      <c r="AA140" s="822"/>
      <c r="AB140" s="822"/>
      <c r="AC140" s="813"/>
      <c r="AD140" s="813"/>
      <c r="AE140" s="813"/>
      <c r="AF140" s="189"/>
      <c r="AG140" s="189"/>
      <c r="AH140" s="189"/>
      <c r="AI140" s="188" t="s">
        <v>1454</v>
      </c>
      <c r="AJ140" s="813">
        <f>SUM(AC135:AE140)</f>
        <v>10571</v>
      </c>
      <c r="AK140" s="813"/>
      <c r="AL140" s="189" t="s">
        <v>1643</v>
      </c>
      <c r="AM140" s="190"/>
    </row>
    <row r="141" spans="2:39" ht="14.25" customHeight="1">
      <c r="B141" s="191"/>
      <c r="C141" s="189"/>
      <c r="D141" s="189"/>
      <c r="E141" s="189"/>
      <c r="F141" s="189"/>
      <c r="G141" s="189"/>
      <c r="H141" s="189"/>
      <c r="J141" s="189"/>
      <c r="K141" s="189"/>
      <c r="L141" s="190"/>
      <c r="N141" s="191"/>
      <c r="O141" s="210"/>
      <c r="P141" s="203"/>
      <c r="Q141" s="203"/>
      <c r="R141" s="188"/>
      <c r="S141" s="201"/>
      <c r="T141" s="188"/>
      <c r="U141" s="203"/>
      <c r="V141" s="189"/>
      <c r="W141" s="189"/>
      <c r="X141" s="190"/>
      <c r="Z141" s="191"/>
      <c r="AA141" s="189"/>
      <c r="AB141" s="189"/>
      <c r="AC141" s="189"/>
      <c r="AD141" s="189"/>
      <c r="AE141" s="189"/>
      <c r="AF141" s="189"/>
      <c r="AG141" s="189"/>
      <c r="AH141" s="189"/>
      <c r="AI141" s="188"/>
      <c r="AJ141" s="203"/>
      <c r="AK141" s="188"/>
      <c r="AL141" s="189"/>
      <c r="AM141" s="190"/>
    </row>
    <row r="142" spans="2:39" ht="14.25" customHeight="1">
      <c r="B142" s="191"/>
      <c r="C142" s="189"/>
      <c r="D142" s="189"/>
      <c r="E142" s="189"/>
      <c r="F142" s="189"/>
      <c r="G142" s="189"/>
      <c r="H142" s="189"/>
      <c r="I142" s="189"/>
      <c r="J142" s="189"/>
      <c r="K142" s="189"/>
      <c r="L142" s="190"/>
      <c r="N142" s="191"/>
      <c r="O142" s="210"/>
      <c r="P142" s="203"/>
      <c r="Q142" s="203"/>
      <c r="R142" s="188"/>
      <c r="S142" s="201"/>
      <c r="T142" s="188"/>
      <c r="U142" s="203"/>
      <c r="V142" s="189"/>
      <c r="W142" s="189"/>
      <c r="X142" s="190"/>
      <c r="Z142" s="191"/>
      <c r="AA142" s="189"/>
      <c r="AB142" s="189"/>
      <c r="AC142" s="189"/>
      <c r="AD142" s="189"/>
      <c r="AE142" s="189"/>
      <c r="AF142" s="189"/>
      <c r="AG142" s="189"/>
      <c r="AH142" s="189"/>
      <c r="AI142" s="188"/>
      <c r="AJ142" s="203"/>
      <c r="AK142" s="188"/>
      <c r="AL142" s="189"/>
      <c r="AM142" s="190"/>
    </row>
    <row r="143" spans="2:39" ht="14.25" customHeight="1">
      <c r="B143" s="191"/>
      <c r="C143" s="189"/>
      <c r="D143" s="189"/>
      <c r="E143" s="189"/>
      <c r="F143" s="189"/>
      <c r="G143" s="189"/>
      <c r="H143" s="189"/>
      <c r="I143" s="189"/>
      <c r="J143" s="189"/>
      <c r="K143" s="189"/>
      <c r="L143" s="190"/>
      <c r="N143" s="191"/>
      <c r="O143" s="210"/>
      <c r="P143" s="203"/>
      <c r="Q143" s="203"/>
      <c r="R143" s="188"/>
      <c r="S143" s="201"/>
      <c r="T143" s="188"/>
      <c r="U143" s="203"/>
      <c r="V143" s="189"/>
      <c r="W143" s="189"/>
      <c r="X143" s="190"/>
      <c r="Z143" s="191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90"/>
    </row>
    <row r="144" spans="2:39" ht="14.25" customHeight="1">
      <c r="B144" s="216"/>
      <c r="C144" s="179"/>
      <c r="D144" s="179"/>
      <c r="E144" s="179"/>
      <c r="F144" s="179"/>
      <c r="G144" s="179"/>
      <c r="H144" s="179"/>
      <c r="I144" s="179"/>
      <c r="J144" s="179"/>
      <c r="K144" s="179"/>
      <c r="L144" s="217"/>
      <c r="N144" s="574"/>
      <c r="O144" s="575"/>
      <c r="P144" s="575"/>
      <c r="Q144" s="575"/>
      <c r="R144" s="575"/>
      <c r="S144" s="575"/>
      <c r="T144" s="575"/>
      <c r="U144" s="575"/>
      <c r="V144" s="575"/>
      <c r="W144" s="575"/>
      <c r="X144" s="576"/>
      <c r="Z144" s="216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217"/>
    </row>
    <row r="145" spans="2:39" ht="14.25" customHeight="1"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N145" s="593" t="s">
        <v>1651</v>
      </c>
      <c r="O145" s="594" t="s">
        <v>1652</v>
      </c>
      <c r="P145" s="594"/>
      <c r="Q145" s="571"/>
      <c r="R145" s="571"/>
      <c r="S145" s="571"/>
      <c r="T145" s="595"/>
      <c r="U145" s="573"/>
      <c r="V145" s="571"/>
      <c r="W145" s="571"/>
      <c r="X145" s="572"/>
    </row>
    <row r="146" spans="2:39" ht="14.25" customHeight="1">
      <c r="B146" s="180" t="str">
        <f>B122</f>
        <v xml:space="preserve">  □ 혼합기층공 </v>
      </c>
      <c r="C146" s="181"/>
      <c r="D146" s="181"/>
      <c r="E146" s="181" t="str">
        <f>E122</f>
        <v>(t=20cm)</v>
      </c>
      <c r="F146" s="181"/>
      <c r="G146" s="181" t="s">
        <v>1697</v>
      </c>
      <c r="H146" s="181"/>
      <c r="I146" s="181"/>
      <c r="J146" s="181"/>
      <c r="K146" s="181"/>
      <c r="L146" s="183"/>
      <c r="N146" s="587"/>
      <c r="O146" s="211"/>
      <c r="P146" s="211"/>
      <c r="Q146" s="189"/>
      <c r="R146" s="189"/>
      <c r="S146" s="189"/>
      <c r="T146" s="193"/>
      <c r="U146" s="188"/>
      <c r="V146" s="189"/>
      <c r="W146" s="189"/>
      <c r="X146" s="190"/>
      <c r="Z146" s="180" t="s">
        <v>1656</v>
      </c>
      <c r="AA146" s="181"/>
      <c r="AB146" s="181"/>
      <c r="AC146" s="181"/>
      <c r="AD146" s="181"/>
      <c r="AE146" s="181"/>
      <c r="AF146" s="181"/>
      <c r="AG146" s="181" t="s">
        <v>1301</v>
      </c>
      <c r="AH146" s="181"/>
      <c r="AI146" s="181"/>
      <c r="AJ146" s="181"/>
      <c r="AK146" s="185">
        <v>400</v>
      </c>
      <c r="AL146" s="181" t="s">
        <v>456</v>
      </c>
      <c r="AM146" s="183"/>
    </row>
    <row r="147" spans="2:39" ht="14.25" customHeight="1">
      <c r="B147" s="191"/>
      <c r="C147" s="189"/>
      <c r="D147" s="189"/>
      <c r="E147" s="189"/>
      <c r="F147" s="189"/>
      <c r="G147" s="189"/>
      <c r="H147" s="189"/>
      <c r="I147" s="189"/>
      <c r="J147" s="189"/>
      <c r="K147" s="189"/>
      <c r="L147" s="190"/>
      <c r="N147" s="194" t="s">
        <v>272</v>
      </c>
      <c r="O147" s="189" t="s">
        <v>1641</v>
      </c>
      <c r="P147" s="189"/>
      <c r="Q147" s="189"/>
      <c r="T147" s="193" t="s">
        <v>255</v>
      </c>
      <c r="U147" s="195">
        <v>4</v>
      </c>
      <c r="V147" s="189"/>
      <c r="W147" s="189"/>
      <c r="X147" s="190"/>
      <c r="Z147" s="186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92"/>
    </row>
    <row r="148" spans="2:39" ht="14.25" customHeight="1">
      <c r="B148" s="191"/>
      <c r="C148" s="189"/>
      <c r="D148" s="189"/>
      <c r="E148" s="189"/>
      <c r="F148" s="189"/>
      <c r="G148" s="189"/>
      <c r="H148" s="189"/>
      <c r="I148" s="189"/>
      <c r="J148" s="189"/>
      <c r="K148" s="189"/>
      <c r="L148" s="190"/>
      <c r="N148" s="191"/>
      <c r="O148" s="189" t="s">
        <v>258</v>
      </c>
      <c r="P148" s="189"/>
      <c r="Q148" s="189"/>
      <c r="R148" s="189"/>
      <c r="S148" s="189"/>
      <c r="T148" s="189"/>
      <c r="U148" s="213"/>
      <c r="V148" s="196"/>
      <c r="W148" s="189"/>
      <c r="X148" s="190"/>
      <c r="Z148" s="589" t="s">
        <v>3686</v>
      </c>
      <c r="AA148" s="586" t="s">
        <v>3688</v>
      </c>
      <c r="AB148" s="563">
        <v>75</v>
      </c>
      <c r="AC148" s="561" t="s">
        <v>250</v>
      </c>
      <c r="AD148" s="561"/>
      <c r="AE148" s="561"/>
      <c r="AF148" s="561"/>
      <c r="AG148" s="561"/>
      <c r="AH148" s="583" t="s">
        <v>251</v>
      </c>
      <c r="AI148" s="563">
        <f>AB148/100</f>
        <v>0.75</v>
      </c>
      <c r="AJ148" s="561" t="s">
        <v>252</v>
      </c>
      <c r="AK148" s="561"/>
      <c r="AL148" s="561"/>
      <c r="AM148" s="564"/>
    </row>
    <row r="149" spans="2:39" ht="14.25" customHeight="1">
      <c r="B149" s="194" t="s">
        <v>272</v>
      </c>
      <c r="C149" s="189" t="s">
        <v>1692</v>
      </c>
      <c r="D149" s="189"/>
      <c r="E149" s="189"/>
      <c r="F149" s="189"/>
      <c r="G149" s="193" t="s">
        <v>255</v>
      </c>
      <c r="H149" s="188">
        <v>2.5</v>
      </c>
      <c r="I149" s="188"/>
      <c r="J149" s="189"/>
      <c r="K149" s="189"/>
      <c r="L149" s="190"/>
      <c r="N149" s="194" t="s">
        <v>263</v>
      </c>
      <c r="O149" s="197" t="str">
        <f>" 1,000×"&amp;U147&amp;"×"&amp;U149&amp;"×"&amp;U151&amp;"  / "&amp;U153</f>
        <v xml:space="preserve"> 1,000×4×1.4×0.25  / 10</v>
      </c>
      <c r="P149" s="189"/>
      <c r="Q149" s="189"/>
      <c r="T149" s="193" t="s">
        <v>260</v>
      </c>
      <c r="U149" s="195">
        <v>1.4</v>
      </c>
      <c r="V149" s="188"/>
      <c r="W149" s="189"/>
      <c r="X149" s="190"/>
      <c r="Z149" s="191"/>
      <c r="AA149" s="189"/>
      <c r="AB149" s="189"/>
      <c r="AC149" s="189"/>
      <c r="AD149" s="189"/>
      <c r="AE149" s="189"/>
      <c r="AF149" s="189"/>
      <c r="AG149" s="189"/>
      <c r="AH149" s="193" t="s">
        <v>256</v>
      </c>
      <c r="AI149" s="188">
        <v>2.4</v>
      </c>
      <c r="AJ149" s="189" t="s">
        <v>257</v>
      </c>
      <c r="AK149" s="189"/>
      <c r="AL149" s="189"/>
      <c r="AM149" s="190"/>
    </row>
    <row r="150" spans="2:39" ht="14.25" customHeight="1">
      <c r="B150" s="191"/>
      <c r="C150" s="189" t="s">
        <v>258</v>
      </c>
      <c r="D150" s="189"/>
      <c r="E150" s="189"/>
      <c r="F150" s="189"/>
      <c r="G150" s="193"/>
      <c r="H150" s="188"/>
      <c r="I150" s="188"/>
      <c r="J150" s="189"/>
      <c r="K150" s="189"/>
      <c r="L150" s="190"/>
      <c r="N150" s="194"/>
      <c r="O150" s="197"/>
      <c r="P150" s="189"/>
      <c r="Q150" s="189"/>
      <c r="T150" s="193"/>
      <c r="U150" s="195"/>
      <c r="V150" s="188"/>
      <c r="W150" s="189"/>
      <c r="X150" s="190"/>
      <c r="Z150" s="191"/>
      <c r="AA150" s="188" t="s">
        <v>255</v>
      </c>
      <c r="AB150" s="189" t="s">
        <v>261</v>
      </c>
      <c r="AC150" s="189"/>
      <c r="AD150" s="189"/>
      <c r="AE150" s="189"/>
      <c r="AF150" s="189"/>
      <c r="AG150" s="189"/>
      <c r="AH150" s="193" t="s">
        <v>1706</v>
      </c>
      <c r="AI150" s="188">
        <v>2.37</v>
      </c>
      <c r="AJ150" s="189" t="s">
        <v>241</v>
      </c>
      <c r="AK150" s="189" t="s">
        <v>262</v>
      </c>
      <c r="AL150" s="189"/>
      <c r="AM150" s="190"/>
    </row>
    <row r="151" spans="2:39" ht="14.25" customHeight="1">
      <c r="B151" s="194" t="s">
        <v>1693</v>
      </c>
      <c r="C151" s="197" t="str">
        <f>"1,000×"&amp;H149&amp;"×"&amp;H151&amp;"×"&amp;H153&amp;"× 1 / "&amp;H155</f>
        <v>1,000×2.5×1.8×0.4× 1 / 1</v>
      </c>
      <c r="D151" s="189"/>
      <c r="E151" s="189"/>
      <c r="F151" s="189"/>
      <c r="G151" s="193" t="s">
        <v>1694</v>
      </c>
      <c r="H151" s="201">
        <v>1.8</v>
      </c>
      <c r="I151" s="203"/>
      <c r="J151" s="196"/>
      <c r="K151" s="189"/>
      <c r="L151" s="190"/>
      <c r="N151" s="194" t="s">
        <v>1582</v>
      </c>
      <c r="O151" s="198">
        <f>TRUNC(1000*U147*U149*U151/U153,2)</f>
        <v>140</v>
      </c>
      <c r="P151" s="189" t="s">
        <v>268</v>
      </c>
      <c r="Q151" s="189"/>
      <c r="T151" s="193" t="s">
        <v>270</v>
      </c>
      <c r="U151" s="200">
        <v>0.25</v>
      </c>
      <c r="W151" s="188"/>
      <c r="X151" s="190"/>
      <c r="Z151" s="191"/>
      <c r="AA151" s="189"/>
      <c r="AB151" s="189"/>
      <c r="AC151" s="189"/>
      <c r="AD151" s="189"/>
      <c r="AE151" s="189"/>
      <c r="AF151" s="189"/>
      <c r="AG151" s="189"/>
      <c r="AH151" s="193" t="s">
        <v>2110</v>
      </c>
      <c r="AI151" s="188">
        <f>AI152/AK152*AI153*AK153</f>
        <v>2</v>
      </c>
      <c r="AJ151" s="189" t="s">
        <v>241</v>
      </c>
      <c r="AK151" s="189"/>
      <c r="AL151" s="189"/>
      <c r="AM151" s="190"/>
    </row>
    <row r="152" spans="2:39" ht="14.25" customHeight="1">
      <c r="B152" s="191"/>
      <c r="C152" s="189"/>
      <c r="D152" s="189"/>
      <c r="E152" s="189"/>
      <c r="F152" s="189"/>
      <c r="G152" s="193"/>
      <c r="H152" s="189"/>
      <c r="I152" s="188"/>
      <c r="J152" s="196"/>
      <c r="K152" s="189"/>
      <c r="L152" s="190"/>
      <c r="N152" s="191"/>
      <c r="O152" s="189"/>
      <c r="P152" s="189"/>
      <c r="Q152" s="189"/>
      <c r="U152" s="202"/>
      <c r="V152" s="189"/>
      <c r="W152" s="189"/>
      <c r="X152" s="190"/>
      <c r="Z152" s="191"/>
      <c r="AA152" s="188" t="s">
        <v>246</v>
      </c>
      <c r="AB152" s="188">
        <v>35</v>
      </c>
      <c r="AC152" s="189" t="s">
        <v>972</v>
      </c>
      <c r="AD152" s="188">
        <f>AI162</f>
        <v>0.9</v>
      </c>
      <c r="AE152" s="188" t="s">
        <v>1582</v>
      </c>
      <c r="AF152" s="188">
        <f>AB152*AD152</f>
        <v>31.5</v>
      </c>
      <c r="AG152" s="189"/>
      <c r="AH152" s="193" t="s">
        <v>2111</v>
      </c>
      <c r="AI152" s="188">
        <v>0.05</v>
      </c>
      <c r="AJ152" s="188" t="s">
        <v>300</v>
      </c>
      <c r="AK152" s="188">
        <v>3</v>
      </c>
      <c r="AL152" s="189" t="s">
        <v>2112</v>
      </c>
      <c r="AM152" s="190"/>
    </row>
    <row r="153" spans="2:39" ht="14.25" customHeight="1">
      <c r="B153" s="194" t="s">
        <v>1582</v>
      </c>
      <c r="C153" s="201">
        <f>TRUNC(1000*H149*H151*H153/H155,2)</f>
        <v>1800</v>
      </c>
      <c r="D153" s="189" t="s">
        <v>268</v>
      </c>
      <c r="E153" s="189"/>
      <c r="F153" s="189"/>
      <c r="G153" s="193" t="s">
        <v>270</v>
      </c>
      <c r="H153" s="188">
        <v>0.4</v>
      </c>
      <c r="I153" s="188"/>
      <c r="J153" s="188"/>
      <c r="K153" s="188"/>
      <c r="L153" s="190"/>
      <c r="N153" s="194" t="s">
        <v>1582</v>
      </c>
      <c r="O153" s="203">
        <f>O151</f>
        <v>140</v>
      </c>
      <c r="P153" s="189" t="s">
        <v>1647</v>
      </c>
      <c r="Q153" s="189"/>
      <c r="R153" s="189"/>
      <c r="S153" s="189"/>
      <c r="T153" s="204" t="s">
        <v>1648</v>
      </c>
      <c r="U153" s="214">
        <v>10</v>
      </c>
      <c r="V153" s="189" t="s">
        <v>969</v>
      </c>
      <c r="W153" s="189"/>
      <c r="X153" s="190"/>
      <c r="Z153" s="191"/>
      <c r="AA153" s="189"/>
      <c r="AB153" s="189"/>
      <c r="AC153" s="189"/>
      <c r="AD153" s="189"/>
      <c r="AE153" s="189"/>
      <c r="AF153" s="189"/>
      <c r="AG153" s="189"/>
      <c r="AH153" s="193" t="s">
        <v>972</v>
      </c>
      <c r="AI153" s="188">
        <v>2</v>
      </c>
      <c r="AJ153" s="188" t="s">
        <v>972</v>
      </c>
      <c r="AK153" s="188">
        <v>60</v>
      </c>
      <c r="AL153" s="189" t="str">
        <f>"=  "&amp;AI152/AK152*AI153*AK153</f>
        <v>=  2</v>
      </c>
      <c r="AM153" s="190"/>
    </row>
    <row r="154" spans="2:39" ht="14.25" customHeight="1">
      <c r="B154" s="191"/>
      <c r="C154" s="189"/>
      <c r="D154" s="189"/>
      <c r="E154" s="189"/>
      <c r="F154" s="189"/>
      <c r="G154" s="193"/>
      <c r="H154" s="189"/>
      <c r="I154" s="188"/>
      <c r="J154" s="189"/>
      <c r="K154" s="189"/>
      <c r="L154" s="190"/>
      <c r="N154" s="191"/>
      <c r="O154" s="189"/>
      <c r="P154" s="189"/>
      <c r="Q154" s="189"/>
      <c r="R154" s="189"/>
      <c r="S154" s="189"/>
      <c r="V154" s="189"/>
      <c r="W154" s="189"/>
      <c r="X154" s="190"/>
      <c r="Z154" s="191"/>
      <c r="AA154" s="188" t="s">
        <v>255</v>
      </c>
      <c r="AB154" s="189" t="str">
        <f>AF152&amp;" / "&amp;AI148&amp;" × "&amp;AI149</f>
        <v>31.5 / 0.75 × 2.4</v>
      </c>
      <c r="AC154" s="189"/>
      <c r="AD154" s="189"/>
      <c r="AE154" s="189"/>
      <c r="AF154" s="189"/>
      <c r="AG154" s="189"/>
      <c r="AH154" s="193" t="s">
        <v>2113</v>
      </c>
      <c r="AI154" s="188">
        <f>TRUNC(AI158,2)</f>
        <v>12.68</v>
      </c>
      <c r="AJ154" s="189" t="s">
        <v>271</v>
      </c>
      <c r="AK154" s="189"/>
      <c r="AL154" s="189"/>
      <c r="AM154" s="190"/>
    </row>
    <row r="155" spans="2:39" ht="14.25" customHeight="1">
      <c r="B155" s="194" t="s">
        <v>1582</v>
      </c>
      <c r="C155" s="188">
        <f>C153/100</f>
        <v>18</v>
      </c>
      <c r="D155" s="189" t="s">
        <v>279</v>
      </c>
      <c r="E155" s="189"/>
      <c r="F155" s="189"/>
      <c r="G155" s="193" t="s">
        <v>1648</v>
      </c>
      <c r="H155" s="188">
        <v>1</v>
      </c>
      <c r="I155" s="189" t="s">
        <v>969</v>
      </c>
      <c r="J155" s="189"/>
      <c r="K155" s="189"/>
      <c r="L155" s="190"/>
      <c r="N155" s="194" t="s">
        <v>1582</v>
      </c>
      <c r="O155" s="188">
        <f>O153/100</f>
        <v>1.4</v>
      </c>
      <c r="P155" s="210" t="s">
        <v>279</v>
      </c>
      <c r="Q155" s="189"/>
      <c r="R155" s="189"/>
      <c r="S155" s="189"/>
      <c r="T155" s="193"/>
      <c r="U155" s="188"/>
      <c r="V155" s="189"/>
      <c r="W155" s="189"/>
      <c r="X155" s="190"/>
      <c r="Z155" s="191"/>
      <c r="AA155" s="189"/>
      <c r="AB155" s="189"/>
      <c r="AC155" s="189"/>
      <c r="AD155" s="189"/>
      <c r="AE155" s="189"/>
      <c r="AF155" s="189"/>
      <c r="AG155" s="189"/>
      <c r="AH155" s="193"/>
      <c r="AI155" s="206">
        <f>AK146</f>
        <v>400</v>
      </c>
      <c r="AJ155" s="189" t="s">
        <v>300</v>
      </c>
      <c r="AK155" s="189" t="str">
        <f>"("&amp;AI148&amp;"×"&amp;AI149&amp;")"</f>
        <v>(0.75×2.4)</v>
      </c>
      <c r="AL155" s="189"/>
      <c r="AM155" s="190"/>
    </row>
    <row r="156" spans="2:39" ht="14.25" customHeight="1">
      <c r="B156" s="191"/>
      <c r="C156" s="189"/>
      <c r="D156" s="189"/>
      <c r="E156" s="189"/>
      <c r="F156" s="189"/>
      <c r="G156" s="189"/>
      <c r="H156" s="189"/>
      <c r="I156" s="189"/>
      <c r="J156" s="189"/>
      <c r="K156" s="189"/>
      <c r="L156" s="190"/>
      <c r="N156" s="191"/>
      <c r="P156" s="189"/>
      <c r="Q156" s="189"/>
      <c r="R156" s="189"/>
      <c r="S156" s="189"/>
      <c r="T156" s="193"/>
      <c r="U156" s="188"/>
      <c r="V156" s="189"/>
      <c r="W156" s="189"/>
      <c r="X156" s="190"/>
      <c r="Z156" s="191"/>
      <c r="AA156" s="188" t="s">
        <v>276</v>
      </c>
      <c r="AB156" s="198">
        <f>TRUNC(AF152/(AI148*AI149),2)</f>
        <v>17.5</v>
      </c>
      <c r="AC156" s="189" t="s">
        <v>277</v>
      </c>
      <c r="AD156" s="189"/>
      <c r="AE156" s="189"/>
      <c r="AF156" s="189"/>
      <c r="AG156" s="189"/>
      <c r="AH156" s="193" t="s">
        <v>1582</v>
      </c>
      <c r="AI156" s="206">
        <f>TRUNC(AK146/(AI148*AI149))</f>
        <v>222</v>
      </c>
      <c r="AJ156" s="189" t="s">
        <v>278</v>
      </c>
      <c r="AK156" s="189"/>
      <c r="AL156" s="189"/>
      <c r="AM156" s="190"/>
    </row>
    <row r="157" spans="2:39" ht="14.25" customHeight="1">
      <c r="B157" s="191"/>
      <c r="C157" s="189"/>
      <c r="D157" s="189"/>
      <c r="E157" s="189"/>
      <c r="F157" s="189"/>
      <c r="G157" s="189"/>
      <c r="H157" s="189"/>
      <c r="I157" s="189"/>
      <c r="J157" s="189"/>
      <c r="K157" s="189"/>
      <c r="L157" s="190"/>
      <c r="N157" s="191"/>
      <c r="O157" s="211" t="s">
        <v>284</v>
      </c>
      <c r="W157" s="189"/>
      <c r="X157" s="190"/>
      <c r="Z157" s="191"/>
      <c r="AA157" s="189"/>
      <c r="AB157" s="189"/>
      <c r="AC157" s="189"/>
      <c r="AD157" s="189"/>
      <c r="AE157" s="189"/>
      <c r="AF157" s="189"/>
      <c r="AG157" s="189"/>
      <c r="AH157" s="193" t="s">
        <v>1601</v>
      </c>
      <c r="AI157" s="206">
        <f>AI156</f>
        <v>222</v>
      </c>
      <c r="AJ157" s="189" t="s">
        <v>300</v>
      </c>
      <c r="AK157" s="188">
        <f>AB156</f>
        <v>17.5</v>
      </c>
      <c r="AL157" s="189" t="s">
        <v>281</v>
      </c>
      <c r="AM157" s="190"/>
    </row>
    <row r="158" spans="2:39" ht="14.25" customHeight="1">
      <c r="B158" s="191"/>
      <c r="C158" s="211" t="s">
        <v>1695</v>
      </c>
      <c r="D158" s="189"/>
      <c r="E158" s="189"/>
      <c r="F158" s="189"/>
      <c r="G158" s="189"/>
      <c r="H158" s="189"/>
      <c r="I158" s="189"/>
      <c r="J158" s="189"/>
      <c r="K158" s="189"/>
      <c r="L158" s="190"/>
      <c r="N158" s="191"/>
      <c r="O158" s="189"/>
      <c r="P158" s="203"/>
      <c r="R158" s="188"/>
      <c r="S158" s="212"/>
      <c r="T158" s="189"/>
      <c r="U158" s="203"/>
      <c r="V158" s="189"/>
      <c r="W158" s="189"/>
      <c r="X158" s="190"/>
      <c r="Z158" s="191"/>
      <c r="AA158" s="189"/>
      <c r="AB158" s="189"/>
      <c r="AC158" s="189"/>
      <c r="AD158" s="189"/>
      <c r="AE158" s="189"/>
      <c r="AF158" s="189"/>
      <c r="AG158" s="189"/>
      <c r="AH158" s="193" t="s">
        <v>1582</v>
      </c>
      <c r="AI158" s="189">
        <f>AI157/AK157</f>
        <v>12.685714285714285</v>
      </c>
      <c r="AJ158" s="189" t="s">
        <v>283</v>
      </c>
      <c r="AK158" s="189"/>
      <c r="AL158" s="189"/>
      <c r="AM158" s="190"/>
    </row>
    <row r="159" spans="2:39" ht="14.25" customHeight="1">
      <c r="B159" s="191"/>
      <c r="C159" s="189"/>
      <c r="D159" s="189"/>
      <c r="E159" s="189"/>
      <c r="F159" s="189"/>
      <c r="G159" s="189"/>
      <c r="H159" s="189"/>
      <c r="I159" s="189"/>
      <c r="J159" s="189"/>
      <c r="K159" s="189"/>
      <c r="L159" s="190"/>
      <c r="N159" s="191"/>
      <c r="O159" s="210" t="s">
        <v>288</v>
      </c>
      <c r="P159" s="813">
        <f>중기사용료!$M$777</f>
        <v>10970</v>
      </c>
      <c r="Q159" s="813"/>
      <c r="R159" s="188" t="s">
        <v>300</v>
      </c>
      <c r="S159" s="201">
        <f>O155</f>
        <v>1.4</v>
      </c>
      <c r="T159" s="188" t="s">
        <v>1582</v>
      </c>
      <c r="U159" s="203">
        <f>INT(P159/S159)</f>
        <v>7835</v>
      </c>
      <c r="V159" s="189" t="s">
        <v>289</v>
      </c>
      <c r="W159" s="189"/>
      <c r="X159" s="190"/>
      <c r="Z159" s="191"/>
      <c r="AA159" s="189"/>
      <c r="AB159" s="189"/>
      <c r="AC159" s="189"/>
      <c r="AD159" s="189"/>
      <c r="AE159" s="189"/>
      <c r="AF159" s="189"/>
      <c r="AG159" s="189"/>
      <c r="AH159" s="193" t="s">
        <v>2114</v>
      </c>
      <c r="AI159" s="188">
        <v>10</v>
      </c>
      <c r="AJ159" s="189" t="s">
        <v>241</v>
      </c>
      <c r="AK159" s="189"/>
      <c r="AL159" s="189"/>
      <c r="AM159" s="190"/>
    </row>
    <row r="160" spans="2:39" ht="14.25" customHeight="1">
      <c r="B160" s="191"/>
      <c r="C160" s="210" t="s">
        <v>288</v>
      </c>
      <c r="D160" s="813">
        <f>중기사용료!$M$777</f>
        <v>10970</v>
      </c>
      <c r="E160" s="813"/>
      <c r="F160" s="188" t="s">
        <v>300</v>
      </c>
      <c r="G160" s="201">
        <f>C155</f>
        <v>18</v>
      </c>
      <c r="H160" s="188" t="s">
        <v>1582</v>
      </c>
      <c r="I160" s="203">
        <f>TRUNC(D160/G160)</f>
        <v>609</v>
      </c>
      <c r="J160" s="189" t="s">
        <v>1696</v>
      </c>
      <c r="K160" s="189"/>
      <c r="L160" s="190"/>
      <c r="N160" s="191"/>
      <c r="O160" s="210" t="s">
        <v>1630</v>
      </c>
      <c r="P160" s="813">
        <f>중기사용료!$M$771</f>
        <v>27168</v>
      </c>
      <c r="Q160" s="813"/>
      <c r="R160" s="188" t="s">
        <v>300</v>
      </c>
      <c r="S160" s="201">
        <f>O155</f>
        <v>1.4</v>
      </c>
      <c r="T160" s="188" t="s">
        <v>1582</v>
      </c>
      <c r="U160" s="203">
        <f>INT(P160/S160)</f>
        <v>19405</v>
      </c>
      <c r="V160" s="189" t="s">
        <v>289</v>
      </c>
      <c r="W160" s="189"/>
      <c r="X160" s="190"/>
      <c r="Z160" s="191"/>
      <c r="AA160" s="189"/>
      <c r="AB160" s="189"/>
      <c r="AC160" s="189"/>
      <c r="AD160" s="189"/>
      <c r="AE160" s="189"/>
      <c r="AF160" s="189"/>
      <c r="AG160" s="189"/>
      <c r="AH160" s="193" t="s">
        <v>240</v>
      </c>
      <c r="AI160" s="189" t="str">
        <f>AI150&amp;"+"&amp;AI151&amp;"+"&amp;AI154&amp;"+"&amp;AI159</f>
        <v>2.37+2+12.68+10</v>
      </c>
      <c r="AJ160" s="189"/>
      <c r="AK160" s="189"/>
      <c r="AL160" s="189"/>
      <c r="AM160" s="190"/>
    </row>
    <row r="161" spans="2:39" ht="14.25" customHeight="1">
      <c r="B161" s="191"/>
      <c r="C161" s="210" t="s">
        <v>1630</v>
      </c>
      <c r="D161" s="813">
        <f>중기사용료!$M$771</f>
        <v>27168</v>
      </c>
      <c r="E161" s="813"/>
      <c r="F161" s="188" t="s">
        <v>300</v>
      </c>
      <c r="G161" s="201">
        <f>C155</f>
        <v>18</v>
      </c>
      <c r="H161" s="188" t="s">
        <v>1582</v>
      </c>
      <c r="I161" s="203">
        <f>TRUNC(D161/G161)</f>
        <v>1509</v>
      </c>
      <c r="J161" s="189" t="s">
        <v>1696</v>
      </c>
      <c r="K161" s="189"/>
      <c r="L161" s="190"/>
      <c r="N161" s="191"/>
      <c r="O161" s="210" t="s">
        <v>1633</v>
      </c>
      <c r="P161" s="813">
        <f>중기사용료!$M$765</f>
        <v>15334</v>
      </c>
      <c r="Q161" s="813"/>
      <c r="R161" s="188" t="s">
        <v>300</v>
      </c>
      <c r="S161" s="201">
        <f>O155</f>
        <v>1.4</v>
      </c>
      <c r="T161" s="188" t="s">
        <v>1582</v>
      </c>
      <c r="U161" s="203">
        <f>INT(P161/S161)</f>
        <v>10952</v>
      </c>
      <c r="V161" s="189" t="s">
        <v>289</v>
      </c>
      <c r="W161" s="189"/>
      <c r="X161" s="190"/>
      <c r="Z161" s="191"/>
      <c r="AA161" s="189" t="s">
        <v>285</v>
      </c>
      <c r="AB161" s="189"/>
      <c r="AC161" s="189"/>
      <c r="AD161" s="189"/>
      <c r="AE161" s="189"/>
      <c r="AF161" s="189"/>
      <c r="AG161" s="189"/>
      <c r="AH161" s="193" t="s">
        <v>1582</v>
      </c>
      <c r="AI161" s="188">
        <f>AI150+AI151+AI154+AI159</f>
        <v>27.05</v>
      </c>
      <c r="AJ161" s="189" t="s">
        <v>241</v>
      </c>
      <c r="AK161" s="189"/>
      <c r="AL161" s="189"/>
      <c r="AM161" s="190"/>
    </row>
    <row r="162" spans="2:39" ht="14.25" customHeight="1">
      <c r="B162" s="191"/>
      <c r="C162" s="210" t="s">
        <v>1633</v>
      </c>
      <c r="D162" s="813">
        <f>중기사용료!$M$765</f>
        <v>15334</v>
      </c>
      <c r="E162" s="813"/>
      <c r="F162" s="188" t="s">
        <v>300</v>
      </c>
      <c r="G162" s="201">
        <f>C155</f>
        <v>18</v>
      </c>
      <c r="H162" s="188" t="s">
        <v>1582</v>
      </c>
      <c r="I162" s="203">
        <f>TRUNC(D162/G162)</f>
        <v>851</v>
      </c>
      <c r="J162" s="189" t="s">
        <v>1696</v>
      </c>
      <c r="K162" s="189"/>
      <c r="L162" s="190"/>
      <c r="N162" s="191"/>
      <c r="O162" s="210"/>
      <c r="P162" s="203"/>
      <c r="Q162" s="203"/>
      <c r="R162" s="188"/>
      <c r="S162" s="201"/>
      <c r="T162" s="188"/>
      <c r="U162" s="203"/>
      <c r="V162" s="189"/>
      <c r="W162" s="189"/>
      <c r="X162" s="190"/>
      <c r="Z162" s="191"/>
      <c r="AA162" s="189"/>
      <c r="AB162" s="189"/>
      <c r="AC162" s="189"/>
      <c r="AD162" s="189"/>
      <c r="AE162" s="189"/>
      <c r="AF162" s="189"/>
      <c r="AG162" s="189"/>
      <c r="AH162" s="193" t="s">
        <v>270</v>
      </c>
      <c r="AI162" s="188">
        <v>0.9</v>
      </c>
      <c r="AJ162" s="189"/>
      <c r="AK162" s="189"/>
      <c r="AL162" s="189"/>
      <c r="AM162" s="190"/>
    </row>
    <row r="163" spans="2:39" ht="14.25" customHeight="1">
      <c r="B163" s="191"/>
      <c r="C163" s="189"/>
      <c r="D163" s="189"/>
      <c r="E163" s="189"/>
      <c r="F163" s="189"/>
      <c r="G163" s="189"/>
      <c r="H163" s="189"/>
      <c r="I163" s="189"/>
      <c r="J163" s="189"/>
      <c r="K163" s="189"/>
      <c r="L163" s="190"/>
      <c r="N163" s="587" t="s">
        <v>1658</v>
      </c>
      <c r="O163" s="211" t="s">
        <v>1659</v>
      </c>
      <c r="P163" s="211"/>
      <c r="Q163" s="189"/>
      <c r="R163" s="189"/>
      <c r="S163" s="189"/>
      <c r="T163" s="193"/>
      <c r="U163" s="188"/>
      <c r="V163" s="189"/>
      <c r="W163" s="189"/>
      <c r="X163" s="190"/>
      <c r="Z163" s="191"/>
      <c r="AA163" s="188" t="s">
        <v>246</v>
      </c>
      <c r="AB163" s="189" t="s">
        <v>1628</v>
      </c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90"/>
    </row>
    <row r="164" spans="2:39" ht="14.25" customHeight="1">
      <c r="B164" s="191"/>
      <c r="C164" s="189"/>
      <c r="D164" s="189"/>
      <c r="E164" s="189"/>
      <c r="F164" s="189"/>
      <c r="G164" s="189"/>
      <c r="H164" s="189"/>
      <c r="I164" s="189"/>
      <c r="J164" s="189"/>
      <c r="K164" s="189"/>
      <c r="L164" s="190"/>
      <c r="N164" s="194" t="s">
        <v>272</v>
      </c>
      <c r="O164" s="189" t="s">
        <v>1641</v>
      </c>
      <c r="P164" s="189"/>
      <c r="Q164" s="189"/>
      <c r="T164" s="193" t="s">
        <v>255</v>
      </c>
      <c r="U164" s="195">
        <v>3</v>
      </c>
      <c r="V164" s="189"/>
      <c r="W164" s="189"/>
      <c r="X164" s="190"/>
      <c r="Z164" s="191"/>
      <c r="AA164" s="189" t="s">
        <v>1631</v>
      </c>
      <c r="AB164" s="189" t="str">
        <f>" 60 × "&amp;AK146&amp;" × "&amp;AI162&amp;" / "&amp;AI161&amp;" ="</f>
        <v xml:space="preserve"> 60 × 400 × 0.9 / 27.05 =</v>
      </c>
      <c r="AC164" s="189"/>
      <c r="AD164" s="189"/>
      <c r="AE164" s="189"/>
      <c r="AF164" s="189"/>
      <c r="AG164" s="206">
        <f>TRUNC(60*AK146*AI162/AI161,2)</f>
        <v>798.52</v>
      </c>
      <c r="AH164" s="189" t="s">
        <v>1632</v>
      </c>
      <c r="AI164" s="189"/>
      <c r="AJ164" s="189"/>
      <c r="AK164" s="189"/>
      <c r="AL164" s="189"/>
      <c r="AM164" s="190"/>
    </row>
    <row r="165" spans="2:39" ht="14.25" customHeight="1">
      <c r="B165" s="191"/>
      <c r="C165" s="189"/>
      <c r="D165" s="189"/>
      <c r="E165" s="189"/>
      <c r="F165" s="189"/>
      <c r="G165" s="189"/>
      <c r="H165" s="189"/>
      <c r="I165" s="189"/>
      <c r="J165" s="189"/>
      <c r="K165" s="189"/>
      <c r="L165" s="190"/>
      <c r="N165" s="191"/>
      <c r="O165" s="189" t="s">
        <v>258</v>
      </c>
      <c r="P165" s="189"/>
      <c r="Q165" s="189"/>
      <c r="U165" s="202"/>
      <c r="V165" s="196"/>
      <c r="W165" s="189"/>
      <c r="X165" s="190"/>
      <c r="Z165" s="191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90"/>
    </row>
    <row r="166" spans="2:39" ht="14.25" customHeight="1">
      <c r="B166" s="191"/>
      <c r="C166" s="189"/>
      <c r="D166" s="189"/>
      <c r="E166" s="189"/>
      <c r="F166" s="189"/>
      <c r="G166" s="189"/>
      <c r="H166" s="189"/>
      <c r="I166" s="189"/>
      <c r="J166" s="189"/>
      <c r="K166" s="189"/>
      <c r="L166" s="190"/>
      <c r="N166" s="194" t="s">
        <v>263</v>
      </c>
      <c r="O166" s="197" t="str">
        <f>" 1,000×"&amp;U164&amp;"×"&amp;U166&amp;"×"&amp;U167&amp;"  / "&amp;U168</f>
        <v xml:space="preserve"> 1,000×3×1.2×0.3  / 4</v>
      </c>
      <c r="P166" s="189"/>
      <c r="Q166" s="189"/>
      <c r="T166" s="193" t="s">
        <v>260</v>
      </c>
      <c r="U166" s="195">
        <v>1.2</v>
      </c>
      <c r="V166" s="196"/>
      <c r="W166" s="189"/>
      <c r="X166" s="190"/>
      <c r="Z166" s="191"/>
      <c r="AA166" s="189"/>
      <c r="AB166" s="206">
        <f>AG164</f>
        <v>798.52</v>
      </c>
      <c r="AC166" s="189" t="s">
        <v>1632</v>
      </c>
      <c r="AD166" s="189"/>
      <c r="AE166" s="188" t="s">
        <v>300</v>
      </c>
      <c r="AF166" s="188">
        <f>AB148</f>
        <v>75</v>
      </c>
      <c r="AG166" s="189" t="s">
        <v>250</v>
      </c>
      <c r="AH166" s="188" t="s">
        <v>1582</v>
      </c>
      <c r="AI166" s="198">
        <f>TRUNC(AB166/AF166,2)</f>
        <v>10.64</v>
      </c>
      <c r="AJ166" s="210" t="s">
        <v>279</v>
      </c>
      <c r="AK166" s="189"/>
      <c r="AL166" s="189"/>
      <c r="AM166" s="190"/>
    </row>
    <row r="167" spans="2:39" ht="14.25" customHeight="1">
      <c r="B167" s="191"/>
      <c r="C167" s="189"/>
      <c r="D167" s="189"/>
      <c r="E167" s="189"/>
      <c r="F167" s="189"/>
      <c r="G167" s="189"/>
      <c r="H167" s="189"/>
      <c r="I167" s="189"/>
      <c r="J167" s="189"/>
      <c r="K167" s="189"/>
      <c r="L167" s="190"/>
      <c r="N167" s="194" t="s">
        <v>1582</v>
      </c>
      <c r="O167" s="198">
        <f>TRUNC(1000*U164*U166*U167/U168,2)</f>
        <v>270</v>
      </c>
      <c r="P167" s="189" t="s">
        <v>268</v>
      </c>
      <c r="Q167" s="189"/>
      <c r="T167" s="193" t="s">
        <v>270</v>
      </c>
      <c r="U167" s="200">
        <v>0.3</v>
      </c>
      <c r="W167" s="188"/>
      <c r="X167" s="190"/>
      <c r="Z167" s="191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90"/>
    </row>
    <row r="168" spans="2:39" ht="14.25" customHeight="1">
      <c r="B168" s="191"/>
      <c r="C168" s="189"/>
      <c r="D168" s="189"/>
      <c r="E168" s="189"/>
      <c r="F168" s="189"/>
      <c r="G168" s="189"/>
      <c r="H168" s="189"/>
      <c r="I168" s="189"/>
      <c r="J168" s="189"/>
      <c r="K168" s="189"/>
      <c r="L168" s="190"/>
      <c r="N168" s="194" t="s">
        <v>1582</v>
      </c>
      <c r="O168" s="203">
        <f>O167</f>
        <v>270</v>
      </c>
      <c r="P168" s="189" t="s">
        <v>1647</v>
      </c>
      <c r="Q168" s="189"/>
      <c r="R168" s="189"/>
      <c r="S168" s="189"/>
      <c r="T168" s="204" t="s">
        <v>1648</v>
      </c>
      <c r="U168" s="214">
        <v>4</v>
      </c>
      <c r="V168" s="189" t="s">
        <v>969</v>
      </c>
      <c r="W168" s="189"/>
      <c r="X168" s="190"/>
      <c r="Z168" s="191"/>
      <c r="AA168" s="189" t="s">
        <v>1636</v>
      </c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90"/>
    </row>
    <row r="169" spans="2:39" ht="14.25" customHeight="1">
      <c r="B169" s="216"/>
      <c r="C169" s="179"/>
      <c r="D169" s="179"/>
      <c r="E169" s="179"/>
      <c r="F169" s="179"/>
      <c r="G169" s="179"/>
      <c r="H169" s="179"/>
      <c r="I169" s="179"/>
      <c r="J169" s="179"/>
      <c r="K169" s="179"/>
      <c r="L169" s="217"/>
      <c r="N169" s="191"/>
      <c r="O169" s="189"/>
      <c r="P169" s="189"/>
      <c r="Q169" s="189"/>
      <c r="R169" s="189"/>
      <c r="S169" s="189"/>
      <c r="V169" s="189"/>
      <c r="W169" s="189"/>
      <c r="X169" s="190"/>
      <c r="Z169" s="191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90"/>
    </row>
    <row r="170" spans="2:39" ht="14.25" customHeight="1"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N170" s="194" t="s">
        <v>1582</v>
      </c>
      <c r="O170" s="188">
        <f>O168/100</f>
        <v>2.7</v>
      </c>
      <c r="P170" s="210" t="s">
        <v>279</v>
      </c>
      <c r="Q170" s="189"/>
      <c r="R170" s="189"/>
      <c r="S170" s="189"/>
      <c r="T170" s="193"/>
      <c r="U170" s="188"/>
      <c r="V170" s="189"/>
      <c r="W170" s="189"/>
      <c r="X170" s="190"/>
      <c r="Z170" s="191"/>
      <c r="AA170" s="822" t="s">
        <v>1642</v>
      </c>
      <c r="AB170" s="822"/>
      <c r="AC170" s="813">
        <f>중기사용료!$M$1252</f>
        <v>1684</v>
      </c>
      <c r="AD170" s="813"/>
      <c r="AE170" s="813"/>
      <c r="AF170" s="203" t="s">
        <v>300</v>
      </c>
      <c r="AG170" s="821" t="str">
        <f>AI166&amp;"×"&amp;(AI151+AI154)&amp;"/"&amp;AI161&amp;"="</f>
        <v>10.64×14.68/27.05=</v>
      </c>
      <c r="AH170" s="821"/>
      <c r="AI170" s="821"/>
      <c r="AJ170" s="821">
        <f>TRUNC(AC170/AI166*(AI151+AI158)/AI161)</f>
        <v>85</v>
      </c>
      <c r="AK170" s="821"/>
      <c r="AL170" s="596" t="s">
        <v>1643</v>
      </c>
      <c r="AM170" s="190"/>
    </row>
    <row r="171" spans="2:39" ht="14.25" customHeight="1">
      <c r="B171" s="180" t="s">
        <v>1698</v>
      </c>
      <c r="C171" s="181"/>
      <c r="D171" s="181"/>
      <c r="E171" s="181"/>
      <c r="F171" s="181"/>
      <c r="G171" s="181"/>
      <c r="H171" s="181"/>
      <c r="I171" s="181"/>
      <c r="J171" s="181"/>
      <c r="K171" s="181"/>
      <c r="L171" s="183"/>
      <c r="N171" s="191"/>
      <c r="O171" s="189"/>
      <c r="P171" s="189"/>
      <c r="Q171" s="189"/>
      <c r="R171" s="189"/>
      <c r="S171" s="189"/>
      <c r="W171" s="189"/>
      <c r="X171" s="190"/>
      <c r="Z171" s="191"/>
      <c r="AA171" s="559" t="s">
        <v>1644</v>
      </c>
      <c r="AB171" s="559"/>
      <c r="AC171" s="813">
        <f>중기사용료!$M$1246</f>
        <v>27168</v>
      </c>
      <c r="AD171" s="813"/>
      <c r="AE171" s="813"/>
      <c r="AF171" s="203" t="s">
        <v>300</v>
      </c>
      <c r="AG171" s="821">
        <f>AI166</f>
        <v>10.64</v>
      </c>
      <c r="AH171" s="821"/>
      <c r="AI171" s="206" t="s">
        <v>1582</v>
      </c>
      <c r="AJ171" s="821">
        <f>TRUNC(AC171/AG171)</f>
        <v>2553</v>
      </c>
      <c r="AK171" s="821"/>
      <c r="AL171" s="596" t="s">
        <v>1643</v>
      </c>
      <c r="AM171" s="190"/>
    </row>
    <row r="172" spans="2:39" ht="14.25" customHeight="1">
      <c r="B172" s="194"/>
      <c r="C172" s="189"/>
      <c r="D172" s="189"/>
      <c r="E172" s="189"/>
      <c r="F172" s="189"/>
      <c r="G172" s="189"/>
      <c r="H172" s="189"/>
      <c r="I172" s="189"/>
      <c r="J172" s="189"/>
      <c r="K172" s="189"/>
      <c r="L172" s="190"/>
      <c r="N172" s="191"/>
      <c r="O172" s="211" t="s">
        <v>284</v>
      </c>
      <c r="W172" s="189"/>
      <c r="X172" s="190"/>
      <c r="Z172" s="191"/>
      <c r="AA172" s="559" t="s">
        <v>1645</v>
      </c>
      <c r="AB172" s="559"/>
      <c r="AC172" s="813">
        <f>중기사용료!$M$1240</f>
        <v>689</v>
      </c>
      <c r="AD172" s="813"/>
      <c r="AE172" s="813"/>
      <c r="AF172" s="203" t="s">
        <v>300</v>
      </c>
      <c r="AG172" s="821">
        <f>AI166</f>
        <v>10.64</v>
      </c>
      <c r="AH172" s="821"/>
      <c r="AI172" s="206" t="s">
        <v>1582</v>
      </c>
      <c r="AJ172" s="821">
        <f>TRUNC(AC172/AG172)</f>
        <v>64</v>
      </c>
      <c r="AK172" s="821"/>
      <c r="AL172" s="596" t="s">
        <v>1643</v>
      </c>
      <c r="AM172" s="190"/>
    </row>
    <row r="173" spans="2:39" ht="14.25" customHeight="1">
      <c r="B173" s="191"/>
      <c r="C173" s="189"/>
      <c r="D173" s="189"/>
      <c r="E173" s="189"/>
      <c r="F173" s="189"/>
      <c r="G173" s="189"/>
      <c r="H173" s="189"/>
      <c r="I173" s="189"/>
      <c r="J173" s="189"/>
      <c r="K173" s="189"/>
      <c r="L173" s="190"/>
      <c r="N173" s="191"/>
      <c r="O173" s="189"/>
      <c r="P173" s="203"/>
      <c r="R173" s="188"/>
      <c r="S173" s="212"/>
      <c r="T173" s="189"/>
      <c r="U173" s="203"/>
      <c r="V173" s="189"/>
      <c r="W173" s="189"/>
      <c r="X173" s="190"/>
      <c r="Z173" s="191"/>
      <c r="AA173" s="559"/>
      <c r="AB173" s="559"/>
      <c r="AC173" s="203"/>
      <c r="AD173" s="203"/>
      <c r="AE173" s="203"/>
      <c r="AF173" s="203"/>
      <c r="AG173" s="188"/>
      <c r="AH173" s="188"/>
      <c r="AI173" s="206"/>
      <c r="AJ173" s="188"/>
      <c r="AK173" s="188"/>
      <c r="AL173" s="596"/>
      <c r="AM173" s="190"/>
    </row>
    <row r="174" spans="2:39" ht="14.25" customHeight="1">
      <c r="B174" s="191"/>
      <c r="C174" s="816" t="s">
        <v>239</v>
      </c>
      <c r="D174" s="814" t="s">
        <v>1116</v>
      </c>
      <c r="E174" s="802"/>
      <c r="F174" s="814" t="s">
        <v>1115</v>
      </c>
      <c r="G174" s="802"/>
      <c r="H174" s="814" t="s">
        <v>1436</v>
      </c>
      <c r="I174" s="802"/>
      <c r="J174" s="814" t="s">
        <v>2045</v>
      </c>
      <c r="K174" s="802"/>
      <c r="L174" s="190"/>
      <c r="N174" s="191"/>
      <c r="O174" s="210" t="s">
        <v>288</v>
      </c>
      <c r="P174" s="813">
        <f>중기사용료!$M$663</f>
        <v>11050</v>
      </c>
      <c r="Q174" s="813"/>
      <c r="R174" s="188" t="s">
        <v>300</v>
      </c>
      <c r="S174" s="201">
        <f>O170</f>
        <v>2.7</v>
      </c>
      <c r="T174" s="188" t="s">
        <v>1582</v>
      </c>
      <c r="U174" s="203">
        <f>INT(P174/S174)</f>
        <v>4092</v>
      </c>
      <c r="V174" s="189" t="s">
        <v>289</v>
      </c>
      <c r="W174" s="189"/>
      <c r="X174" s="190"/>
      <c r="Z174" s="191"/>
      <c r="AA174" s="559"/>
      <c r="AB174" s="559"/>
      <c r="AC174" s="206"/>
      <c r="AD174" s="206"/>
      <c r="AE174" s="206"/>
      <c r="AF174" s="206"/>
      <c r="AG174" s="189"/>
      <c r="AH174" s="189"/>
      <c r="AI174" s="206"/>
      <c r="AJ174" s="206"/>
      <c r="AK174" s="206"/>
      <c r="AL174" s="206"/>
      <c r="AM174" s="190"/>
    </row>
    <row r="175" spans="2:39" ht="14.25" customHeight="1">
      <c r="B175" s="191"/>
      <c r="C175" s="817"/>
      <c r="D175" s="803"/>
      <c r="E175" s="804"/>
      <c r="F175" s="803"/>
      <c r="G175" s="804"/>
      <c r="H175" s="803"/>
      <c r="I175" s="804"/>
      <c r="J175" s="803"/>
      <c r="K175" s="804"/>
      <c r="L175" s="190"/>
      <c r="N175" s="191"/>
      <c r="O175" s="210" t="s">
        <v>1630</v>
      </c>
      <c r="P175" s="813">
        <f>중기사용료!$M$657</f>
        <v>27168</v>
      </c>
      <c r="Q175" s="813"/>
      <c r="R175" s="188" t="s">
        <v>300</v>
      </c>
      <c r="S175" s="201">
        <f>O170</f>
        <v>2.7</v>
      </c>
      <c r="T175" s="188" t="s">
        <v>1582</v>
      </c>
      <c r="U175" s="203">
        <f>INT(P175/S175)</f>
        <v>10062</v>
      </c>
      <c r="V175" s="189" t="s">
        <v>289</v>
      </c>
      <c r="W175" s="189"/>
      <c r="X175" s="190"/>
      <c r="Z175" s="589" t="s">
        <v>1635</v>
      </c>
      <c r="AA175" s="586" t="s">
        <v>1646</v>
      </c>
      <c r="AB175" s="561"/>
      <c r="AC175" s="561"/>
      <c r="AD175" s="561"/>
      <c r="AE175" s="561"/>
      <c r="AF175" s="561"/>
      <c r="AG175" s="561"/>
      <c r="AH175" s="561"/>
      <c r="AI175" s="561"/>
      <c r="AJ175" s="561"/>
      <c r="AK175" s="561"/>
      <c r="AL175" s="561"/>
      <c r="AM175" s="564"/>
    </row>
    <row r="176" spans="2:39" ht="14.25" customHeight="1">
      <c r="B176" s="191"/>
      <c r="C176" s="222" t="s">
        <v>2215</v>
      </c>
      <c r="D176" s="801" t="str">
        <f>$I$136&amp;"×"&amp;C178&amp;C179</f>
        <v>457×8회</v>
      </c>
      <c r="E176" s="802"/>
      <c r="F176" s="801" t="str">
        <f>$I$137&amp;"×"&amp;C178&amp;C179</f>
        <v>595×8회</v>
      </c>
      <c r="G176" s="802"/>
      <c r="H176" s="801" t="str">
        <f>$I$138&amp;"×"&amp;C178&amp;C179</f>
        <v>500×8회</v>
      </c>
      <c r="I176" s="802"/>
      <c r="J176" s="801"/>
      <c r="K176" s="802"/>
      <c r="L176" s="190"/>
      <c r="N176" s="191"/>
      <c r="O176" s="210" t="s">
        <v>1633</v>
      </c>
      <c r="P176" s="813">
        <f>중기사용료!$M$651</f>
        <v>10303</v>
      </c>
      <c r="Q176" s="813"/>
      <c r="R176" s="188" t="s">
        <v>300</v>
      </c>
      <c r="S176" s="201">
        <f>O170</f>
        <v>2.7</v>
      </c>
      <c r="T176" s="188" t="s">
        <v>1582</v>
      </c>
      <c r="U176" s="203">
        <f>INT(P176/S176)</f>
        <v>3815</v>
      </c>
      <c r="V176" s="189" t="s">
        <v>289</v>
      </c>
      <c r="W176" s="189"/>
      <c r="X176" s="190"/>
      <c r="Z176" s="191"/>
      <c r="AA176" s="189" t="s">
        <v>3300</v>
      </c>
      <c r="AB176" s="189"/>
      <c r="AC176" s="189"/>
      <c r="AD176" s="188">
        <v>0.6</v>
      </c>
      <c r="AE176" s="188" t="s">
        <v>1163</v>
      </c>
      <c r="AF176" s="188" t="s">
        <v>972</v>
      </c>
      <c r="AG176" s="232">
        <f>SUMIF('노임(2015)'!$B$4:$B$87,AA176,'노임(2015)'!$C$4:$C$87)+SUMIF('노임(2015)'!$E$4:$E$87,AA176,'노임(2015)'!$F$4:$F$87)</f>
        <v>126728</v>
      </c>
      <c r="AH176" s="233">
        <v>7.4999999999999997E-2</v>
      </c>
      <c r="AI176" s="188" t="s">
        <v>1582</v>
      </c>
      <c r="AJ176" s="813">
        <f>TRUNC(AD176*AG176*AH176)</f>
        <v>5702</v>
      </c>
      <c r="AK176" s="813"/>
      <c r="AL176" s="189" t="s">
        <v>1643</v>
      </c>
      <c r="AM176" s="190"/>
    </row>
    <row r="177" spans="2:39" ht="14.25" customHeight="1">
      <c r="B177" s="191"/>
      <c r="C177" s="227" t="s">
        <v>809</v>
      </c>
      <c r="D177" s="803"/>
      <c r="E177" s="804"/>
      <c r="F177" s="803"/>
      <c r="G177" s="804"/>
      <c r="H177" s="803"/>
      <c r="I177" s="804"/>
      <c r="J177" s="803"/>
      <c r="K177" s="804"/>
      <c r="L177" s="190"/>
      <c r="N177" s="191"/>
      <c r="O177" s="210"/>
      <c r="P177" s="203"/>
      <c r="Q177" s="203"/>
      <c r="R177" s="188"/>
      <c r="S177" s="201"/>
      <c r="T177" s="188"/>
      <c r="U177" s="203"/>
      <c r="V177" s="189"/>
      <c r="W177" s="189"/>
      <c r="X177" s="190"/>
      <c r="Z177" s="191"/>
      <c r="AA177" s="189" t="s">
        <v>3301</v>
      </c>
      <c r="AB177" s="189"/>
      <c r="AC177" s="189"/>
      <c r="AD177" s="188">
        <v>1.7</v>
      </c>
      <c r="AE177" s="188" t="s">
        <v>1163</v>
      </c>
      <c r="AF177" s="188" t="s">
        <v>972</v>
      </c>
      <c r="AG177" s="232">
        <f>SUMIF('노임(2015)'!$B$4:$B$87,AA177,'노임(2015)'!$C$4:$C$87)+SUMIF('노임(2015)'!$E$4:$E$87,AA177,'노임(2015)'!$F$4:$F$87)</f>
        <v>89566</v>
      </c>
      <c r="AH177" s="233">
        <v>7.4999999999999997E-2</v>
      </c>
      <c r="AI177" s="188" t="s">
        <v>1582</v>
      </c>
      <c r="AJ177" s="813">
        <f>TRUNC(AD177*AG177*AH177)</f>
        <v>11419</v>
      </c>
      <c r="AK177" s="813"/>
      <c r="AL177" s="189" t="s">
        <v>1643</v>
      </c>
      <c r="AM177" s="190"/>
    </row>
    <row r="178" spans="2:39" ht="14.25" customHeight="1">
      <c r="B178" s="191"/>
      <c r="C178" s="224">
        <v>8</v>
      </c>
      <c r="D178" s="809">
        <f>$I$136*C178</f>
        <v>3656</v>
      </c>
      <c r="E178" s="810"/>
      <c r="F178" s="809">
        <f>$I$137*C178</f>
        <v>4760</v>
      </c>
      <c r="G178" s="810"/>
      <c r="H178" s="809">
        <f>$I$138*C178</f>
        <v>4000</v>
      </c>
      <c r="I178" s="810"/>
      <c r="J178" s="809">
        <f>D178+F178+H178</f>
        <v>12416</v>
      </c>
      <c r="K178" s="810"/>
      <c r="L178" s="190"/>
      <c r="N178" s="191"/>
      <c r="O178" s="210"/>
      <c r="P178" s="203"/>
      <c r="Q178" s="203"/>
      <c r="R178" s="188"/>
      <c r="S178" s="201"/>
      <c r="T178" s="188"/>
      <c r="U178" s="203"/>
      <c r="V178" s="189"/>
      <c r="W178" s="189"/>
      <c r="X178" s="190"/>
      <c r="Z178" s="191"/>
      <c r="AA178" s="189"/>
      <c r="AB178" s="189"/>
      <c r="AC178" s="189"/>
      <c r="AD178" s="189"/>
      <c r="AE178" s="189"/>
      <c r="AF178" s="189"/>
      <c r="AG178" s="189"/>
      <c r="AH178" s="189"/>
      <c r="AI178" s="188" t="s">
        <v>1454</v>
      </c>
      <c r="AJ178" s="813">
        <f>SUM(AJ176:AK177)</f>
        <v>17121</v>
      </c>
      <c r="AK178" s="821"/>
      <c r="AL178" s="189" t="s">
        <v>1643</v>
      </c>
      <c r="AM178" s="190"/>
    </row>
    <row r="179" spans="2:39" ht="14.25" customHeight="1">
      <c r="B179" s="191"/>
      <c r="C179" s="223" t="s">
        <v>969</v>
      </c>
      <c r="D179" s="811"/>
      <c r="E179" s="812"/>
      <c r="F179" s="811"/>
      <c r="G179" s="812"/>
      <c r="H179" s="811"/>
      <c r="I179" s="812"/>
      <c r="J179" s="811"/>
      <c r="K179" s="812"/>
      <c r="L179" s="190"/>
      <c r="N179" s="191"/>
      <c r="O179" s="816" t="s">
        <v>239</v>
      </c>
      <c r="P179" s="814" t="s">
        <v>1116</v>
      </c>
      <c r="Q179" s="802"/>
      <c r="R179" s="814" t="s">
        <v>1115</v>
      </c>
      <c r="S179" s="802"/>
      <c r="T179" s="814" t="s">
        <v>1436</v>
      </c>
      <c r="U179" s="802"/>
      <c r="V179" s="814" t="s">
        <v>918</v>
      </c>
      <c r="W179" s="802"/>
      <c r="X179" s="190"/>
      <c r="Z179" s="191"/>
      <c r="AA179" s="189"/>
      <c r="AB179" s="189"/>
      <c r="AC179" s="189"/>
      <c r="AD179" s="189"/>
      <c r="AE179" s="189"/>
      <c r="AF179" s="189"/>
      <c r="AG179" s="189"/>
      <c r="AH179" s="189"/>
      <c r="AI179" s="188"/>
      <c r="AJ179" s="203"/>
      <c r="AK179" s="188"/>
      <c r="AL179" s="189"/>
      <c r="AM179" s="190"/>
    </row>
    <row r="180" spans="2:39" ht="14.25" customHeight="1">
      <c r="B180" s="191"/>
      <c r="C180" s="222" t="s">
        <v>2216</v>
      </c>
      <c r="D180" s="801" t="str">
        <f>$I$160&amp;"×"&amp;C182&amp;C183</f>
        <v>609×4회</v>
      </c>
      <c r="E180" s="802"/>
      <c r="F180" s="824" t="str">
        <f>$I$161&amp;"×"&amp;C182&amp;C183</f>
        <v>1509×4회</v>
      </c>
      <c r="G180" s="825"/>
      <c r="H180" s="801" t="str">
        <f>$I$162&amp;"×"&amp;C182&amp;C183</f>
        <v>851×4회</v>
      </c>
      <c r="I180" s="802"/>
      <c r="J180" s="801"/>
      <c r="K180" s="802"/>
      <c r="L180" s="190"/>
      <c r="N180" s="191"/>
      <c r="O180" s="817"/>
      <c r="P180" s="803"/>
      <c r="Q180" s="804"/>
      <c r="R180" s="803"/>
      <c r="S180" s="804"/>
      <c r="T180" s="803"/>
      <c r="U180" s="804"/>
      <c r="V180" s="803"/>
      <c r="W180" s="804"/>
      <c r="X180" s="190"/>
      <c r="Z180" s="191"/>
      <c r="AA180" s="189"/>
      <c r="AB180" s="189"/>
      <c r="AC180" s="189"/>
      <c r="AD180" s="189"/>
      <c r="AE180" s="189"/>
      <c r="AF180" s="189"/>
      <c r="AG180" s="189"/>
      <c r="AH180" s="189"/>
      <c r="AI180" s="188"/>
      <c r="AJ180" s="203"/>
      <c r="AK180" s="188"/>
      <c r="AL180" s="189"/>
      <c r="AM180" s="190"/>
    </row>
    <row r="181" spans="2:39" ht="14.25" customHeight="1">
      <c r="B181" s="191"/>
      <c r="C181" s="227" t="s">
        <v>1675</v>
      </c>
      <c r="D181" s="803"/>
      <c r="E181" s="804"/>
      <c r="F181" s="826"/>
      <c r="G181" s="827"/>
      <c r="H181" s="803"/>
      <c r="I181" s="804"/>
      <c r="J181" s="803"/>
      <c r="K181" s="804"/>
      <c r="L181" s="190"/>
      <c r="N181" s="191"/>
      <c r="O181" s="818" t="s">
        <v>1671</v>
      </c>
      <c r="P181" s="801">
        <f>U114</f>
        <v>3589</v>
      </c>
      <c r="Q181" s="802"/>
      <c r="R181" s="801">
        <f>U115</f>
        <v>6288</v>
      </c>
      <c r="S181" s="802"/>
      <c r="T181" s="801">
        <f>U116</f>
        <v>9427</v>
      </c>
      <c r="U181" s="802"/>
      <c r="V181" s="801">
        <f>SUM(P181:U182)</f>
        <v>19304</v>
      </c>
      <c r="W181" s="802"/>
      <c r="X181" s="190"/>
      <c r="Z181" s="191"/>
      <c r="AA181" s="821" t="s">
        <v>1649</v>
      </c>
      <c r="AB181" s="821"/>
      <c r="AC181" s="189"/>
      <c r="AD181" s="189"/>
      <c r="AE181" s="189"/>
      <c r="AF181" s="189"/>
      <c r="AG181" s="189"/>
      <c r="AH181" s="189"/>
      <c r="AI181" s="188"/>
      <c r="AJ181" s="203"/>
      <c r="AK181" s="188"/>
      <c r="AL181" s="189"/>
      <c r="AM181" s="190"/>
    </row>
    <row r="182" spans="2:39" ht="14.25" customHeight="1">
      <c r="B182" s="191"/>
      <c r="C182" s="224">
        <v>4</v>
      </c>
      <c r="D182" s="809">
        <f>$I$160*C182</f>
        <v>2436</v>
      </c>
      <c r="E182" s="810"/>
      <c r="F182" s="809">
        <f>$I$161*C182</f>
        <v>6036</v>
      </c>
      <c r="G182" s="810"/>
      <c r="H182" s="809">
        <f>$I$162*C182</f>
        <v>3404</v>
      </c>
      <c r="I182" s="810"/>
      <c r="J182" s="809">
        <f>D182+F182+H182</f>
        <v>11876</v>
      </c>
      <c r="K182" s="810"/>
      <c r="L182" s="190"/>
      <c r="N182" s="191"/>
      <c r="O182" s="819"/>
      <c r="P182" s="803"/>
      <c r="Q182" s="804"/>
      <c r="R182" s="803"/>
      <c r="S182" s="804"/>
      <c r="T182" s="803"/>
      <c r="U182" s="804"/>
      <c r="V182" s="803"/>
      <c r="W182" s="804"/>
      <c r="X182" s="190"/>
      <c r="Z182" s="191"/>
      <c r="AA182" s="821"/>
      <c r="AB182" s="821"/>
      <c r="AC182" s="189"/>
      <c r="AD182" s="189"/>
      <c r="AE182" s="189"/>
      <c r="AF182" s="189"/>
      <c r="AG182" s="189"/>
      <c r="AH182" s="189"/>
      <c r="AI182" s="188"/>
      <c r="AJ182" s="203"/>
      <c r="AK182" s="188"/>
      <c r="AL182" s="189"/>
      <c r="AM182" s="190"/>
    </row>
    <row r="183" spans="2:39" ht="14.25" customHeight="1">
      <c r="B183" s="191"/>
      <c r="C183" s="223" t="s">
        <v>969</v>
      </c>
      <c r="D183" s="811"/>
      <c r="E183" s="812"/>
      <c r="F183" s="811"/>
      <c r="G183" s="812"/>
      <c r="H183" s="811"/>
      <c r="I183" s="812"/>
      <c r="J183" s="811"/>
      <c r="K183" s="812"/>
      <c r="L183" s="190"/>
      <c r="N183" s="191"/>
      <c r="O183" s="222" t="s">
        <v>1672</v>
      </c>
      <c r="P183" s="801">
        <f>U138</f>
        <v>4760</v>
      </c>
      <c r="Q183" s="802"/>
      <c r="R183" s="801">
        <f>U139</f>
        <v>12937</v>
      </c>
      <c r="S183" s="802"/>
      <c r="T183" s="801">
        <f>U140</f>
        <v>4182</v>
      </c>
      <c r="U183" s="802"/>
      <c r="V183" s="801">
        <f>SUM(P183:U184)</f>
        <v>21879</v>
      </c>
      <c r="W183" s="802"/>
      <c r="X183" s="190"/>
      <c r="Z183" s="191"/>
      <c r="AA183" s="823" t="s">
        <v>1642</v>
      </c>
      <c r="AB183" s="823"/>
      <c r="AC183" s="813">
        <f>AJ170</f>
        <v>85</v>
      </c>
      <c r="AD183" s="813"/>
      <c r="AE183" s="813"/>
      <c r="AF183" s="189"/>
      <c r="AG183" s="189"/>
      <c r="AH183" s="189"/>
      <c r="AI183" s="188"/>
      <c r="AJ183" s="203"/>
      <c r="AK183" s="188"/>
      <c r="AL183" s="189"/>
      <c r="AM183" s="190"/>
    </row>
    <row r="184" spans="2:39" ht="14.25" customHeight="1">
      <c r="B184" s="191"/>
      <c r="C184" s="816" t="s">
        <v>1454</v>
      </c>
      <c r="D184" s="805">
        <f>SUM(D178,D182)</f>
        <v>6092</v>
      </c>
      <c r="E184" s="806"/>
      <c r="F184" s="805">
        <f>SUM(F178,F182)</f>
        <v>10796</v>
      </c>
      <c r="G184" s="806"/>
      <c r="H184" s="805">
        <f>SUM(H178,H182)</f>
        <v>7404</v>
      </c>
      <c r="I184" s="806"/>
      <c r="J184" s="805">
        <f>SUM(J178,J182)</f>
        <v>24292</v>
      </c>
      <c r="K184" s="806"/>
      <c r="L184" s="190"/>
      <c r="N184" s="191"/>
      <c r="O184" s="224" t="s">
        <v>1673</v>
      </c>
      <c r="P184" s="803"/>
      <c r="Q184" s="804"/>
      <c r="R184" s="803"/>
      <c r="S184" s="804"/>
      <c r="T184" s="803"/>
      <c r="U184" s="804"/>
      <c r="V184" s="803"/>
      <c r="W184" s="804"/>
      <c r="X184" s="190"/>
      <c r="Z184" s="191"/>
      <c r="AA184" s="823"/>
      <c r="AB184" s="823"/>
      <c r="AC184" s="813"/>
      <c r="AD184" s="813"/>
      <c r="AE184" s="813"/>
      <c r="AF184" s="189"/>
      <c r="AG184" s="189"/>
      <c r="AH184" s="189"/>
      <c r="AI184" s="188"/>
      <c r="AJ184" s="203"/>
      <c r="AK184" s="188"/>
      <c r="AL184" s="189"/>
      <c r="AM184" s="190"/>
    </row>
    <row r="185" spans="2:39" ht="14.25" customHeight="1">
      <c r="B185" s="191"/>
      <c r="C185" s="817"/>
      <c r="D185" s="807"/>
      <c r="E185" s="808"/>
      <c r="F185" s="807"/>
      <c r="G185" s="808"/>
      <c r="H185" s="807"/>
      <c r="I185" s="808"/>
      <c r="J185" s="807"/>
      <c r="K185" s="808"/>
      <c r="L185" s="190"/>
      <c r="N185" s="191"/>
      <c r="O185" s="222" t="s">
        <v>2216</v>
      </c>
      <c r="P185" s="801">
        <f>U159</f>
        <v>7835</v>
      </c>
      <c r="Q185" s="802"/>
      <c r="R185" s="801">
        <f>U160</f>
        <v>19405</v>
      </c>
      <c r="S185" s="802"/>
      <c r="T185" s="801">
        <f>U161</f>
        <v>10952</v>
      </c>
      <c r="U185" s="802"/>
      <c r="V185" s="801">
        <f>SUM(P185:U186)</f>
        <v>38192</v>
      </c>
      <c r="W185" s="802"/>
      <c r="X185" s="190"/>
      <c r="Z185" s="191"/>
      <c r="AA185" s="822" t="s">
        <v>1644</v>
      </c>
      <c r="AB185" s="822"/>
      <c r="AC185" s="813">
        <f>AJ171+AJ178</f>
        <v>19674</v>
      </c>
      <c r="AD185" s="813"/>
      <c r="AE185" s="813"/>
      <c r="AF185" s="189"/>
      <c r="AG185" s="189"/>
      <c r="AH185" s="189"/>
      <c r="AI185" s="188"/>
      <c r="AJ185" s="203"/>
      <c r="AK185" s="188"/>
      <c r="AL185" s="189"/>
      <c r="AM185" s="190"/>
    </row>
    <row r="186" spans="2:39" ht="14.25" customHeight="1">
      <c r="B186" s="191"/>
      <c r="C186" s="189"/>
      <c r="D186" s="189"/>
      <c r="E186" s="189"/>
      <c r="F186" s="189"/>
      <c r="G186" s="189"/>
      <c r="H186" s="189"/>
      <c r="I186" s="189"/>
      <c r="J186" s="189"/>
      <c r="K186" s="189"/>
      <c r="L186" s="190"/>
      <c r="N186" s="191"/>
      <c r="O186" s="224" t="s">
        <v>1675</v>
      </c>
      <c r="P186" s="803"/>
      <c r="Q186" s="804"/>
      <c r="R186" s="803"/>
      <c r="S186" s="804"/>
      <c r="T186" s="803"/>
      <c r="U186" s="804"/>
      <c r="V186" s="803"/>
      <c r="W186" s="804"/>
      <c r="X186" s="190"/>
      <c r="Z186" s="191"/>
      <c r="AA186" s="822"/>
      <c r="AB186" s="822"/>
      <c r="AC186" s="813"/>
      <c r="AD186" s="813"/>
      <c r="AE186" s="813"/>
      <c r="AF186" s="189"/>
      <c r="AG186" s="189"/>
      <c r="AH186" s="189"/>
      <c r="AI186" s="188"/>
      <c r="AJ186" s="203"/>
      <c r="AK186" s="188"/>
      <c r="AL186" s="189"/>
      <c r="AM186" s="190"/>
    </row>
    <row r="187" spans="2:39" ht="14.25" customHeight="1">
      <c r="B187" s="191"/>
      <c r="C187" s="189"/>
      <c r="D187" s="189"/>
      <c r="E187" s="189"/>
      <c r="F187" s="189"/>
      <c r="G187" s="189"/>
      <c r="H187" s="189"/>
      <c r="I187" s="189"/>
      <c r="J187" s="189"/>
      <c r="K187" s="189"/>
      <c r="L187" s="190"/>
      <c r="N187" s="191"/>
      <c r="O187" s="222" t="s">
        <v>2214</v>
      </c>
      <c r="P187" s="801">
        <f>U174</f>
        <v>4092</v>
      </c>
      <c r="Q187" s="802"/>
      <c r="R187" s="801">
        <f>U175</f>
        <v>10062</v>
      </c>
      <c r="S187" s="802"/>
      <c r="T187" s="801">
        <f>U176</f>
        <v>3815</v>
      </c>
      <c r="U187" s="802"/>
      <c r="V187" s="801">
        <f>SUM(P187:U188)</f>
        <v>17969</v>
      </c>
      <c r="W187" s="802"/>
      <c r="X187" s="190"/>
      <c r="Z187" s="191"/>
      <c r="AA187" s="822" t="s">
        <v>1645</v>
      </c>
      <c r="AB187" s="822"/>
      <c r="AC187" s="813">
        <f>AJ172</f>
        <v>64</v>
      </c>
      <c r="AD187" s="813"/>
      <c r="AE187" s="813"/>
      <c r="AF187" s="189"/>
      <c r="AG187" s="189"/>
      <c r="AH187" s="189"/>
      <c r="AI187" s="188"/>
      <c r="AJ187" s="203"/>
      <c r="AK187" s="188"/>
      <c r="AL187" s="189"/>
      <c r="AM187" s="190"/>
    </row>
    <row r="188" spans="2:39" ht="14.25" customHeight="1">
      <c r="B188" s="191"/>
      <c r="C188" s="189"/>
      <c r="D188" s="189"/>
      <c r="E188" s="189"/>
      <c r="F188" s="189"/>
      <c r="G188" s="189"/>
      <c r="H188" s="189"/>
      <c r="I188" s="189"/>
      <c r="J188" s="189"/>
      <c r="K188" s="189"/>
      <c r="L188" s="190"/>
      <c r="N188" s="191"/>
      <c r="O188" s="227" t="s">
        <v>1676</v>
      </c>
      <c r="P188" s="803"/>
      <c r="Q188" s="804"/>
      <c r="R188" s="803"/>
      <c r="S188" s="804"/>
      <c r="T188" s="803"/>
      <c r="U188" s="804"/>
      <c r="V188" s="803"/>
      <c r="W188" s="804"/>
      <c r="X188" s="190"/>
      <c r="Z188" s="191"/>
      <c r="AA188" s="822"/>
      <c r="AB188" s="822"/>
      <c r="AC188" s="813"/>
      <c r="AD188" s="813"/>
      <c r="AE188" s="813"/>
      <c r="AF188" s="189"/>
      <c r="AG188" s="189"/>
      <c r="AH188" s="189"/>
      <c r="AI188" s="188" t="s">
        <v>1454</v>
      </c>
      <c r="AJ188" s="813">
        <f>SUM(AC183:AE188)</f>
        <v>19823</v>
      </c>
      <c r="AK188" s="813"/>
      <c r="AL188" s="189" t="s">
        <v>1643</v>
      </c>
      <c r="AM188" s="190"/>
    </row>
    <row r="189" spans="2:39" ht="14.25" customHeight="1">
      <c r="B189" s="191"/>
      <c r="C189" s="189"/>
      <c r="D189" s="189"/>
      <c r="E189" s="189"/>
      <c r="F189" s="189"/>
      <c r="G189" s="189"/>
      <c r="H189" s="189"/>
      <c r="I189" s="189"/>
      <c r="J189" s="189"/>
      <c r="K189" s="189"/>
      <c r="L189" s="190"/>
      <c r="N189" s="191"/>
      <c r="O189" s="816" t="s">
        <v>1454</v>
      </c>
      <c r="P189" s="801">
        <f>SUM(P181:Q188)</f>
        <v>20276</v>
      </c>
      <c r="Q189" s="802"/>
      <c r="R189" s="801">
        <f>SUM(R181:S188)</f>
        <v>48692</v>
      </c>
      <c r="S189" s="802"/>
      <c r="T189" s="801">
        <f>SUM(T181:U188)</f>
        <v>28376</v>
      </c>
      <c r="U189" s="802"/>
      <c r="V189" s="801">
        <f>SUM(P189:U190)</f>
        <v>97344</v>
      </c>
      <c r="W189" s="802"/>
      <c r="X189" s="190"/>
      <c r="Z189" s="191"/>
      <c r="AA189" s="189"/>
      <c r="AB189" s="189"/>
      <c r="AC189" s="189"/>
      <c r="AD189" s="189"/>
      <c r="AE189" s="189"/>
      <c r="AF189" s="189"/>
      <c r="AG189" s="189"/>
      <c r="AH189" s="189"/>
      <c r="AI189" s="188"/>
      <c r="AJ189" s="203"/>
      <c r="AK189" s="188"/>
      <c r="AL189" s="189"/>
      <c r="AM189" s="190"/>
    </row>
    <row r="190" spans="2:39" ht="14.25" customHeight="1">
      <c r="B190" s="191"/>
      <c r="C190" s="189"/>
      <c r="D190" s="189"/>
      <c r="E190" s="189"/>
      <c r="F190" s="189"/>
      <c r="G190" s="189"/>
      <c r="H190" s="189"/>
      <c r="I190" s="189"/>
      <c r="J190" s="189"/>
      <c r="K190" s="189"/>
      <c r="L190" s="190"/>
      <c r="N190" s="191"/>
      <c r="O190" s="817"/>
      <c r="P190" s="803"/>
      <c r="Q190" s="804"/>
      <c r="R190" s="803"/>
      <c r="S190" s="804"/>
      <c r="T190" s="803"/>
      <c r="U190" s="804"/>
      <c r="V190" s="803"/>
      <c r="W190" s="804"/>
      <c r="X190" s="190"/>
      <c r="Z190" s="191"/>
      <c r="AA190" s="189"/>
      <c r="AB190" s="189"/>
      <c r="AC190" s="189"/>
      <c r="AD190" s="189"/>
      <c r="AE190" s="189"/>
      <c r="AF190" s="189"/>
      <c r="AG190" s="189"/>
      <c r="AH190" s="189"/>
      <c r="AI190" s="188"/>
      <c r="AJ190" s="203"/>
      <c r="AK190" s="188"/>
      <c r="AL190" s="189"/>
      <c r="AM190" s="190"/>
    </row>
    <row r="191" spans="2:39" ht="14.25" customHeight="1">
      <c r="B191" s="191"/>
      <c r="C191" s="189"/>
      <c r="D191" s="189"/>
      <c r="E191" s="189"/>
      <c r="F191" s="189"/>
      <c r="G191" s="189"/>
      <c r="H191" s="189"/>
      <c r="I191" s="189"/>
      <c r="J191" s="189"/>
      <c r="K191" s="189"/>
      <c r="L191" s="190"/>
      <c r="N191" s="191"/>
      <c r="O191" s="188"/>
      <c r="P191" s="188"/>
      <c r="Q191" s="188"/>
      <c r="R191" s="188"/>
      <c r="S191" s="188"/>
      <c r="T191" s="188"/>
      <c r="U191" s="188"/>
      <c r="V191" s="189"/>
      <c r="W191" s="189"/>
      <c r="X191" s="190"/>
      <c r="Z191" s="191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90"/>
    </row>
    <row r="192" spans="2:39" ht="14.25" customHeight="1">
      <c r="B192" s="216"/>
      <c r="C192" s="179"/>
      <c r="D192" s="179"/>
      <c r="E192" s="179"/>
      <c r="F192" s="179"/>
      <c r="G192" s="179"/>
      <c r="H192" s="179"/>
      <c r="I192" s="179"/>
      <c r="J192" s="179"/>
      <c r="K192" s="179"/>
      <c r="L192" s="217"/>
      <c r="N192" s="216"/>
      <c r="O192" s="228"/>
      <c r="P192" s="228"/>
      <c r="Q192" s="228"/>
      <c r="R192" s="228"/>
      <c r="S192" s="228"/>
      <c r="T192" s="228"/>
      <c r="U192" s="228"/>
      <c r="V192" s="179"/>
      <c r="W192" s="179"/>
      <c r="X192" s="217"/>
      <c r="Z192" s="216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79"/>
      <c r="AK192" s="179"/>
      <c r="AL192" s="179"/>
      <c r="AM192" s="217"/>
    </row>
    <row r="193" spans="2:39" ht="14.25" customHeight="1"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</row>
    <row r="194" spans="2:39" s="184" customFormat="1" ht="14.25" customHeight="1">
      <c r="B194" s="180" t="s">
        <v>813</v>
      </c>
      <c r="C194" s="181"/>
      <c r="D194" s="181"/>
      <c r="E194" s="181"/>
      <c r="F194" s="181"/>
      <c r="G194" s="181"/>
      <c r="H194" s="181"/>
      <c r="I194" s="181"/>
      <c r="J194" s="181"/>
      <c r="K194" s="181"/>
      <c r="L194" s="238"/>
      <c r="N194" s="180" t="s">
        <v>1699</v>
      </c>
      <c r="O194" s="181"/>
      <c r="P194" s="181"/>
      <c r="Q194" s="181"/>
      <c r="R194" s="181"/>
      <c r="S194" s="181"/>
      <c r="T194" s="181"/>
      <c r="U194" s="181"/>
      <c r="V194" s="181"/>
      <c r="W194" s="181" t="s">
        <v>1700</v>
      </c>
      <c r="X194" s="183"/>
      <c r="Z194" s="180" t="s">
        <v>1092</v>
      </c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5"/>
      <c r="AL194" s="181"/>
      <c r="AM194" s="183"/>
    </row>
    <row r="195" spans="2:39" ht="14.25" customHeight="1">
      <c r="B195" s="191"/>
      <c r="C195" s="189"/>
      <c r="D195" s="189"/>
      <c r="E195" s="189"/>
      <c r="F195" s="189"/>
      <c r="G195" s="189"/>
      <c r="H195" s="189"/>
      <c r="I195" s="189"/>
      <c r="J195" s="189"/>
      <c r="K195" s="189"/>
      <c r="L195" s="190"/>
      <c r="N195" s="191"/>
      <c r="O195" s="189"/>
      <c r="P195" s="189"/>
      <c r="Q195" s="189"/>
      <c r="R195" s="189"/>
      <c r="S195" s="189"/>
      <c r="T195" s="189"/>
      <c r="U195" s="189"/>
      <c r="V195" s="189"/>
      <c r="W195" s="189"/>
      <c r="X195" s="190"/>
      <c r="Z195" s="186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92"/>
    </row>
    <row r="196" spans="2:39" ht="14.25" customHeight="1">
      <c r="B196" s="191"/>
      <c r="C196" s="189"/>
      <c r="D196" s="189"/>
      <c r="E196" s="189"/>
      <c r="F196" s="189"/>
      <c r="G196" s="189"/>
      <c r="H196" s="189"/>
      <c r="I196" s="189"/>
      <c r="J196" s="189"/>
      <c r="K196" s="189"/>
      <c r="L196" s="190"/>
      <c r="N196" s="567" t="s">
        <v>1093</v>
      </c>
      <c r="O196" s="586"/>
      <c r="P196" s="586"/>
      <c r="Q196" s="561"/>
      <c r="R196" s="561"/>
      <c r="S196" s="561"/>
      <c r="T196" s="561"/>
      <c r="U196" s="561"/>
      <c r="V196" s="561"/>
      <c r="W196" s="561"/>
      <c r="X196" s="564"/>
      <c r="Z196" s="567" t="s">
        <v>3686</v>
      </c>
      <c r="AA196" s="586" t="s">
        <v>3687</v>
      </c>
      <c r="AB196" s="563" t="s">
        <v>298</v>
      </c>
      <c r="AC196" s="584">
        <v>5.5</v>
      </c>
      <c r="AD196" s="561"/>
      <c r="AE196" s="561"/>
      <c r="AF196" s="561"/>
      <c r="AG196" s="561"/>
      <c r="AH196" s="583" t="s">
        <v>255</v>
      </c>
      <c r="AI196" s="563">
        <v>35</v>
      </c>
      <c r="AJ196" s="561" t="s">
        <v>1094</v>
      </c>
      <c r="AK196" s="561"/>
      <c r="AL196" s="561"/>
      <c r="AM196" s="564"/>
    </row>
    <row r="197" spans="2:39" ht="14.25" customHeight="1">
      <c r="B197" s="191"/>
      <c r="C197" s="189"/>
      <c r="D197" s="189"/>
      <c r="E197" s="189"/>
      <c r="F197" s="189"/>
      <c r="G197" s="193" t="s">
        <v>1661</v>
      </c>
      <c r="H197" s="218">
        <v>5500</v>
      </c>
      <c r="I197" s="189" t="s">
        <v>456</v>
      </c>
      <c r="J197" s="189"/>
      <c r="K197" s="189"/>
      <c r="L197" s="190"/>
      <c r="N197" s="191"/>
      <c r="O197" s="189"/>
      <c r="P197" s="189"/>
      <c r="Q197" s="189"/>
      <c r="R197" s="189"/>
      <c r="S197" s="189"/>
      <c r="T197" s="189"/>
      <c r="U197" s="189"/>
      <c r="V197" s="189"/>
      <c r="W197" s="189"/>
      <c r="X197" s="190"/>
      <c r="Z197" s="191"/>
      <c r="AA197" s="189"/>
      <c r="AB197" s="189"/>
      <c r="AC197" s="189"/>
      <c r="AD197" s="189"/>
      <c r="AE197" s="189"/>
      <c r="AF197" s="189"/>
      <c r="AG197" s="189"/>
      <c r="AH197" s="193" t="s">
        <v>256</v>
      </c>
      <c r="AI197" s="188">
        <v>0.5</v>
      </c>
      <c r="AJ197" s="189" t="s">
        <v>1095</v>
      </c>
      <c r="AK197" s="189"/>
      <c r="AL197" s="189"/>
      <c r="AM197" s="190"/>
    </row>
    <row r="198" spans="2:39" ht="14.25" customHeight="1">
      <c r="B198" s="194" t="s">
        <v>246</v>
      </c>
      <c r="C198" s="189" t="s">
        <v>1662</v>
      </c>
      <c r="D198" s="189"/>
      <c r="E198" s="189"/>
      <c r="F198" s="189"/>
      <c r="G198" s="193" t="s">
        <v>1663</v>
      </c>
      <c r="H198" s="188">
        <v>0.9</v>
      </c>
      <c r="I198" s="189"/>
      <c r="J198" s="189"/>
      <c r="K198" s="189"/>
      <c r="L198" s="190"/>
      <c r="N198" s="194" t="s">
        <v>246</v>
      </c>
      <c r="O198" s="189" t="s">
        <v>1641</v>
      </c>
      <c r="P198" s="189"/>
      <c r="Q198" s="189"/>
      <c r="R198" s="189"/>
      <c r="S198" s="189"/>
      <c r="T198" s="193" t="s">
        <v>255</v>
      </c>
      <c r="U198" s="195">
        <v>1</v>
      </c>
      <c r="V198" s="189"/>
      <c r="W198" s="189"/>
      <c r="X198" s="190"/>
      <c r="Z198" s="191"/>
      <c r="AA198" s="188" t="s">
        <v>1096</v>
      </c>
      <c r="AB198" s="189" t="s">
        <v>1097</v>
      </c>
      <c r="AC198" s="189"/>
      <c r="AD198" s="189"/>
      <c r="AE198" s="189"/>
      <c r="AF198" s="189"/>
      <c r="AG198" s="189"/>
      <c r="AH198" s="193" t="s">
        <v>1706</v>
      </c>
      <c r="AI198" s="188">
        <v>5</v>
      </c>
      <c r="AJ198" s="189" t="s">
        <v>241</v>
      </c>
      <c r="AK198" s="189" t="s">
        <v>1098</v>
      </c>
      <c r="AL198" s="189"/>
      <c r="AM198" s="190"/>
    </row>
    <row r="199" spans="2:39" ht="14.25" customHeight="1">
      <c r="B199" s="191"/>
      <c r="C199" s="189" t="s">
        <v>258</v>
      </c>
      <c r="D199" s="189"/>
      <c r="E199" s="189"/>
      <c r="F199" s="189"/>
      <c r="G199" s="193" t="s">
        <v>1706</v>
      </c>
      <c r="H199" s="219">
        <v>15</v>
      </c>
      <c r="I199" s="196" t="s">
        <v>1664</v>
      </c>
      <c r="J199" s="189"/>
      <c r="K199" s="189"/>
      <c r="L199" s="190"/>
      <c r="N199" s="191"/>
      <c r="O199" s="189" t="s">
        <v>258</v>
      </c>
      <c r="P199" s="189"/>
      <c r="Q199" s="189"/>
      <c r="R199" s="189"/>
      <c r="S199" s="189"/>
      <c r="T199" s="189"/>
      <c r="U199" s="213"/>
      <c r="V199" s="196"/>
      <c r="W199" s="189"/>
      <c r="X199" s="190"/>
      <c r="Z199" s="191"/>
      <c r="AA199" s="189"/>
      <c r="AB199" s="189"/>
      <c r="AC199" s="189"/>
      <c r="AD199" s="189"/>
      <c r="AE199" s="189"/>
      <c r="AF199" s="189"/>
      <c r="AG199" s="189"/>
      <c r="AH199" s="193" t="s">
        <v>2110</v>
      </c>
      <c r="AI199" s="188">
        <f>TRUNC(AI200/AK200*AI201*AK201,2)</f>
        <v>1.71</v>
      </c>
      <c r="AJ199" s="189" t="s">
        <v>241</v>
      </c>
      <c r="AK199" s="189" t="s">
        <v>1099</v>
      </c>
      <c r="AL199" s="189"/>
      <c r="AM199" s="190"/>
    </row>
    <row r="200" spans="2:39" ht="14.25" customHeight="1">
      <c r="B200" s="194" t="s">
        <v>263</v>
      </c>
      <c r="C200" s="197" t="str">
        <f>" 60× "&amp;H197/1000&amp;" × "&amp;H198&amp;"  / "&amp;H206</f>
        <v xml:space="preserve"> 60× 5.5 × 0.9  / 46</v>
      </c>
      <c r="D200" s="189"/>
      <c r="E200" s="189"/>
      <c r="F200" s="189"/>
      <c r="G200" s="193" t="s">
        <v>2110</v>
      </c>
      <c r="H200" s="219">
        <f>J202</f>
        <v>16</v>
      </c>
      <c r="I200" s="196" t="s">
        <v>283</v>
      </c>
      <c r="J200" s="189"/>
      <c r="K200" s="189"/>
      <c r="L200" s="190"/>
      <c r="N200" s="194" t="s">
        <v>263</v>
      </c>
      <c r="O200" s="197" t="str">
        <f>" 1,000×"&amp;U198&amp;"×"&amp;U200&amp;"×"&amp;U202&amp;"  / "&amp;U204</f>
        <v xml:space="preserve"> 1,000×1×0.8×0.6  / 4</v>
      </c>
      <c r="P200" s="189"/>
      <c r="Q200" s="189"/>
      <c r="R200" s="189"/>
      <c r="S200" s="189"/>
      <c r="T200" s="193" t="s">
        <v>260</v>
      </c>
      <c r="U200" s="195">
        <v>0.8</v>
      </c>
      <c r="V200" s="196"/>
      <c r="W200" s="189"/>
      <c r="X200" s="190"/>
      <c r="Z200" s="191"/>
      <c r="AA200" s="188"/>
      <c r="AB200" s="188"/>
      <c r="AC200" s="189"/>
      <c r="AD200" s="188"/>
      <c r="AE200" s="188"/>
      <c r="AF200" s="188"/>
      <c r="AG200" s="189"/>
      <c r="AH200" s="193" t="s">
        <v>2111</v>
      </c>
      <c r="AI200" s="188">
        <f>AI197</f>
        <v>0.5</v>
      </c>
      <c r="AJ200" s="188" t="s">
        <v>300</v>
      </c>
      <c r="AK200" s="188">
        <f>AI196</f>
        <v>35</v>
      </c>
      <c r="AL200" s="189" t="s">
        <v>2112</v>
      </c>
      <c r="AM200" s="190"/>
    </row>
    <row r="201" spans="2:39" ht="14.25" customHeight="1">
      <c r="B201" s="191"/>
      <c r="C201" s="189"/>
      <c r="D201" s="189"/>
      <c r="E201" s="189"/>
      <c r="F201" s="189"/>
      <c r="G201" s="193" t="s">
        <v>2111</v>
      </c>
      <c r="H201" s="188">
        <v>2</v>
      </c>
      <c r="I201" s="188" t="s">
        <v>300</v>
      </c>
      <c r="J201" s="188">
        <v>15</v>
      </c>
      <c r="K201" s="196" t="s">
        <v>2112</v>
      </c>
      <c r="L201" s="190"/>
      <c r="N201" s="191"/>
      <c r="O201" s="189"/>
      <c r="P201" s="189"/>
      <c r="Q201" s="189"/>
      <c r="R201" s="189"/>
      <c r="S201" s="189"/>
      <c r="T201" s="189"/>
      <c r="U201" s="213"/>
      <c r="V201" s="188"/>
      <c r="W201" s="189"/>
      <c r="X201" s="190"/>
      <c r="Z201" s="191"/>
      <c r="AA201" s="189"/>
      <c r="AB201" s="189"/>
      <c r="AC201" s="189"/>
      <c r="AD201" s="189"/>
      <c r="AE201" s="189"/>
      <c r="AF201" s="189"/>
      <c r="AG201" s="189"/>
      <c r="AH201" s="193" t="s">
        <v>972</v>
      </c>
      <c r="AI201" s="188">
        <v>2</v>
      </c>
      <c r="AJ201" s="188" t="s">
        <v>972</v>
      </c>
      <c r="AK201" s="188">
        <v>60</v>
      </c>
      <c r="AL201" s="237">
        <f>TRUNC(AI200/AK200*AI201*AK201,2)</f>
        <v>1.71</v>
      </c>
      <c r="AM201" s="190"/>
    </row>
    <row r="202" spans="2:39" ht="14.25" customHeight="1">
      <c r="B202" s="194" t="s">
        <v>2975</v>
      </c>
      <c r="C202" s="209">
        <f>ROUND(60*H197/1000*H198/H206,2)</f>
        <v>6.46</v>
      </c>
      <c r="D202" s="189" t="s">
        <v>2976</v>
      </c>
      <c r="E202" s="189"/>
      <c r="F202" s="189"/>
      <c r="G202" s="189"/>
      <c r="H202" s="189" t="s">
        <v>2977</v>
      </c>
      <c r="I202" s="189"/>
      <c r="J202" s="219">
        <f>TRUNC(H201/J201*2*60,1)</f>
        <v>16</v>
      </c>
      <c r="K202" s="189" t="s">
        <v>2978</v>
      </c>
      <c r="L202" s="190"/>
      <c r="N202" s="194" t="s">
        <v>1582</v>
      </c>
      <c r="O202" s="198">
        <f>TRUNC(1000*U198*U200*U202/U204,2)</f>
        <v>120</v>
      </c>
      <c r="P202" s="189" t="s">
        <v>4003</v>
      </c>
      <c r="Q202" s="189"/>
      <c r="R202" s="189"/>
      <c r="S202" s="189"/>
      <c r="T202" s="193" t="s">
        <v>270</v>
      </c>
      <c r="U202" s="200">
        <v>0.6</v>
      </c>
      <c r="V202" s="189"/>
      <c r="W202" s="189"/>
      <c r="X202" s="190"/>
      <c r="Z202" s="191"/>
      <c r="AA202" s="188"/>
      <c r="AB202" s="189"/>
      <c r="AC202" s="189"/>
      <c r="AD202" s="189"/>
      <c r="AE202" s="189"/>
      <c r="AF202" s="189"/>
      <c r="AG202" s="189"/>
      <c r="AH202" s="193" t="s">
        <v>2113</v>
      </c>
      <c r="AI202" s="188">
        <v>10</v>
      </c>
      <c r="AJ202" s="189" t="s">
        <v>241</v>
      </c>
      <c r="AK202" s="189" t="s">
        <v>810</v>
      </c>
      <c r="AL202" s="189"/>
      <c r="AM202" s="190"/>
    </row>
    <row r="203" spans="2:39" ht="14.25" customHeight="1">
      <c r="B203" s="191"/>
      <c r="C203" s="189"/>
      <c r="D203" s="189"/>
      <c r="E203" s="189"/>
      <c r="F203" s="189"/>
      <c r="G203" s="193" t="s">
        <v>2981</v>
      </c>
      <c r="H203" s="220">
        <f>H197</f>
        <v>5500</v>
      </c>
      <c r="I203" s="188" t="s">
        <v>2982</v>
      </c>
      <c r="J203" s="188">
        <v>550</v>
      </c>
      <c r="K203" s="189"/>
      <c r="L203" s="190"/>
      <c r="N203" s="191"/>
      <c r="O203" s="189"/>
      <c r="P203" s="189"/>
      <c r="Q203" s="189"/>
      <c r="R203" s="189"/>
      <c r="S203" s="189"/>
      <c r="T203" s="189"/>
      <c r="U203" s="213"/>
      <c r="V203" s="189"/>
      <c r="W203" s="189"/>
      <c r="X203" s="190"/>
      <c r="Z203" s="191"/>
      <c r="AA203" s="189"/>
      <c r="AB203" s="189"/>
      <c r="AC203" s="189"/>
      <c r="AD203" s="189"/>
      <c r="AE203" s="189"/>
      <c r="AF203" s="189"/>
      <c r="AG203" s="189"/>
      <c r="AH203" s="193" t="s">
        <v>2114</v>
      </c>
      <c r="AI203" s="188">
        <v>20</v>
      </c>
      <c r="AJ203" s="189" t="s">
        <v>241</v>
      </c>
      <c r="AK203" s="189" t="s">
        <v>811</v>
      </c>
      <c r="AL203" s="189"/>
      <c r="AM203" s="190"/>
    </row>
    <row r="204" spans="2:39" ht="14.25" customHeight="1">
      <c r="B204" s="194"/>
      <c r="C204" s="209"/>
      <c r="D204" s="189"/>
      <c r="E204" s="189"/>
      <c r="F204" s="189"/>
      <c r="G204" s="193" t="s">
        <v>2975</v>
      </c>
      <c r="H204" s="188">
        <f>H203/J203</f>
        <v>10</v>
      </c>
      <c r="I204" s="189" t="s">
        <v>2978</v>
      </c>
      <c r="J204" s="189"/>
      <c r="K204" s="189"/>
      <c r="L204" s="190"/>
      <c r="N204" s="194" t="s">
        <v>1582</v>
      </c>
      <c r="O204" s="203">
        <f>O202</f>
        <v>120</v>
      </c>
      <c r="P204" s="189" t="s">
        <v>1647</v>
      </c>
      <c r="Q204" s="189"/>
      <c r="R204" s="189"/>
      <c r="S204" s="189"/>
      <c r="T204" s="193" t="s">
        <v>1648</v>
      </c>
      <c r="U204" s="195">
        <v>4</v>
      </c>
      <c r="V204" s="189" t="s">
        <v>969</v>
      </c>
      <c r="W204" s="189"/>
      <c r="X204" s="190"/>
      <c r="Z204" s="191"/>
      <c r="AA204" s="188"/>
      <c r="AB204" s="198"/>
      <c r="AC204" s="189"/>
      <c r="AD204" s="189"/>
      <c r="AE204" s="189"/>
      <c r="AF204" s="189"/>
      <c r="AG204" s="189"/>
      <c r="AH204" s="193" t="s">
        <v>240</v>
      </c>
      <c r="AI204" s="206" t="s">
        <v>812</v>
      </c>
      <c r="AJ204" s="189"/>
      <c r="AK204" s="189"/>
      <c r="AL204" s="189"/>
      <c r="AM204" s="190"/>
    </row>
    <row r="205" spans="2:39" ht="14.25" customHeight="1">
      <c r="B205" s="191"/>
      <c r="C205" s="189"/>
      <c r="D205" s="189"/>
      <c r="E205" s="189"/>
      <c r="F205" s="189"/>
      <c r="G205" s="193" t="s">
        <v>2985</v>
      </c>
      <c r="H205" s="188">
        <v>5</v>
      </c>
      <c r="I205" s="189" t="s">
        <v>2978</v>
      </c>
      <c r="J205" s="189"/>
      <c r="K205" s="189"/>
      <c r="L205" s="190"/>
      <c r="N205" s="191"/>
      <c r="O205" s="189"/>
      <c r="P205" s="189"/>
      <c r="Q205" s="189"/>
      <c r="R205" s="189"/>
      <c r="S205" s="189"/>
      <c r="T205" s="189"/>
      <c r="U205" s="189"/>
      <c r="V205" s="189"/>
      <c r="W205" s="189"/>
      <c r="X205" s="190"/>
      <c r="Z205" s="191"/>
      <c r="AA205" s="189"/>
      <c r="AB205" s="189"/>
      <c r="AC205" s="189"/>
      <c r="AD205" s="189"/>
      <c r="AE205" s="189"/>
      <c r="AF205" s="189"/>
      <c r="AG205" s="189"/>
      <c r="AH205" s="193" t="s">
        <v>1582</v>
      </c>
      <c r="AI205" s="212">
        <f>AI198+AI199+AI202+AI203</f>
        <v>36.71</v>
      </c>
      <c r="AJ205" s="189" t="s">
        <v>241</v>
      </c>
      <c r="AK205" s="188"/>
      <c r="AL205" s="189"/>
      <c r="AM205" s="190"/>
    </row>
    <row r="206" spans="2:39" ht="14.25" customHeight="1">
      <c r="B206" s="194"/>
      <c r="C206" s="188"/>
      <c r="D206" s="210"/>
      <c r="E206" s="189"/>
      <c r="F206" s="189"/>
      <c r="G206" s="193" t="s">
        <v>2987</v>
      </c>
      <c r="H206" s="219">
        <f>H199+H200+H204+H205</f>
        <v>46</v>
      </c>
      <c r="I206" s="189" t="s">
        <v>2988</v>
      </c>
      <c r="J206" s="189"/>
      <c r="K206" s="189"/>
      <c r="L206" s="190"/>
      <c r="N206" s="194" t="s">
        <v>1582</v>
      </c>
      <c r="O206" s="188">
        <f>O204/100</f>
        <v>1.2</v>
      </c>
      <c r="P206" s="210" t="s">
        <v>279</v>
      </c>
      <c r="Q206" s="189"/>
      <c r="R206" s="189"/>
      <c r="S206" s="189"/>
      <c r="T206" s="193"/>
      <c r="U206" s="188"/>
      <c r="V206" s="189"/>
      <c r="W206" s="189"/>
      <c r="X206" s="190"/>
      <c r="Z206" s="191"/>
      <c r="AA206" s="189"/>
      <c r="AB206" s="189"/>
      <c r="AC206" s="189"/>
      <c r="AD206" s="189"/>
      <c r="AE206" s="189"/>
      <c r="AF206" s="189"/>
      <c r="AG206" s="189"/>
      <c r="AH206" s="193"/>
      <c r="AI206" s="189"/>
      <c r="AJ206" s="189"/>
      <c r="AK206" s="189"/>
      <c r="AL206" s="189"/>
      <c r="AM206" s="190"/>
    </row>
    <row r="207" spans="2:39" ht="14.25" customHeight="1">
      <c r="B207" s="191"/>
      <c r="C207" s="211" t="s">
        <v>2995</v>
      </c>
      <c r="D207" s="189"/>
      <c r="E207" s="189"/>
      <c r="F207" s="189"/>
      <c r="G207" s="189"/>
      <c r="H207" s="189"/>
      <c r="I207" s="189"/>
      <c r="J207" s="189"/>
      <c r="K207" s="189"/>
      <c r="L207" s="190"/>
      <c r="N207" s="191"/>
      <c r="O207" s="189"/>
      <c r="P207" s="189"/>
      <c r="Q207" s="189"/>
      <c r="R207" s="189"/>
      <c r="S207" s="189"/>
      <c r="T207" s="193"/>
      <c r="U207" s="188"/>
      <c r="V207" s="189"/>
      <c r="W207" s="189"/>
      <c r="X207" s="190"/>
      <c r="Z207" s="191"/>
      <c r="AA207" s="189"/>
      <c r="AB207" s="189"/>
      <c r="AC207" s="189"/>
      <c r="AD207" s="189"/>
      <c r="AE207" s="189"/>
      <c r="AF207" s="189"/>
      <c r="AG207" s="189"/>
      <c r="AH207" s="193" t="s">
        <v>270</v>
      </c>
      <c r="AI207" s="188">
        <v>0.9</v>
      </c>
      <c r="AJ207" s="189"/>
      <c r="AK207" s="189"/>
      <c r="AL207" s="189"/>
      <c r="AM207" s="190"/>
    </row>
    <row r="208" spans="2:39" ht="14.25" customHeight="1">
      <c r="B208" s="191"/>
      <c r="C208" s="189"/>
      <c r="D208" s="203"/>
      <c r="E208" s="189"/>
      <c r="F208" s="188"/>
      <c r="G208" s="212"/>
      <c r="H208" s="189"/>
      <c r="I208" s="203"/>
      <c r="J208" s="189"/>
      <c r="K208" s="189"/>
      <c r="L208" s="190"/>
      <c r="N208" s="191"/>
      <c r="O208" s="189"/>
      <c r="P208" s="189"/>
      <c r="Q208" s="189"/>
      <c r="R208" s="189"/>
      <c r="S208" s="189"/>
      <c r="T208" s="189"/>
      <c r="U208" s="189"/>
      <c r="V208" s="189"/>
      <c r="W208" s="189"/>
      <c r="X208" s="190"/>
      <c r="Z208" s="191"/>
      <c r="AA208" s="189"/>
      <c r="AB208" s="189"/>
      <c r="AC208" s="189"/>
      <c r="AD208" s="189"/>
      <c r="AE208" s="189"/>
      <c r="AF208" s="189"/>
      <c r="AG208" s="189"/>
      <c r="AH208" s="193"/>
      <c r="AI208" s="189"/>
      <c r="AJ208" s="189"/>
      <c r="AK208" s="189"/>
      <c r="AL208" s="189"/>
      <c r="AM208" s="190"/>
    </row>
    <row r="209" spans="2:39" ht="14.25" customHeight="1">
      <c r="B209" s="191"/>
      <c r="C209" s="210" t="s">
        <v>2996</v>
      </c>
      <c r="D209" s="830">
        <f>중기사용료!$M$1594</f>
        <v>13479</v>
      </c>
      <c r="E209" s="830"/>
      <c r="F209" s="201">
        <f>C202</f>
        <v>6.46</v>
      </c>
      <c r="G209" s="833" t="s">
        <v>2999</v>
      </c>
      <c r="H209" s="833"/>
      <c r="I209" s="203">
        <f>TRUNC(D209/F209*2*26/46)</f>
        <v>2358</v>
      </c>
      <c r="J209" s="189" t="s">
        <v>3000</v>
      </c>
      <c r="K209" s="189"/>
      <c r="L209" s="190"/>
      <c r="N209" s="191"/>
      <c r="O209" s="189"/>
      <c r="P209" s="189"/>
      <c r="Q209" s="189"/>
      <c r="R209" s="189"/>
      <c r="S209" s="189"/>
      <c r="T209" s="189"/>
      <c r="U209" s="189"/>
      <c r="V209" s="189"/>
      <c r="W209" s="189"/>
      <c r="X209" s="190"/>
      <c r="Z209" s="191"/>
      <c r="AA209" s="189" t="s">
        <v>285</v>
      </c>
      <c r="AB209" s="189"/>
      <c r="AC209" s="189"/>
      <c r="AD209" s="189"/>
      <c r="AE209" s="189"/>
      <c r="AF209" s="189"/>
      <c r="AG209" s="189"/>
      <c r="AH209" s="193"/>
      <c r="AI209" s="188"/>
      <c r="AJ209" s="189"/>
      <c r="AK209" s="189"/>
      <c r="AL209" s="189"/>
      <c r="AM209" s="190"/>
    </row>
    <row r="210" spans="2:39" ht="14.25" customHeight="1">
      <c r="B210" s="191"/>
      <c r="C210" s="210" t="s">
        <v>3002</v>
      </c>
      <c r="D210" s="830">
        <f>중기사용료!$M$1588</f>
        <v>24483</v>
      </c>
      <c r="E210" s="830"/>
      <c r="F210" s="209">
        <f>C202</f>
        <v>6.46</v>
      </c>
      <c r="G210" s="201" t="s">
        <v>3003</v>
      </c>
      <c r="H210" s="188" t="s">
        <v>2993</v>
      </c>
      <c r="I210" s="203">
        <f>TRUNC(D210/F210*2)</f>
        <v>7579</v>
      </c>
      <c r="J210" s="189" t="s">
        <v>3000</v>
      </c>
      <c r="K210" s="189"/>
      <c r="L210" s="190"/>
      <c r="N210" s="191"/>
      <c r="O210" s="210" t="s">
        <v>288</v>
      </c>
      <c r="P210" s="813">
        <f>중기사용료!$M$739</f>
        <v>4031</v>
      </c>
      <c r="Q210" s="813"/>
      <c r="R210" s="188" t="s">
        <v>300</v>
      </c>
      <c r="S210" s="201">
        <f>O206</f>
        <v>1.2</v>
      </c>
      <c r="T210" s="188" t="s">
        <v>1582</v>
      </c>
      <c r="U210" s="203">
        <f>TRUNC(P210/S210)</f>
        <v>3359</v>
      </c>
      <c r="V210" s="189" t="s">
        <v>289</v>
      </c>
      <c r="W210" s="189"/>
      <c r="X210" s="190"/>
      <c r="Z210" s="191"/>
      <c r="AA210" s="189"/>
      <c r="AB210" s="189"/>
      <c r="AC210" s="189"/>
      <c r="AD210" s="189"/>
      <c r="AE210" s="189"/>
      <c r="AF210" s="189"/>
      <c r="AG210" s="189"/>
      <c r="AH210" s="193"/>
      <c r="AI210" s="188"/>
      <c r="AJ210" s="189"/>
      <c r="AK210" s="189"/>
      <c r="AL210" s="189"/>
      <c r="AM210" s="190"/>
    </row>
    <row r="211" spans="2:39" ht="14.25" customHeight="1">
      <c r="B211" s="191"/>
      <c r="C211" s="210" t="s">
        <v>3004</v>
      </c>
      <c r="D211" s="830">
        <f>중기사용료!$M$1582</f>
        <v>7823</v>
      </c>
      <c r="E211" s="830"/>
      <c r="F211" s="209">
        <f>C202</f>
        <v>6.46</v>
      </c>
      <c r="G211" s="201" t="s">
        <v>3003</v>
      </c>
      <c r="H211" s="188" t="s">
        <v>2993</v>
      </c>
      <c r="I211" s="203">
        <f>TRUNC(D211/F211*2)</f>
        <v>2421</v>
      </c>
      <c r="J211" s="189" t="s">
        <v>3000</v>
      </c>
      <c r="K211" s="189"/>
      <c r="L211" s="190"/>
      <c r="N211" s="191"/>
      <c r="O211" s="210" t="s">
        <v>1630</v>
      </c>
      <c r="P211" s="813">
        <f>중기사용료!$M$733</f>
        <v>27168</v>
      </c>
      <c r="Q211" s="813"/>
      <c r="R211" s="188" t="s">
        <v>300</v>
      </c>
      <c r="S211" s="201">
        <f>O206</f>
        <v>1.2</v>
      </c>
      <c r="T211" s="188" t="s">
        <v>1582</v>
      </c>
      <c r="U211" s="203">
        <f>TRUNC(P211/S211)</f>
        <v>22640</v>
      </c>
      <c r="V211" s="189" t="s">
        <v>289</v>
      </c>
      <c r="W211" s="189"/>
      <c r="X211" s="190"/>
      <c r="Z211" s="191"/>
      <c r="AA211" s="188" t="s">
        <v>246</v>
      </c>
      <c r="AB211" s="189" t="s">
        <v>1628</v>
      </c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90"/>
    </row>
    <row r="212" spans="2:39" ht="14.25" customHeight="1">
      <c r="B212" s="191"/>
      <c r="C212" s="210"/>
      <c r="D212" s="221"/>
      <c r="E212" s="221"/>
      <c r="F212" s="209"/>
      <c r="G212" s="201"/>
      <c r="H212" s="188"/>
      <c r="I212" s="203"/>
      <c r="J212" s="189"/>
      <c r="K212" s="189"/>
      <c r="L212" s="190"/>
      <c r="N212" s="191"/>
      <c r="O212" s="210" t="s">
        <v>1633</v>
      </c>
      <c r="P212" s="813">
        <f>중기사용료!$M$727</f>
        <v>4753</v>
      </c>
      <c r="Q212" s="813"/>
      <c r="R212" s="188" t="s">
        <v>300</v>
      </c>
      <c r="S212" s="201">
        <f>O206</f>
        <v>1.2</v>
      </c>
      <c r="T212" s="188" t="s">
        <v>1582</v>
      </c>
      <c r="U212" s="203">
        <f>TRUNC(P212/S212)</f>
        <v>3960</v>
      </c>
      <c r="V212" s="189" t="s">
        <v>289</v>
      </c>
      <c r="W212" s="189"/>
      <c r="X212" s="190"/>
      <c r="Z212" s="191"/>
      <c r="AA212" s="189" t="s">
        <v>1631</v>
      </c>
      <c r="AB212" s="189" t="str">
        <f>" 60 × "&amp;AC196&amp;" × "&amp;AI207&amp;" / "&amp;AI205&amp;" ="</f>
        <v xml:space="preserve"> 60 × 5.5 × 0.9 / 36.71 =</v>
      </c>
      <c r="AC212" s="189"/>
      <c r="AD212" s="189"/>
      <c r="AE212" s="189"/>
      <c r="AF212" s="189"/>
      <c r="AG212" s="212">
        <f>TRUNC(60*AC196*AI207/AI205,2)</f>
        <v>8.09</v>
      </c>
      <c r="AH212" s="189" t="s">
        <v>814</v>
      </c>
      <c r="AI212" s="189"/>
      <c r="AJ212" s="189"/>
      <c r="AK212" s="189"/>
      <c r="AL212" s="189"/>
      <c r="AM212" s="190"/>
    </row>
    <row r="213" spans="2:39" ht="14.25" customHeight="1">
      <c r="B213" s="191"/>
      <c r="C213" s="210"/>
      <c r="D213" s="221"/>
      <c r="E213" s="221"/>
      <c r="F213" s="209"/>
      <c r="G213" s="201"/>
      <c r="H213" s="188"/>
      <c r="I213" s="203"/>
      <c r="J213" s="189"/>
      <c r="K213" s="189"/>
      <c r="L213" s="190"/>
      <c r="N213" s="191"/>
      <c r="O213" s="210"/>
      <c r="P213" s="203"/>
      <c r="Q213" s="203"/>
      <c r="R213" s="188"/>
      <c r="S213" s="201"/>
      <c r="T213" s="188"/>
      <c r="U213" s="203"/>
      <c r="V213" s="189"/>
      <c r="W213" s="189"/>
      <c r="X213" s="190"/>
      <c r="Z213" s="191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90"/>
    </row>
    <row r="214" spans="2:39" ht="14.25" customHeight="1">
      <c r="B214" s="191"/>
      <c r="C214" s="189"/>
      <c r="D214" s="189"/>
      <c r="E214" s="189"/>
      <c r="F214" s="189"/>
      <c r="G214" s="189"/>
      <c r="H214" s="189"/>
      <c r="I214" s="189"/>
      <c r="J214" s="189"/>
      <c r="K214" s="189"/>
      <c r="L214" s="190"/>
      <c r="N214" s="191"/>
      <c r="O214" s="210"/>
      <c r="P214" s="203"/>
      <c r="Q214" s="203"/>
      <c r="R214" s="188"/>
      <c r="S214" s="201"/>
      <c r="T214" s="188"/>
      <c r="U214" s="203"/>
      <c r="V214" s="189"/>
      <c r="W214" s="189"/>
      <c r="X214" s="190"/>
      <c r="Z214" s="191"/>
      <c r="AA214" s="189"/>
      <c r="AB214" s="212"/>
      <c r="AC214" s="189"/>
      <c r="AD214" s="189"/>
      <c r="AE214" s="188"/>
      <c r="AF214" s="188"/>
      <c r="AG214" s="189"/>
      <c r="AH214" s="188"/>
      <c r="AI214" s="198"/>
      <c r="AJ214" s="210"/>
      <c r="AK214" s="189"/>
      <c r="AL214" s="189"/>
      <c r="AM214" s="190"/>
    </row>
    <row r="215" spans="2:39" ht="14.25" customHeight="1">
      <c r="B215" s="191"/>
      <c r="C215" s="189"/>
      <c r="D215" s="189"/>
      <c r="E215" s="189"/>
      <c r="F215" s="189"/>
      <c r="G215" s="189"/>
      <c r="H215" s="189"/>
      <c r="I215" s="189"/>
      <c r="J215" s="189"/>
      <c r="K215" s="189"/>
      <c r="L215" s="190"/>
      <c r="N215" s="191"/>
      <c r="O215" s="189"/>
      <c r="P215" s="189"/>
      <c r="Q215" s="189"/>
      <c r="R215" s="189"/>
      <c r="S215" s="189"/>
      <c r="T215" s="189"/>
      <c r="U215" s="189"/>
      <c r="V215" s="189"/>
      <c r="W215" s="189"/>
      <c r="X215" s="190"/>
      <c r="Z215" s="191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90"/>
    </row>
    <row r="216" spans="2:39" ht="14.25" customHeight="1">
      <c r="B216" s="216"/>
      <c r="C216" s="179"/>
      <c r="D216" s="179"/>
      <c r="E216" s="179"/>
      <c r="F216" s="179"/>
      <c r="G216" s="179"/>
      <c r="H216" s="179"/>
      <c r="I216" s="179"/>
      <c r="J216" s="179"/>
      <c r="K216" s="179"/>
      <c r="L216" s="217"/>
      <c r="N216" s="567" t="s">
        <v>815</v>
      </c>
      <c r="O216" s="586"/>
      <c r="P216" s="586"/>
      <c r="Q216" s="561"/>
      <c r="R216" s="561"/>
      <c r="S216" s="561"/>
      <c r="T216" s="561"/>
      <c r="U216" s="561"/>
      <c r="V216" s="561"/>
      <c r="W216" s="561"/>
      <c r="X216" s="564"/>
      <c r="Z216" s="191"/>
      <c r="AA216" s="189" t="s">
        <v>1636</v>
      </c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90"/>
    </row>
    <row r="217" spans="2:39" ht="14.25" customHeight="1">
      <c r="B217" s="179"/>
      <c r="C217" s="179"/>
      <c r="D217" s="179"/>
      <c r="E217" s="179"/>
      <c r="F217" s="179"/>
      <c r="G217" s="179"/>
      <c r="H217" s="179"/>
      <c r="I217" s="179"/>
      <c r="J217" s="179"/>
      <c r="K217" s="179"/>
      <c r="L217" s="179"/>
      <c r="N217" s="191"/>
      <c r="O217" s="189"/>
      <c r="P217" s="189"/>
      <c r="Q217" s="189"/>
      <c r="R217" s="189"/>
      <c r="S217" s="189"/>
      <c r="T217" s="189"/>
      <c r="U217" s="189"/>
      <c r="V217" s="189"/>
      <c r="W217" s="189"/>
      <c r="X217" s="190"/>
      <c r="Z217" s="191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90"/>
    </row>
    <row r="218" spans="2:39" ht="14.25" customHeight="1">
      <c r="B218" s="180" t="s">
        <v>3008</v>
      </c>
      <c r="C218" s="181"/>
      <c r="D218" s="181"/>
      <c r="E218" s="181" t="s">
        <v>3009</v>
      </c>
      <c r="F218" s="181"/>
      <c r="G218" s="181"/>
      <c r="H218" s="181" t="s">
        <v>3010</v>
      </c>
      <c r="I218" s="181"/>
      <c r="J218" s="181"/>
      <c r="K218" s="181"/>
      <c r="L218" s="183"/>
      <c r="N218" s="194" t="s">
        <v>246</v>
      </c>
      <c r="O218" s="189" t="s">
        <v>1641</v>
      </c>
      <c r="P218" s="189"/>
      <c r="Q218" s="189"/>
      <c r="R218" s="189"/>
      <c r="S218" s="189"/>
      <c r="T218" s="193" t="s">
        <v>255</v>
      </c>
      <c r="U218" s="195">
        <v>1</v>
      </c>
      <c r="V218" s="189"/>
      <c r="W218" s="189"/>
      <c r="X218" s="190"/>
      <c r="Z218" s="191"/>
      <c r="AA218" s="822" t="s">
        <v>1642</v>
      </c>
      <c r="AB218" s="822"/>
      <c r="AC218" s="813">
        <f>중기사용료!$M$1594</f>
        <v>13479</v>
      </c>
      <c r="AD218" s="813"/>
      <c r="AE218" s="813"/>
      <c r="AF218" s="203" t="s">
        <v>300</v>
      </c>
      <c r="AG218" s="821" t="str">
        <f>AG212&amp;"×"&amp;(AI199+AI203)&amp;"/"&amp;AI205&amp;"="</f>
        <v>8.09×21.71/36.71=</v>
      </c>
      <c r="AH218" s="821"/>
      <c r="AI218" s="821"/>
      <c r="AJ218" s="813">
        <f>TRUNC(AC218/AG212*(AI199+AI203)/AI205)</f>
        <v>985</v>
      </c>
      <c r="AK218" s="813"/>
      <c r="AL218" s="239" t="s">
        <v>816</v>
      </c>
      <c r="AM218" s="190"/>
    </row>
    <row r="219" spans="2:39" ht="14.25" customHeight="1">
      <c r="B219" s="828"/>
      <c r="C219" s="829"/>
      <c r="D219" s="829"/>
      <c r="E219" s="829"/>
      <c r="F219" s="829"/>
      <c r="G219" s="829"/>
      <c r="H219" s="188"/>
      <c r="I219" s="189"/>
      <c r="J219" s="189"/>
      <c r="K219" s="189"/>
      <c r="L219" s="190"/>
      <c r="N219" s="191"/>
      <c r="O219" s="189" t="s">
        <v>258</v>
      </c>
      <c r="P219" s="189"/>
      <c r="Q219" s="189"/>
      <c r="R219" s="189"/>
      <c r="S219" s="189"/>
      <c r="T219" s="189"/>
      <c r="U219" s="213"/>
      <c r="V219" s="196"/>
      <c r="W219" s="189"/>
      <c r="X219" s="190"/>
      <c r="Z219" s="191"/>
      <c r="AA219" s="559" t="s">
        <v>3691</v>
      </c>
      <c r="AB219" s="559"/>
      <c r="AC219" s="813">
        <f>중기사용료!$M$1588</f>
        <v>24483</v>
      </c>
      <c r="AD219" s="813"/>
      <c r="AE219" s="813"/>
      <c r="AF219" s="203" t="s">
        <v>3692</v>
      </c>
      <c r="AG219" s="821">
        <f>AG212</f>
        <v>8.09</v>
      </c>
      <c r="AH219" s="821"/>
      <c r="AI219" s="206" t="s">
        <v>3693</v>
      </c>
      <c r="AJ219" s="821">
        <f>TRUNC(AC219/AG219)</f>
        <v>3026</v>
      </c>
      <c r="AK219" s="821"/>
      <c r="AL219" s="596" t="s">
        <v>3694</v>
      </c>
      <c r="AM219" s="190"/>
    </row>
    <row r="220" spans="2:39" ht="14.25" customHeight="1">
      <c r="B220" s="191"/>
      <c r="C220" s="189"/>
      <c r="D220" s="189"/>
      <c r="E220" s="189"/>
      <c r="F220" s="189"/>
      <c r="G220" s="189"/>
      <c r="H220" s="193" t="s">
        <v>3013</v>
      </c>
      <c r="I220" s="189" t="s">
        <v>3014</v>
      </c>
      <c r="J220" s="189"/>
      <c r="K220" s="189"/>
      <c r="L220" s="190"/>
      <c r="N220" s="194" t="s">
        <v>2979</v>
      </c>
      <c r="O220" s="197" t="str">
        <f>" 1,000×"&amp;U218&amp;"×"&amp;U220&amp;"×"&amp;U222&amp;"  / "&amp;U224</f>
        <v xml:space="preserve"> 1,000×1×0.45×0.6  / 3</v>
      </c>
      <c r="P220" s="189"/>
      <c r="Q220" s="189"/>
      <c r="R220" s="189"/>
      <c r="S220" s="189"/>
      <c r="T220" s="193" t="s">
        <v>2980</v>
      </c>
      <c r="U220" s="195">
        <v>0.45</v>
      </c>
      <c r="V220" s="196"/>
      <c r="W220" s="189"/>
      <c r="X220" s="190"/>
      <c r="Z220" s="191"/>
      <c r="AA220" s="559" t="s">
        <v>3695</v>
      </c>
      <c r="AB220" s="559"/>
      <c r="AC220" s="813">
        <f>중기사용료!$M$1582</f>
        <v>7823</v>
      </c>
      <c r="AD220" s="813"/>
      <c r="AE220" s="813"/>
      <c r="AF220" s="203" t="s">
        <v>3692</v>
      </c>
      <c r="AG220" s="821">
        <f>AG212</f>
        <v>8.09</v>
      </c>
      <c r="AH220" s="821"/>
      <c r="AI220" s="206" t="s">
        <v>3693</v>
      </c>
      <c r="AJ220" s="821">
        <f>TRUNC(AC220/AG220)</f>
        <v>966</v>
      </c>
      <c r="AK220" s="821"/>
      <c r="AL220" s="596" t="s">
        <v>3694</v>
      </c>
      <c r="AM220" s="190"/>
    </row>
    <row r="221" spans="2:39" ht="14.25" customHeight="1">
      <c r="B221" s="194" t="s">
        <v>3016</v>
      </c>
      <c r="C221" s="189" t="s">
        <v>3017</v>
      </c>
      <c r="D221" s="189"/>
      <c r="E221" s="189"/>
      <c r="F221" s="189"/>
      <c r="G221" s="189"/>
      <c r="H221" s="193" t="s">
        <v>3018</v>
      </c>
      <c r="I221" s="188">
        <v>50</v>
      </c>
      <c r="J221" s="189" t="s">
        <v>2644</v>
      </c>
      <c r="K221" s="189"/>
      <c r="L221" s="190"/>
      <c r="N221" s="191"/>
      <c r="O221" s="189"/>
      <c r="P221" s="189"/>
      <c r="Q221" s="189"/>
      <c r="R221" s="189"/>
      <c r="S221" s="189"/>
      <c r="T221" s="189"/>
      <c r="U221" s="213"/>
      <c r="V221" s="188"/>
      <c r="W221" s="189"/>
      <c r="X221" s="190"/>
      <c r="Z221" s="191"/>
      <c r="AA221" s="559"/>
      <c r="AB221" s="559"/>
      <c r="AC221" s="203"/>
      <c r="AD221" s="203"/>
      <c r="AE221" s="203"/>
      <c r="AF221" s="203"/>
      <c r="AG221" s="188"/>
      <c r="AH221" s="188"/>
      <c r="AI221" s="206"/>
      <c r="AJ221" s="188"/>
      <c r="AK221" s="188"/>
      <c r="AL221" s="596"/>
      <c r="AM221" s="190"/>
    </row>
    <row r="222" spans="2:39" ht="14.25" customHeight="1">
      <c r="B222" s="191"/>
      <c r="C222" s="189" t="s">
        <v>3021</v>
      </c>
      <c r="D222" s="189"/>
      <c r="E222" s="189"/>
      <c r="F222" s="189"/>
      <c r="G222" s="189"/>
      <c r="H222" s="193" t="s">
        <v>3022</v>
      </c>
      <c r="I222" s="188">
        <v>1</v>
      </c>
      <c r="J222" s="189"/>
      <c r="K222" s="189"/>
      <c r="L222" s="190"/>
      <c r="N222" s="194" t="s">
        <v>2975</v>
      </c>
      <c r="O222" s="198">
        <f>TRUNC(1000*U218*U220*U222/U224,2)</f>
        <v>90</v>
      </c>
      <c r="P222" s="189" t="s">
        <v>4003</v>
      </c>
      <c r="Q222" s="189"/>
      <c r="R222" s="189"/>
      <c r="S222" s="189"/>
      <c r="T222" s="193" t="s">
        <v>2984</v>
      </c>
      <c r="U222" s="200">
        <v>0.6</v>
      </c>
      <c r="V222" s="189"/>
      <c r="W222" s="189"/>
      <c r="X222" s="190"/>
      <c r="Z222" s="191"/>
      <c r="AA222" s="559"/>
      <c r="AB222" s="559"/>
      <c r="AC222" s="206"/>
      <c r="AD222" s="206"/>
      <c r="AE222" s="206"/>
      <c r="AF222" s="206"/>
      <c r="AG222" s="189"/>
      <c r="AH222" s="189"/>
      <c r="AI222" s="206"/>
      <c r="AJ222" s="206"/>
      <c r="AK222" s="206"/>
      <c r="AL222" s="206"/>
      <c r="AM222" s="190"/>
    </row>
    <row r="223" spans="2:39" ht="14.25" customHeight="1">
      <c r="B223" s="194" t="s">
        <v>3023</v>
      </c>
      <c r="C223" s="197" t="str">
        <f>" 60×"&amp;I223&amp;"×"&amp;I221&amp;"×"&amp;I225&amp;"×"&amp;I222&amp;"×"&amp;I227&amp;" / ("&amp;I224&amp;"ㆍ"&amp;I228&amp;")sec"</f>
        <v xml:space="preserve"> 60×2.9×50×0.15×1×0.6 / (1ㆍ1.96)sec</v>
      </c>
      <c r="D223" s="189"/>
      <c r="E223" s="189"/>
      <c r="F223" s="189"/>
      <c r="G223" s="189"/>
      <c r="H223" s="193" t="s">
        <v>3024</v>
      </c>
      <c r="I223" s="188">
        <v>2.9</v>
      </c>
      <c r="J223" s="189" t="s">
        <v>3025</v>
      </c>
      <c r="K223" s="189"/>
      <c r="L223" s="190"/>
      <c r="N223" s="191"/>
      <c r="O223" s="189"/>
      <c r="P223" s="189"/>
      <c r="Q223" s="189"/>
      <c r="R223" s="189"/>
      <c r="S223" s="189"/>
      <c r="T223" s="189"/>
      <c r="U223" s="213"/>
      <c r="V223" s="189"/>
      <c r="W223" s="189"/>
      <c r="X223" s="190"/>
      <c r="Z223" s="588" t="s">
        <v>1635</v>
      </c>
      <c r="AA223" s="586" t="s">
        <v>2986</v>
      </c>
      <c r="AB223" s="561"/>
      <c r="AC223" s="561"/>
      <c r="AD223" s="561"/>
      <c r="AE223" s="561"/>
      <c r="AF223" s="561"/>
      <c r="AG223" s="561"/>
      <c r="AH223" s="561"/>
      <c r="AI223" s="561"/>
      <c r="AJ223" s="561"/>
      <c r="AK223" s="561"/>
      <c r="AL223" s="561"/>
      <c r="AM223" s="564"/>
    </row>
    <row r="224" spans="2:39" ht="14.25" customHeight="1">
      <c r="B224" s="191"/>
      <c r="C224" s="189"/>
      <c r="D224" s="189"/>
      <c r="E224" s="189"/>
      <c r="F224" s="189"/>
      <c r="G224" s="189"/>
      <c r="H224" s="193" t="s">
        <v>3027</v>
      </c>
      <c r="I224" s="188">
        <v>1</v>
      </c>
      <c r="J224" s="196" t="s">
        <v>3028</v>
      </c>
      <c r="K224" s="189"/>
      <c r="L224" s="190"/>
      <c r="N224" s="194" t="s">
        <v>4004</v>
      </c>
      <c r="O224" s="203">
        <f>O222</f>
        <v>90</v>
      </c>
      <c r="P224" s="189" t="s">
        <v>2989</v>
      </c>
      <c r="Q224" s="189"/>
      <c r="R224" s="189"/>
      <c r="S224" s="189"/>
      <c r="T224" s="193" t="s">
        <v>2990</v>
      </c>
      <c r="U224" s="195">
        <v>3</v>
      </c>
      <c r="V224" s="189" t="s">
        <v>2991</v>
      </c>
      <c r="W224" s="189"/>
      <c r="X224" s="190"/>
      <c r="Z224" s="191"/>
      <c r="AA224" s="210"/>
      <c r="AB224" s="189"/>
      <c r="AC224" s="189"/>
      <c r="AD224" s="188"/>
      <c r="AE224" s="188"/>
      <c r="AF224" s="188"/>
      <c r="AG224" s="232"/>
      <c r="AH224" s="233"/>
      <c r="AI224" s="188"/>
      <c r="AJ224" s="813">
        <v>470</v>
      </c>
      <c r="AK224" s="813"/>
      <c r="AL224" s="189" t="s">
        <v>2992</v>
      </c>
      <c r="AM224" s="190"/>
    </row>
    <row r="225" spans="2:39" ht="14.25" customHeight="1">
      <c r="B225" s="194" t="s">
        <v>2983</v>
      </c>
      <c r="C225" s="201">
        <f>TRUNC(60*I223*I221*I225*I222*I227/(I228*I224),2)</f>
        <v>399.48</v>
      </c>
      <c r="D225" s="189" t="s">
        <v>3029</v>
      </c>
      <c r="E225" s="189"/>
      <c r="F225" s="189"/>
      <c r="G225" s="189"/>
      <c r="H225" s="193" t="s">
        <v>3030</v>
      </c>
      <c r="I225" s="188">
        <v>0.15</v>
      </c>
      <c r="J225" s="196" t="s">
        <v>2644</v>
      </c>
      <c r="K225" s="188"/>
      <c r="L225" s="190"/>
      <c r="N225" s="191"/>
      <c r="O225" s="189"/>
      <c r="P225" s="189"/>
      <c r="Q225" s="189"/>
      <c r="R225" s="189"/>
      <c r="S225" s="189"/>
      <c r="T225" s="189"/>
      <c r="U225" s="189"/>
      <c r="V225" s="189"/>
      <c r="W225" s="189"/>
      <c r="X225" s="190"/>
      <c r="Z225" s="191"/>
      <c r="AA225" s="210"/>
      <c r="AB225" s="189"/>
      <c r="AC225" s="189"/>
      <c r="AD225" s="188"/>
      <c r="AE225" s="188"/>
      <c r="AF225" s="188"/>
      <c r="AG225" s="232"/>
      <c r="AH225" s="233"/>
      <c r="AI225" s="188"/>
      <c r="AJ225" s="813"/>
      <c r="AK225" s="813"/>
      <c r="AL225" s="189"/>
      <c r="AM225" s="190"/>
    </row>
    <row r="226" spans="2:39" ht="14.25" customHeight="1">
      <c r="B226" s="191"/>
      <c r="C226" s="189"/>
      <c r="D226" s="189"/>
      <c r="E226" s="189"/>
      <c r="F226" s="189"/>
      <c r="G226" s="189"/>
      <c r="H226" s="193"/>
      <c r="I226" s="188"/>
      <c r="J226" s="188"/>
      <c r="K226" s="188"/>
      <c r="L226" s="190"/>
      <c r="N226" s="194" t="s">
        <v>2993</v>
      </c>
      <c r="O226" s="188">
        <f>O224/100</f>
        <v>0.9</v>
      </c>
      <c r="P226" s="210" t="s">
        <v>2994</v>
      </c>
      <c r="Q226" s="189"/>
      <c r="R226" s="189"/>
      <c r="S226" s="189"/>
      <c r="T226" s="193"/>
      <c r="U226" s="188"/>
      <c r="V226" s="189"/>
      <c r="W226" s="189"/>
      <c r="X226" s="190"/>
      <c r="Z226" s="191"/>
      <c r="AA226" s="189"/>
      <c r="AB226" s="189"/>
      <c r="AC226" s="189"/>
      <c r="AD226" s="189"/>
      <c r="AE226" s="189"/>
      <c r="AF226" s="189"/>
      <c r="AG226" s="189"/>
      <c r="AH226" s="189"/>
      <c r="AI226" s="188"/>
      <c r="AJ226" s="813"/>
      <c r="AK226" s="821"/>
      <c r="AL226" s="189"/>
      <c r="AM226" s="190"/>
    </row>
    <row r="227" spans="2:39" ht="14.25" customHeight="1">
      <c r="B227" s="194" t="s">
        <v>3032</v>
      </c>
      <c r="C227" s="201">
        <f>C225</f>
        <v>399.48</v>
      </c>
      <c r="D227" s="189" t="s">
        <v>4006</v>
      </c>
      <c r="E227" s="189"/>
      <c r="F227" s="189"/>
      <c r="G227" s="189"/>
      <c r="H227" s="193" t="s">
        <v>3031</v>
      </c>
      <c r="I227" s="188">
        <v>0.6</v>
      </c>
      <c r="J227" s="189"/>
      <c r="K227" s="189"/>
      <c r="L227" s="190"/>
      <c r="N227" s="191"/>
      <c r="O227" s="189"/>
      <c r="P227" s="189"/>
      <c r="Q227" s="189"/>
      <c r="R227" s="189"/>
      <c r="S227" s="189"/>
      <c r="T227" s="193"/>
      <c r="U227" s="188"/>
      <c r="V227" s="189"/>
      <c r="W227" s="189"/>
      <c r="X227" s="190"/>
      <c r="Z227" s="191"/>
      <c r="AA227" s="189"/>
      <c r="AB227" s="189"/>
      <c r="AC227" s="189"/>
      <c r="AD227" s="189"/>
      <c r="AE227" s="189"/>
      <c r="AF227" s="189"/>
      <c r="AG227" s="189"/>
      <c r="AH227" s="189"/>
      <c r="AI227" s="188"/>
      <c r="AJ227" s="203"/>
      <c r="AK227" s="188"/>
      <c r="AL227" s="189"/>
      <c r="AM227" s="190"/>
    </row>
    <row r="228" spans="2:39" ht="14.25" customHeight="1">
      <c r="B228" s="191"/>
      <c r="C228" s="189"/>
      <c r="D228" s="189"/>
      <c r="E228" s="189"/>
      <c r="F228" s="189"/>
      <c r="G228" s="189"/>
      <c r="H228" s="193" t="s">
        <v>3035</v>
      </c>
      <c r="I228" s="209">
        <f>TRUNC(0.06*(I221/I230+I221/I231)+2*I232,2)</f>
        <v>1.96</v>
      </c>
      <c r="J228" s="189"/>
      <c r="K228" s="189"/>
      <c r="L228" s="190"/>
      <c r="N228" s="191"/>
      <c r="O228" s="210" t="s">
        <v>2996</v>
      </c>
      <c r="P228" s="813">
        <f>중기사용료!$M$815</f>
        <v>1589</v>
      </c>
      <c r="Q228" s="813"/>
      <c r="R228" s="188" t="s">
        <v>2997</v>
      </c>
      <c r="S228" s="201">
        <f>O226</f>
        <v>0.9</v>
      </c>
      <c r="T228" s="188" t="s">
        <v>2993</v>
      </c>
      <c r="U228" s="203">
        <f>TRUNC(P228/S228)</f>
        <v>1765</v>
      </c>
      <c r="V228" s="189" t="s">
        <v>2998</v>
      </c>
      <c r="W228" s="189"/>
      <c r="X228" s="190"/>
      <c r="Z228" s="191"/>
      <c r="AA228" s="189"/>
      <c r="AB228" s="189"/>
      <c r="AC228" s="189"/>
      <c r="AD228" s="189"/>
      <c r="AE228" s="189"/>
      <c r="AF228" s="189"/>
      <c r="AG228" s="189"/>
      <c r="AH228" s="189"/>
      <c r="AI228" s="188"/>
      <c r="AJ228" s="203"/>
      <c r="AK228" s="188"/>
      <c r="AL228" s="189"/>
      <c r="AM228" s="190"/>
    </row>
    <row r="229" spans="2:39" ht="14.25" customHeight="1">
      <c r="B229" s="194" t="s">
        <v>2983</v>
      </c>
      <c r="C229" s="188">
        <f>TRUNC(C227/15,2)</f>
        <v>26.63</v>
      </c>
      <c r="D229" s="210" t="s">
        <v>3036</v>
      </c>
      <c r="E229" s="189"/>
      <c r="F229" s="189"/>
      <c r="G229" s="189"/>
      <c r="H229" s="193" t="s">
        <v>2983</v>
      </c>
      <c r="I229" s="189" t="s">
        <v>3037</v>
      </c>
      <c r="J229" s="189"/>
      <c r="K229" s="189"/>
      <c r="L229" s="190"/>
      <c r="N229" s="191"/>
      <c r="O229" s="210" t="s">
        <v>3002</v>
      </c>
      <c r="P229" s="813">
        <f>중기사용료!$M$809</f>
        <v>18939</v>
      </c>
      <c r="Q229" s="813"/>
      <c r="R229" s="188" t="s">
        <v>2997</v>
      </c>
      <c r="S229" s="201">
        <f>O226</f>
        <v>0.9</v>
      </c>
      <c r="T229" s="188" t="s">
        <v>2993</v>
      </c>
      <c r="U229" s="203">
        <f>TRUNC(P229/S229)</f>
        <v>21043</v>
      </c>
      <c r="V229" s="189" t="s">
        <v>2998</v>
      </c>
      <c r="W229" s="189"/>
      <c r="X229" s="190"/>
      <c r="Z229" s="191"/>
      <c r="AA229" s="821" t="s">
        <v>3001</v>
      </c>
      <c r="AB229" s="821"/>
      <c r="AC229" s="189"/>
      <c r="AD229" s="189"/>
      <c r="AE229" s="189"/>
      <c r="AF229" s="189"/>
      <c r="AG229" s="189"/>
      <c r="AH229" s="189"/>
      <c r="AI229" s="188"/>
      <c r="AJ229" s="203"/>
      <c r="AK229" s="188"/>
      <c r="AL229" s="189"/>
      <c r="AM229" s="190"/>
    </row>
    <row r="230" spans="2:39" ht="14.25" customHeight="1">
      <c r="B230" s="191"/>
      <c r="C230" s="189"/>
      <c r="D230" s="189"/>
      <c r="E230" s="189"/>
      <c r="F230" s="189"/>
      <c r="G230" s="189"/>
      <c r="H230" s="193" t="s">
        <v>3038</v>
      </c>
      <c r="I230" s="188">
        <v>6</v>
      </c>
      <c r="J230" s="189" t="s">
        <v>3039</v>
      </c>
      <c r="K230" s="189"/>
      <c r="L230" s="190"/>
      <c r="N230" s="191"/>
      <c r="O230" s="210" t="s">
        <v>3004</v>
      </c>
      <c r="P230" s="813">
        <f>중기사용료!$M$803</f>
        <v>555</v>
      </c>
      <c r="Q230" s="813"/>
      <c r="R230" s="188" t="s">
        <v>2997</v>
      </c>
      <c r="S230" s="201">
        <f>O226</f>
        <v>0.9</v>
      </c>
      <c r="T230" s="188" t="s">
        <v>2993</v>
      </c>
      <c r="U230" s="203">
        <f>TRUNC(P230/S230)</f>
        <v>616</v>
      </c>
      <c r="V230" s="189" t="s">
        <v>2998</v>
      </c>
      <c r="W230" s="189"/>
      <c r="X230" s="190"/>
      <c r="Z230" s="191"/>
      <c r="AA230" s="821"/>
      <c r="AB230" s="821"/>
      <c r="AC230" s="189"/>
      <c r="AD230" s="189"/>
      <c r="AE230" s="189"/>
      <c r="AF230" s="189"/>
      <c r="AG230" s="189"/>
      <c r="AH230" s="189"/>
      <c r="AI230" s="188"/>
      <c r="AJ230" s="203"/>
      <c r="AK230" s="188"/>
      <c r="AL230" s="189"/>
      <c r="AM230" s="190"/>
    </row>
    <row r="231" spans="2:39" ht="14.25" customHeight="1">
      <c r="B231" s="191"/>
      <c r="C231" s="189"/>
      <c r="D231" s="189"/>
      <c r="E231" s="189"/>
      <c r="F231" s="189"/>
      <c r="G231" s="189"/>
      <c r="H231" s="193" t="s">
        <v>3040</v>
      </c>
      <c r="I231" s="188">
        <v>6.5</v>
      </c>
      <c r="J231" s="189" t="s">
        <v>3041</v>
      </c>
      <c r="K231" s="189"/>
      <c r="L231" s="190"/>
      <c r="N231" s="191"/>
      <c r="O231" s="210"/>
      <c r="P231" s="203"/>
      <c r="Q231" s="203"/>
      <c r="R231" s="188"/>
      <c r="S231" s="201"/>
      <c r="T231" s="188"/>
      <c r="U231" s="203"/>
      <c r="V231" s="189"/>
      <c r="W231" s="189"/>
      <c r="X231" s="190"/>
      <c r="Z231" s="191"/>
      <c r="AA231" s="822" t="s">
        <v>3793</v>
      </c>
      <c r="AB231" s="822"/>
      <c r="AC231" s="813">
        <f>AJ218+AJ224</f>
        <v>1455</v>
      </c>
      <c r="AD231" s="813"/>
      <c r="AE231" s="813"/>
      <c r="AF231" s="189"/>
      <c r="AG231" s="189"/>
      <c r="AH231" s="189"/>
      <c r="AI231" s="188"/>
      <c r="AJ231" s="203"/>
      <c r="AK231" s="188"/>
      <c r="AL231" s="189"/>
      <c r="AM231" s="190"/>
    </row>
    <row r="232" spans="2:39" ht="14.25" customHeight="1">
      <c r="B232" s="191"/>
      <c r="C232" s="211" t="s">
        <v>3042</v>
      </c>
      <c r="D232" s="189"/>
      <c r="E232" s="189"/>
      <c r="F232" s="189"/>
      <c r="G232" s="189"/>
      <c r="H232" s="193" t="s">
        <v>3043</v>
      </c>
      <c r="I232" s="188">
        <v>0.5</v>
      </c>
      <c r="J232" s="189" t="s">
        <v>3044</v>
      </c>
      <c r="K232" s="189"/>
      <c r="L232" s="190"/>
      <c r="N232" s="191"/>
      <c r="O232" s="210"/>
      <c r="P232" s="203"/>
      <c r="Q232" s="203"/>
      <c r="R232" s="188"/>
      <c r="S232" s="201"/>
      <c r="T232" s="188"/>
      <c r="U232" s="203"/>
      <c r="V232" s="189"/>
      <c r="W232" s="189"/>
      <c r="X232" s="190"/>
      <c r="Z232" s="191"/>
      <c r="AA232" s="822"/>
      <c r="AB232" s="822"/>
      <c r="AC232" s="813"/>
      <c r="AD232" s="813"/>
      <c r="AE232" s="813"/>
      <c r="AF232" s="189"/>
      <c r="AG232" s="189"/>
      <c r="AH232" s="189"/>
      <c r="AI232" s="188"/>
      <c r="AJ232" s="203"/>
      <c r="AK232" s="188"/>
      <c r="AL232" s="189"/>
      <c r="AM232" s="190"/>
    </row>
    <row r="233" spans="2:39" ht="14.25" customHeight="1">
      <c r="B233" s="191"/>
      <c r="C233" s="189"/>
      <c r="D233" s="203"/>
      <c r="E233" s="189"/>
      <c r="F233" s="188"/>
      <c r="G233" s="212"/>
      <c r="H233" s="189"/>
      <c r="I233" s="203"/>
      <c r="J233" s="189"/>
      <c r="K233" s="189"/>
      <c r="L233" s="190"/>
      <c r="N233" s="191"/>
      <c r="O233" s="188" t="s">
        <v>3006</v>
      </c>
      <c r="P233" s="189"/>
      <c r="Q233" s="189"/>
      <c r="R233" s="189"/>
      <c r="S233" s="189"/>
      <c r="T233" s="189"/>
      <c r="U233" s="189"/>
      <c r="V233" s="189"/>
      <c r="W233" s="189"/>
      <c r="X233" s="190"/>
      <c r="Z233" s="191"/>
      <c r="AA233" s="822" t="s">
        <v>3005</v>
      </c>
      <c r="AB233" s="822"/>
      <c r="AC233" s="813">
        <f>AJ219</f>
        <v>3026</v>
      </c>
      <c r="AD233" s="813"/>
      <c r="AE233" s="813"/>
      <c r="AF233" s="189"/>
      <c r="AG233" s="189"/>
      <c r="AH233" s="189"/>
      <c r="AI233" s="188"/>
      <c r="AJ233" s="203"/>
      <c r="AK233" s="188"/>
      <c r="AL233" s="189"/>
      <c r="AM233" s="190"/>
    </row>
    <row r="234" spans="2:39" ht="14.25" customHeight="1">
      <c r="B234" s="191"/>
      <c r="C234" s="210" t="s">
        <v>3045</v>
      </c>
      <c r="D234" s="813">
        <f>중기사용료!$M$454</f>
        <v>25105</v>
      </c>
      <c r="E234" s="813"/>
      <c r="F234" s="188" t="s">
        <v>2997</v>
      </c>
      <c r="G234" s="201">
        <f>$C$109</f>
        <v>26.63</v>
      </c>
      <c r="H234" s="188" t="s">
        <v>3046</v>
      </c>
      <c r="I234" s="203" t="s">
        <v>2993</v>
      </c>
      <c r="J234" s="820">
        <f>TRUNC(D234/G234*10)</f>
        <v>9427</v>
      </c>
      <c r="K234" s="820"/>
      <c r="L234" s="190"/>
      <c r="N234" s="191"/>
      <c r="P234" s="189"/>
      <c r="Q234" s="189"/>
      <c r="R234" s="189"/>
      <c r="S234" s="189"/>
      <c r="T234" s="189"/>
      <c r="U234" s="189"/>
      <c r="V234" s="189"/>
      <c r="W234" s="189"/>
      <c r="X234" s="190"/>
      <c r="Z234" s="191"/>
      <c r="AA234" s="822"/>
      <c r="AB234" s="822"/>
      <c r="AC234" s="813"/>
      <c r="AD234" s="813"/>
      <c r="AE234" s="813"/>
      <c r="AF234" s="189"/>
      <c r="AG234" s="189"/>
      <c r="AH234" s="189"/>
      <c r="AI234" s="188"/>
      <c r="AJ234" s="203"/>
      <c r="AK234" s="188"/>
      <c r="AL234" s="189"/>
      <c r="AM234" s="190"/>
    </row>
    <row r="235" spans="2:39" ht="14.25" customHeight="1">
      <c r="B235" s="191"/>
      <c r="C235" s="210" t="s">
        <v>3047</v>
      </c>
      <c r="D235" s="813">
        <f>중기사용료!$M$448</f>
        <v>27168</v>
      </c>
      <c r="E235" s="813"/>
      <c r="F235" s="188" t="s">
        <v>2997</v>
      </c>
      <c r="G235" s="201">
        <f>$C$109</f>
        <v>26.63</v>
      </c>
      <c r="H235" s="188" t="s">
        <v>3046</v>
      </c>
      <c r="I235" s="203" t="s">
        <v>2993</v>
      </c>
      <c r="J235" s="820">
        <f>TRUNC(D235/G235*10)</f>
        <v>10202</v>
      </c>
      <c r="K235" s="820"/>
      <c r="L235" s="190"/>
      <c r="N235" s="191"/>
      <c r="O235" s="210" t="s">
        <v>2996</v>
      </c>
      <c r="P235" s="834">
        <f>U210+U228</f>
        <v>5124</v>
      </c>
      <c r="Q235" s="834"/>
      <c r="R235" s="189"/>
      <c r="S235" s="189"/>
      <c r="T235" s="189"/>
      <c r="U235" s="189"/>
      <c r="V235" s="189"/>
      <c r="W235" s="189"/>
      <c r="X235" s="190"/>
      <c r="Z235" s="191"/>
      <c r="AA235" s="822" t="s">
        <v>3007</v>
      </c>
      <c r="AB235" s="822"/>
      <c r="AC235" s="813">
        <f>AJ220</f>
        <v>966</v>
      </c>
      <c r="AD235" s="813"/>
      <c r="AE235" s="813"/>
      <c r="AF235" s="189"/>
      <c r="AG235" s="189"/>
      <c r="AH235" s="189"/>
      <c r="AI235" s="188"/>
      <c r="AJ235" s="203"/>
      <c r="AK235" s="188"/>
      <c r="AL235" s="189"/>
      <c r="AM235" s="190"/>
    </row>
    <row r="236" spans="2:39" ht="14.25" customHeight="1">
      <c r="B236" s="191"/>
      <c r="C236" s="210" t="s">
        <v>3004</v>
      </c>
      <c r="D236" s="813">
        <f>중기사용료!$M$442</f>
        <v>33896</v>
      </c>
      <c r="E236" s="813"/>
      <c r="F236" s="188" t="s">
        <v>2997</v>
      </c>
      <c r="G236" s="201">
        <f>$C$109</f>
        <v>26.63</v>
      </c>
      <c r="H236" s="188" t="s">
        <v>3046</v>
      </c>
      <c r="I236" s="203" t="s">
        <v>2993</v>
      </c>
      <c r="J236" s="820">
        <f>TRUNC(D236/G236*10)</f>
        <v>12728</v>
      </c>
      <c r="K236" s="820"/>
      <c r="L236" s="190"/>
      <c r="N236" s="191"/>
      <c r="O236" s="210"/>
      <c r="P236" s="189"/>
      <c r="Q236" s="189"/>
      <c r="R236" s="189"/>
      <c r="S236" s="189"/>
      <c r="T236" s="189"/>
      <c r="U236" s="189"/>
      <c r="V236" s="189"/>
      <c r="W236" s="189"/>
      <c r="X236" s="190"/>
      <c r="Z236" s="191"/>
      <c r="AA236" s="822"/>
      <c r="AB236" s="822"/>
      <c r="AC236" s="813"/>
      <c r="AD236" s="813"/>
      <c r="AE236" s="813"/>
      <c r="AF236" s="189"/>
      <c r="AG236" s="189"/>
      <c r="AH236" s="189"/>
      <c r="AI236" s="188" t="s">
        <v>2622</v>
      </c>
      <c r="AJ236" s="813">
        <f>SUM(AC231:AE236)</f>
        <v>5447</v>
      </c>
      <c r="AK236" s="813"/>
      <c r="AL236" s="240" t="s">
        <v>2992</v>
      </c>
      <c r="AM236" s="190"/>
    </row>
    <row r="237" spans="2:39" ht="14.25" customHeight="1">
      <c r="B237" s="191"/>
      <c r="C237" s="210"/>
      <c r="D237" s="203"/>
      <c r="E237" s="203"/>
      <c r="F237" s="188"/>
      <c r="G237" s="201"/>
      <c r="H237" s="188"/>
      <c r="I237" s="203"/>
      <c r="J237" s="560"/>
      <c r="K237" s="560"/>
      <c r="L237" s="190"/>
      <c r="N237" s="191"/>
      <c r="O237" s="210" t="s">
        <v>3002</v>
      </c>
      <c r="P237" s="834">
        <f>U211+U229</f>
        <v>43683</v>
      </c>
      <c r="Q237" s="834"/>
      <c r="R237" s="189"/>
      <c r="S237" s="189"/>
      <c r="T237" s="189"/>
      <c r="U237" s="189"/>
      <c r="V237" s="189"/>
      <c r="W237" s="189"/>
      <c r="X237" s="190"/>
      <c r="Z237" s="191"/>
      <c r="AA237" s="189"/>
      <c r="AB237" s="189"/>
      <c r="AC237" s="189"/>
      <c r="AD237" s="189"/>
      <c r="AE237" s="189"/>
      <c r="AF237" s="189"/>
      <c r="AG237" s="189"/>
      <c r="AH237" s="189"/>
      <c r="AI237" s="188"/>
      <c r="AJ237" s="203"/>
      <c r="AK237" s="188"/>
      <c r="AL237" s="189"/>
      <c r="AM237" s="190"/>
    </row>
    <row r="238" spans="2:39" ht="14.25" customHeight="1">
      <c r="B238" s="191"/>
      <c r="C238" s="210"/>
      <c r="D238" s="203"/>
      <c r="E238" s="203"/>
      <c r="F238" s="188"/>
      <c r="G238" s="201"/>
      <c r="H238" s="188"/>
      <c r="I238" s="203"/>
      <c r="J238" s="560"/>
      <c r="K238" s="560"/>
      <c r="L238" s="190"/>
      <c r="N238" s="191"/>
      <c r="O238" s="210"/>
      <c r="P238" s="189"/>
      <c r="Q238" s="189"/>
      <c r="R238" s="189"/>
      <c r="S238" s="189"/>
      <c r="T238" s="189"/>
      <c r="U238" s="189"/>
      <c r="V238" s="189"/>
      <c r="W238" s="189"/>
      <c r="X238" s="190"/>
      <c r="Z238" s="191"/>
      <c r="AA238" s="189"/>
      <c r="AB238" s="189"/>
      <c r="AC238" s="189"/>
      <c r="AD238" s="189"/>
      <c r="AE238" s="189"/>
      <c r="AF238" s="189"/>
      <c r="AG238" s="189"/>
      <c r="AH238" s="189"/>
      <c r="AI238" s="188"/>
      <c r="AJ238" s="203"/>
      <c r="AK238" s="188"/>
      <c r="AL238" s="189"/>
      <c r="AM238" s="190"/>
    </row>
    <row r="239" spans="2:39" ht="14.25" customHeight="1">
      <c r="B239" s="191"/>
      <c r="C239" s="189"/>
      <c r="D239" s="189"/>
      <c r="E239" s="189"/>
      <c r="F239" s="189"/>
      <c r="G239" s="189"/>
      <c r="H239" s="189"/>
      <c r="I239" s="189"/>
      <c r="J239" s="189"/>
      <c r="K239" s="189"/>
      <c r="L239" s="190"/>
      <c r="N239" s="191"/>
      <c r="O239" s="210" t="s">
        <v>3004</v>
      </c>
      <c r="P239" s="834">
        <f>U212+U230</f>
        <v>4576</v>
      </c>
      <c r="Q239" s="834"/>
      <c r="R239" s="189"/>
      <c r="S239" s="189"/>
      <c r="T239" s="189"/>
      <c r="U239" s="189"/>
      <c r="V239" s="189"/>
      <c r="W239" s="189"/>
      <c r="X239" s="190"/>
      <c r="Z239" s="191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90"/>
    </row>
    <row r="240" spans="2:39" ht="14.25" customHeight="1">
      <c r="B240" s="216"/>
      <c r="C240" s="179"/>
      <c r="D240" s="179"/>
      <c r="E240" s="179"/>
      <c r="F240" s="179"/>
      <c r="G240" s="179"/>
      <c r="H240" s="179"/>
      <c r="I240" s="179"/>
      <c r="J240" s="179"/>
      <c r="K240" s="179"/>
      <c r="L240" s="217"/>
      <c r="N240" s="216"/>
      <c r="O240" s="179"/>
      <c r="P240" s="179"/>
      <c r="Q240" s="179"/>
      <c r="R240" s="179"/>
      <c r="S240" s="179"/>
      <c r="T240" s="179"/>
      <c r="U240" s="179"/>
      <c r="V240" s="179"/>
      <c r="W240" s="179"/>
      <c r="X240" s="217"/>
      <c r="Z240" s="216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79"/>
      <c r="AK240" s="179"/>
      <c r="AL240" s="179"/>
      <c r="AM240" s="217"/>
    </row>
    <row r="241" spans="2:24" ht="14.25" customHeight="1">
      <c r="I241" s="189"/>
      <c r="J241" s="179"/>
      <c r="K241" s="179"/>
      <c r="L241" s="179"/>
    </row>
    <row r="242" spans="2:24" s="184" customFormat="1" ht="14.25" customHeight="1">
      <c r="B242" s="180" t="str">
        <f>B218</f>
        <v xml:space="preserve">  □ 보조기층공 </v>
      </c>
      <c r="C242" s="181"/>
      <c r="D242" s="181"/>
      <c r="E242" s="181" t="str">
        <f>E218</f>
        <v>(t=30cm)</v>
      </c>
      <c r="F242" s="181"/>
      <c r="G242" s="181"/>
      <c r="H242" s="181" t="s">
        <v>3052</v>
      </c>
      <c r="I242" s="181"/>
      <c r="J242" s="181"/>
      <c r="K242" s="181"/>
      <c r="L242" s="183"/>
      <c r="N242" s="180" t="s">
        <v>3011</v>
      </c>
      <c r="O242" s="181"/>
      <c r="P242" s="181"/>
      <c r="Q242" s="181"/>
      <c r="R242" s="181"/>
      <c r="S242" s="181"/>
      <c r="T242" s="181"/>
      <c r="U242" s="181"/>
      <c r="V242" s="181"/>
      <c r="W242" s="181" t="s">
        <v>3012</v>
      </c>
      <c r="X242" s="183"/>
    </row>
    <row r="243" spans="2:24" ht="14.25" customHeight="1">
      <c r="B243" s="191"/>
      <c r="C243" s="189"/>
      <c r="D243" s="189"/>
      <c r="E243" s="189"/>
      <c r="F243" s="189"/>
      <c r="G243" s="189"/>
      <c r="H243" s="189"/>
      <c r="I243" s="189"/>
      <c r="J243" s="189"/>
      <c r="K243" s="189"/>
      <c r="L243" s="192"/>
      <c r="N243" s="191"/>
      <c r="O243" s="189"/>
      <c r="P243" s="189"/>
      <c r="Q243" s="189"/>
      <c r="R243" s="189"/>
      <c r="S243" s="189"/>
      <c r="T243" s="189"/>
      <c r="U243" s="189"/>
      <c r="V243" s="189"/>
      <c r="W243" s="189"/>
      <c r="X243" s="190"/>
    </row>
    <row r="244" spans="2:24" ht="14.25" customHeight="1">
      <c r="B244" s="191"/>
      <c r="C244" s="189"/>
      <c r="D244" s="189"/>
      <c r="E244" s="189"/>
      <c r="F244" s="189"/>
      <c r="G244" s="189"/>
      <c r="H244" s="189"/>
      <c r="I244" s="189"/>
      <c r="J244" s="189"/>
      <c r="K244" s="189"/>
      <c r="L244" s="190"/>
      <c r="N244" s="567" t="s">
        <v>3015</v>
      </c>
      <c r="O244" s="586"/>
      <c r="P244" s="586"/>
      <c r="Q244" s="586"/>
      <c r="R244" s="561"/>
      <c r="S244" s="561"/>
      <c r="T244" s="561"/>
      <c r="U244" s="561"/>
      <c r="V244" s="561"/>
      <c r="W244" s="561"/>
      <c r="X244" s="564"/>
    </row>
    <row r="245" spans="2:24" ht="14.25" customHeight="1">
      <c r="B245" s="194" t="s">
        <v>3055</v>
      </c>
      <c r="C245" s="189" t="s">
        <v>3056</v>
      </c>
      <c r="D245" s="189"/>
      <c r="E245" s="189"/>
      <c r="G245" s="193" t="s">
        <v>3057</v>
      </c>
      <c r="H245" s="234">
        <v>4</v>
      </c>
      <c r="I245" s="188"/>
      <c r="J245" s="189"/>
      <c r="K245" s="189"/>
      <c r="L245" s="190"/>
      <c r="N245" s="194" t="s">
        <v>3016</v>
      </c>
      <c r="O245" s="189" t="s">
        <v>3019</v>
      </c>
      <c r="P245" s="189"/>
      <c r="Q245" s="189"/>
      <c r="R245" s="189"/>
      <c r="S245" s="189"/>
      <c r="T245" s="193" t="s">
        <v>3020</v>
      </c>
      <c r="U245" s="195">
        <v>1</v>
      </c>
      <c r="V245" s="189"/>
      <c r="W245" s="189"/>
      <c r="X245" s="190"/>
    </row>
    <row r="246" spans="2:24" ht="14.25" customHeight="1">
      <c r="B246" s="191"/>
      <c r="C246" s="189" t="s">
        <v>3059</v>
      </c>
      <c r="D246" s="189"/>
      <c r="E246" s="189"/>
      <c r="G246" s="193"/>
      <c r="H246" s="234"/>
      <c r="I246" s="234"/>
      <c r="J246" s="189"/>
      <c r="K246" s="189"/>
      <c r="L246" s="190"/>
      <c r="N246" s="191"/>
      <c r="O246" s="189" t="s">
        <v>3021</v>
      </c>
      <c r="P246" s="189"/>
      <c r="Q246" s="189"/>
      <c r="R246" s="189"/>
      <c r="S246" s="189"/>
      <c r="T246" s="189"/>
      <c r="U246" s="213"/>
      <c r="V246" s="196"/>
      <c r="W246" s="189"/>
      <c r="X246" s="190"/>
    </row>
    <row r="247" spans="2:24" ht="14.25" customHeight="1">
      <c r="B247" s="194" t="s">
        <v>3060</v>
      </c>
      <c r="C247" s="197" t="str">
        <f>"1,000×"&amp;H245&amp;"×"&amp;H247&amp;"×"&amp;H249&amp;"× 1 / "&amp;H251</f>
        <v>1,000×4×1.9×0.6× 1 / 1</v>
      </c>
      <c r="D247" s="189"/>
      <c r="E247" s="189"/>
      <c r="G247" s="193" t="s">
        <v>3061</v>
      </c>
      <c r="H247" s="235">
        <v>1.9</v>
      </c>
      <c r="I247" s="236"/>
      <c r="J247" s="196"/>
      <c r="K247" s="189"/>
      <c r="L247" s="190"/>
      <c r="N247" s="194" t="s">
        <v>3023</v>
      </c>
      <c r="O247" s="197" t="str">
        <f>" 1,000×"&amp;U245&amp;"×"&amp;U247&amp;"×"&amp;U249&amp;"  / "&amp;U251</f>
        <v xml:space="preserve"> 1,000×1×0.45×0.6  / 3</v>
      </c>
      <c r="P247" s="189"/>
      <c r="Q247" s="189"/>
      <c r="R247" s="189"/>
      <c r="S247" s="189"/>
      <c r="T247" s="193" t="s">
        <v>3026</v>
      </c>
      <c r="U247" s="198">
        <v>0.45</v>
      </c>
      <c r="V247" s="196"/>
      <c r="W247" s="189"/>
      <c r="X247" s="190"/>
    </row>
    <row r="248" spans="2:24" ht="14.25" customHeight="1">
      <c r="B248" s="191"/>
      <c r="C248" s="189"/>
      <c r="D248" s="189"/>
      <c r="E248" s="189"/>
      <c r="G248" s="193"/>
      <c r="I248" s="188"/>
      <c r="J248" s="196"/>
      <c r="K248" s="189"/>
      <c r="L248" s="190"/>
      <c r="N248" s="191"/>
      <c r="O248" s="189"/>
      <c r="P248" s="189"/>
      <c r="Q248" s="189"/>
      <c r="R248" s="189"/>
      <c r="S248" s="189"/>
      <c r="T248" s="189"/>
      <c r="U248" s="213"/>
      <c r="V248" s="188"/>
      <c r="W248" s="189"/>
      <c r="X248" s="190"/>
    </row>
    <row r="249" spans="2:24" ht="14.25" customHeight="1">
      <c r="B249" s="194" t="s">
        <v>2993</v>
      </c>
      <c r="C249" s="201">
        <f>TRUNC(1000*H245*H247*H249/H251,2)</f>
        <v>4560</v>
      </c>
      <c r="D249" s="189" t="s">
        <v>3064</v>
      </c>
      <c r="E249" s="189"/>
      <c r="G249" s="193" t="s">
        <v>3065</v>
      </c>
      <c r="H249" s="234">
        <v>0.6</v>
      </c>
      <c r="I249" s="188"/>
      <c r="J249" s="188"/>
      <c r="K249" s="188"/>
      <c r="L249" s="190"/>
      <c r="N249" s="194" t="s">
        <v>2983</v>
      </c>
      <c r="O249" s="198">
        <f>TRUNC(1000*U245*U247*U249/U251,2)</f>
        <v>90</v>
      </c>
      <c r="P249" s="189" t="s">
        <v>4003</v>
      </c>
      <c r="Q249" s="189"/>
      <c r="R249" s="189"/>
      <c r="S249" s="189"/>
      <c r="T249" s="193" t="s">
        <v>3031</v>
      </c>
      <c r="U249" s="200">
        <v>0.6</v>
      </c>
      <c r="V249" s="189"/>
      <c r="W249" s="189"/>
      <c r="X249" s="190"/>
    </row>
    <row r="250" spans="2:24" ht="14.25" customHeight="1">
      <c r="B250" s="191"/>
      <c r="C250" s="189"/>
      <c r="D250" s="189"/>
      <c r="E250" s="189"/>
      <c r="G250" s="204"/>
      <c r="I250" s="234"/>
      <c r="K250" s="189"/>
      <c r="L250" s="190"/>
      <c r="N250" s="191"/>
      <c r="O250" s="189"/>
      <c r="P250" s="189"/>
      <c r="Q250" s="189"/>
      <c r="R250" s="189"/>
      <c r="S250" s="189"/>
      <c r="T250" s="189"/>
      <c r="U250" s="213"/>
      <c r="V250" s="189"/>
      <c r="W250" s="189"/>
      <c r="X250" s="190"/>
    </row>
    <row r="251" spans="2:24" ht="14.25" customHeight="1">
      <c r="B251" s="194" t="s">
        <v>2993</v>
      </c>
      <c r="C251" s="188">
        <f>C249/100</f>
        <v>45.6</v>
      </c>
      <c r="D251" s="189" t="s">
        <v>2994</v>
      </c>
      <c r="E251" s="189"/>
      <c r="F251" s="189"/>
      <c r="G251" s="193" t="s">
        <v>3066</v>
      </c>
      <c r="H251" s="234">
        <v>1</v>
      </c>
      <c r="I251" s="189" t="s">
        <v>3067</v>
      </c>
      <c r="J251" s="189"/>
      <c r="K251" s="189"/>
      <c r="L251" s="190"/>
      <c r="N251" s="194" t="s">
        <v>4004</v>
      </c>
      <c r="O251" s="203">
        <f>O249</f>
        <v>90</v>
      </c>
      <c r="P251" s="189" t="s">
        <v>3033</v>
      </c>
      <c r="Q251" s="189"/>
      <c r="R251" s="189"/>
      <c r="S251" s="189"/>
      <c r="T251" s="193" t="s">
        <v>3034</v>
      </c>
      <c r="U251" s="195">
        <v>3</v>
      </c>
      <c r="V251" s="189" t="s">
        <v>3028</v>
      </c>
      <c r="W251" s="189"/>
      <c r="X251" s="190"/>
    </row>
    <row r="252" spans="2:24" ht="14.25" customHeight="1">
      <c r="B252" s="191"/>
      <c r="C252" s="189"/>
      <c r="D252" s="189"/>
      <c r="E252" s="189"/>
      <c r="F252" s="189"/>
      <c r="G252" s="189"/>
      <c r="H252" s="189"/>
      <c r="I252" s="189"/>
      <c r="J252" s="189"/>
      <c r="K252" s="189"/>
      <c r="L252" s="190"/>
      <c r="N252" s="191"/>
      <c r="O252" s="189"/>
      <c r="P252" s="189"/>
      <c r="Q252" s="189"/>
      <c r="R252" s="189"/>
      <c r="S252" s="189"/>
      <c r="T252" s="189"/>
      <c r="U252" s="189"/>
      <c r="V252" s="189"/>
      <c r="W252" s="189"/>
      <c r="X252" s="190"/>
    </row>
    <row r="253" spans="2:24" ht="14.25" customHeight="1">
      <c r="B253" s="191"/>
      <c r="C253" s="189"/>
      <c r="D253" s="189"/>
      <c r="E253" s="189"/>
      <c r="F253" s="189"/>
      <c r="G253" s="189"/>
      <c r="H253" s="189"/>
      <c r="I253" s="189"/>
      <c r="J253" s="189"/>
      <c r="K253" s="189"/>
      <c r="L253" s="190"/>
      <c r="N253" s="194" t="s">
        <v>2983</v>
      </c>
      <c r="O253" s="188">
        <f>O251/100</f>
        <v>0.9</v>
      </c>
      <c r="P253" s="210" t="s">
        <v>3036</v>
      </c>
      <c r="Q253" s="189"/>
      <c r="R253" s="189"/>
      <c r="S253" s="189"/>
      <c r="T253" s="193"/>
      <c r="U253" s="188"/>
      <c r="V253" s="189"/>
      <c r="W253" s="189"/>
      <c r="X253" s="190"/>
    </row>
    <row r="254" spans="2:24" ht="14.25" customHeight="1">
      <c r="B254" s="191"/>
      <c r="C254" s="211" t="s">
        <v>3069</v>
      </c>
      <c r="D254" s="189"/>
      <c r="E254" s="189"/>
      <c r="F254" s="189"/>
      <c r="G254" s="189"/>
      <c r="H254" s="189"/>
      <c r="I254" s="189"/>
      <c r="J254" s="189"/>
      <c r="K254" s="189"/>
      <c r="L254" s="190"/>
      <c r="N254" s="191"/>
      <c r="O254" s="189"/>
      <c r="P254" s="189"/>
      <c r="Q254" s="189"/>
      <c r="R254" s="189"/>
      <c r="S254" s="189"/>
      <c r="T254" s="193"/>
      <c r="U254" s="188"/>
      <c r="V254" s="189"/>
      <c r="W254" s="189"/>
      <c r="X254" s="190"/>
    </row>
    <row r="255" spans="2:24" ht="14.25" customHeight="1">
      <c r="B255" s="191"/>
      <c r="C255" s="189"/>
      <c r="D255" s="189"/>
      <c r="E255" s="189"/>
      <c r="F255" s="189"/>
      <c r="G255" s="189"/>
      <c r="H255" s="189"/>
      <c r="I255" s="189"/>
      <c r="J255" s="189"/>
      <c r="K255" s="189"/>
      <c r="L255" s="190"/>
      <c r="N255" s="191"/>
      <c r="O255" s="210" t="s">
        <v>2996</v>
      </c>
      <c r="P255" s="813">
        <f>중기사용료!$M$815</f>
        <v>1589</v>
      </c>
      <c r="Q255" s="813"/>
      <c r="R255" s="188" t="s">
        <v>2997</v>
      </c>
      <c r="S255" s="201">
        <f>O253</f>
        <v>0.9</v>
      </c>
      <c r="T255" s="188" t="s">
        <v>2993</v>
      </c>
      <c r="U255" s="203">
        <f>TRUNC(P255/S255)</f>
        <v>1765</v>
      </c>
      <c r="V255" s="189" t="s">
        <v>2998</v>
      </c>
      <c r="W255" s="189"/>
      <c r="X255" s="190"/>
    </row>
    <row r="256" spans="2:24" ht="14.25" customHeight="1">
      <c r="B256" s="191"/>
      <c r="C256" s="210" t="s">
        <v>2996</v>
      </c>
      <c r="D256" s="813">
        <f>중기사용료!$M$758</f>
        <v>20870</v>
      </c>
      <c r="E256" s="813"/>
      <c r="F256" s="188" t="s">
        <v>2997</v>
      </c>
      <c r="G256" s="201">
        <f>$C$131</f>
        <v>45.6</v>
      </c>
      <c r="H256" s="188" t="s">
        <v>2993</v>
      </c>
      <c r="I256" s="203">
        <f>TRUNC(D256/G256)</f>
        <v>457</v>
      </c>
      <c r="J256" s="189" t="s">
        <v>3051</v>
      </c>
      <c r="K256" s="189"/>
      <c r="L256" s="190"/>
      <c r="N256" s="191"/>
      <c r="O256" s="210" t="s">
        <v>3002</v>
      </c>
      <c r="P256" s="813">
        <f>중기사용료!$M$809</f>
        <v>18939</v>
      </c>
      <c r="Q256" s="813"/>
      <c r="R256" s="188" t="s">
        <v>2997</v>
      </c>
      <c r="S256" s="201">
        <f>O253</f>
        <v>0.9</v>
      </c>
      <c r="T256" s="188" t="s">
        <v>2993</v>
      </c>
      <c r="U256" s="203">
        <f>TRUNC(P256/S256)</f>
        <v>21043</v>
      </c>
      <c r="V256" s="189" t="s">
        <v>2998</v>
      </c>
      <c r="W256" s="189"/>
      <c r="X256" s="190"/>
    </row>
    <row r="257" spans="2:24" ht="14.25" customHeight="1">
      <c r="B257" s="191"/>
      <c r="C257" s="210" t="s">
        <v>3002</v>
      </c>
      <c r="D257" s="813">
        <f>중기사용료!$M$752</f>
        <v>27168</v>
      </c>
      <c r="E257" s="813"/>
      <c r="F257" s="188" t="s">
        <v>2997</v>
      </c>
      <c r="G257" s="201">
        <f>$C$131</f>
        <v>45.6</v>
      </c>
      <c r="H257" s="188" t="s">
        <v>2993</v>
      </c>
      <c r="I257" s="203">
        <f>TRUNC(D257/G257)</f>
        <v>595</v>
      </c>
      <c r="J257" s="189" t="s">
        <v>3051</v>
      </c>
      <c r="K257" s="189"/>
      <c r="L257" s="190"/>
      <c r="N257" s="191"/>
      <c r="O257" s="210" t="s">
        <v>3004</v>
      </c>
      <c r="P257" s="813">
        <f>중기사용료!$M$803</f>
        <v>555</v>
      </c>
      <c r="Q257" s="813"/>
      <c r="R257" s="188" t="s">
        <v>2997</v>
      </c>
      <c r="S257" s="201">
        <f>O253</f>
        <v>0.9</v>
      </c>
      <c r="T257" s="188" t="s">
        <v>2993</v>
      </c>
      <c r="U257" s="203">
        <f>TRUNC(P257/S257)</f>
        <v>616</v>
      </c>
      <c r="V257" s="189" t="s">
        <v>2998</v>
      </c>
      <c r="W257" s="189"/>
      <c r="X257" s="190"/>
    </row>
    <row r="258" spans="2:24" ht="14.25" customHeight="1">
      <c r="B258" s="191"/>
      <c r="C258" s="210" t="s">
        <v>3004</v>
      </c>
      <c r="D258" s="813">
        <f>중기사용료!$M$746</f>
        <v>22837</v>
      </c>
      <c r="E258" s="813"/>
      <c r="F258" s="188" t="s">
        <v>2997</v>
      </c>
      <c r="G258" s="201">
        <f>$C$131</f>
        <v>45.6</v>
      </c>
      <c r="H258" s="188" t="s">
        <v>2993</v>
      </c>
      <c r="I258" s="203">
        <f>TRUNC(D258/G258)</f>
        <v>500</v>
      </c>
      <c r="J258" s="189" t="s">
        <v>3051</v>
      </c>
      <c r="K258" s="189"/>
      <c r="L258" s="190"/>
      <c r="N258" s="191"/>
      <c r="O258" s="210"/>
      <c r="P258" s="203"/>
      <c r="Q258" s="203"/>
      <c r="R258" s="188"/>
      <c r="S258" s="201"/>
      <c r="T258" s="188"/>
      <c r="U258" s="203"/>
      <c r="V258" s="189"/>
      <c r="W258" s="189"/>
      <c r="X258" s="190"/>
    </row>
    <row r="259" spans="2:24" ht="14.25" customHeight="1">
      <c r="B259" s="191"/>
      <c r="C259" s="210"/>
      <c r="D259" s="203"/>
      <c r="E259" s="203"/>
      <c r="F259" s="188"/>
      <c r="G259" s="201"/>
      <c r="H259" s="188"/>
      <c r="I259" s="203"/>
      <c r="J259" s="189"/>
      <c r="K259" s="189"/>
      <c r="L259" s="190"/>
      <c r="N259" s="191"/>
      <c r="O259" s="189"/>
      <c r="P259" s="189"/>
      <c r="Q259" s="189"/>
      <c r="R259" s="189"/>
      <c r="S259" s="189"/>
      <c r="T259" s="189"/>
      <c r="U259" s="189"/>
      <c r="V259" s="189"/>
      <c r="W259" s="189"/>
      <c r="X259" s="190"/>
    </row>
    <row r="260" spans="2:24" ht="14.25" customHeight="1">
      <c r="B260" s="191"/>
      <c r="C260" s="210"/>
      <c r="D260" s="203"/>
      <c r="E260" s="203"/>
      <c r="F260" s="188"/>
      <c r="G260" s="201"/>
      <c r="H260" s="188"/>
      <c r="I260" s="203"/>
      <c r="J260" s="189"/>
      <c r="K260" s="189"/>
      <c r="L260" s="190"/>
      <c r="N260" s="567" t="s">
        <v>3685</v>
      </c>
      <c r="O260" s="586"/>
      <c r="P260" s="586"/>
      <c r="Q260" s="561"/>
      <c r="R260" s="561"/>
      <c r="S260" s="561"/>
      <c r="T260" s="561"/>
      <c r="U260" s="561"/>
      <c r="V260" s="561"/>
      <c r="W260" s="561"/>
      <c r="X260" s="564"/>
    </row>
    <row r="261" spans="2:24" ht="14.25" customHeight="1">
      <c r="B261" s="191"/>
      <c r="C261" s="189"/>
      <c r="D261" s="189"/>
      <c r="E261" s="189"/>
      <c r="F261" s="189"/>
      <c r="G261" s="189"/>
      <c r="H261" s="189"/>
      <c r="J261" s="189"/>
      <c r="K261" s="189"/>
      <c r="L261" s="190"/>
      <c r="N261" s="191"/>
      <c r="O261" s="189" t="s">
        <v>3049</v>
      </c>
      <c r="P261" s="189"/>
      <c r="Q261" s="189"/>
      <c r="R261" s="189"/>
      <c r="S261" s="189"/>
      <c r="T261" s="189"/>
      <c r="U261" s="189"/>
      <c r="V261" s="189"/>
      <c r="W261" s="189"/>
      <c r="X261" s="190"/>
    </row>
    <row r="262" spans="2:24" ht="14.25" customHeight="1">
      <c r="B262" s="191"/>
      <c r="C262" s="189"/>
      <c r="D262" s="189"/>
      <c r="E262" s="189"/>
      <c r="F262" s="189"/>
      <c r="G262" s="189"/>
      <c r="H262" s="189"/>
      <c r="I262" s="189"/>
      <c r="J262" s="189"/>
      <c r="K262" s="189"/>
      <c r="L262" s="190"/>
      <c r="N262" s="191"/>
      <c r="O262" s="188" t="s">
        <v>3050</v>
      </c>
      <c r="P262" s="241">
        <v>0.8</v>
      </c>
      <c r="Q262" s="815">
        <f>SUMIF('노임(2015)'!$B$4:$B$87,O262,'노임(2015)'!$C$4:$C$87)+SUMIF('노임(2015)'!$E$4:$E$87,O262,'노임(2015)'!$F$4:$F$87)</f>
        <v>89566</v>
      </c>
      <c r="R262" s="815"/>
      <c r="S262" s="188" t="s">
        <v>2993</v>
      </c>
      <c r="T262" s="815">
        <f>TRUNC(P262*Q262)</f>
        <v>71652</v>
      </c>
      <c r="U262" s="815"/>
      <c r="V262" s="189" t="s">
        <v>3051</v>
      </c>
      <c r="W262" s="189"/>
      <c r="X262" s="190"/>
    </row>
    <row r="263" spans="2:24" ht="14.25" customHeight="1">
      <c r="B263" s="191"/>
      <c r="C263" s="189"/>
      <c r="D263" s="189"/>
      <c r="E263" s="189"/>
      <c r="F263" s="189"/>
      <c r="G263" s="189"/>
      <c r="H263" s="189"/>
      <c r="I263" s="189"/>
      <c r="J263" s="189"/>
      <c r="K263" s="189"/>
      <c r="L263" s="190"/>
      <c r="N263" s="191"/>
      <c r="O263" s="188"/>
      <c r="P263" s="241"/>
      <c r="Q263" s="218"/>
      <c r="R263" s="218"/>
      <c r="S263" s="188"/>
      <c r="T263" s="218"/>
      <c r="U263" s="218"/>
      <c r="V263" s="189"/>
      <c r="W263" s="189"/>
      <c r="X263" s="190"/>
    </row>
    <row r="264" spans="2:24" ht="14.25" customHeight="1">
      <c r="B264" s="216"/>
      <c r="C264" s="179"/>
      <c r="D264" s="179"/>
      <c r="E264" s="179"/>
      <c r="F264" s="179"/>
      <c r="G264" s="179"/>
      <c r="H264" s="179"/>
      <c r="I264" s="179"/>
      <c r="J264" s="179"/>
      <c r="K264" s="179"/>
      <c r="L264" s="217"/>
      <c r="N264" s="216"/>
      <c r="O264" s="228"/>
      <c r="P264" s="242"/>
      <c r="Q264" s="243"/>
      <c r="R264" s="243"/>
      <c r="S264" s="228"/>
      <c r="T264" s="243"/>
      <c r="U264" s="243"/>
      <c r="V264" s="179"/>
      <c r="W264" s="179"/>
      <c r="X264" s="217"/>
    </row>
    <row r="265" spans="2:24" ht="14.25" customHeight="1">
      <c r="B265" s="179"/>
      <c r="C265" s="179"/>
      <c r="D265" s="179"/>
      <c r="E265" s="179"/>
      <c r="F265" s="179"/>
      <c r="G265" s="179"/>
      <c r="H265" s="179"/>
      <c r="I265" s="179"/>
      <c r="J265" s="179"/>
      <c r="K265" s="179"/>
      <c r="L265" s="179"/>
    </row>
    <row r="266" spans="2:24" s="184" customFormat="1" ht="14.25" customHeight="1">
      <c r="B266" s="180" t="str">
        <f>B242</f>
        <v xml:space="preserve">  □ 보조기층공 </v>
      </c>
      <c r="C266" s="181"/>
      <c r="D266" s="181"/>
      <c r="E266" s="181" t="str">
        <f>E242</f>
        <v>(t=30cm)</v>
      </c>
      <c r="F266" s="181"/>
      <c r="G266" s="181" t="s">
        <v>3070</v>
      </c>
      <c r="H266" s="181"/>
      <c r="I266" s="181"/>
      <c r="J266" s="181"/>
      <c r="K266" s="181"/>
      <c r="L266" s="183"/>
      <c r="N266" s="180" t="s">
        <v>3053</v>
      </c>
      <c r="O266" s="181"/>
      <c r="P266" s="181"/>
      <c r="Q266" s="181"/>
      <c r="R266" s="181"/>
      <c r="S266" s="181"/>
      <c r="T266" s="181"/>
      <c r="U266" s="181"/>
      <c r="V266" s="181"/>
      <c r="W266" s="181" t="s">
        <v>3012</v>
      </c>
      <c r="X266" s="183"/>
    </row>
    <row r="267" spans="2:24" ht="14.25" customHeight="1">
      <c r="B267" s="191"/>
      <c r="C267" s="189"/>
      <c r="D267" s="189"/>
      <c r="E267" s="189"/>
      <c r="F267" s="189"/>
      <c r="G267" s="189"/>
      <c r="H267" s="189"/>
      <c r="I267" s="189"/>
      <c r="J267" s="189"/>
      <c r="K267" s="189"/>
      <c r="L267" s="190"/>
      <c r="N267" s="191"/>
      <c r="O267" s="189"/>
      <c r="P267" s="189"/>
      <c r="Q267" s="189"/>
      <c r="R267" s="189"/>
      <c r="S267" s="189"/>
      <c r="T267" s="189"/>
      <c r="U267" s="189"/>
      <c r="V267" s="189"/>
      <c r="W267" s="189"/>
      <c r="X267" s="190"/>
    </row>
    <row r="268" spans="2:24" ht="14.25" customHeight="1">
      <c r="B268" s="191"/>
      <c r="C268" s="189"/>
      <c r="D268" s="189"/>
      <c r="E268" s="189"/>
      <c r="F268" s="189"/>
      <c r="G268" s="189"/>
      <c r="H268" s="189"/>
      <c r="I268" s="189"/>
      <c r="J268" s="189"/>
      <c r="K268" s="189"/>
      <c r="L268" s="190"/>
      <c r="N268" s="567" t="s">
        <v>3054</v>
      </c>
      <c r="O268" s="561"/>
      <c r="P268" s="561"/>
      <c r="Q268" s="561"/>
      <c r="R268" s="561"/>
      <c r="S268" s="561"/>
      <c r="T268" s="561"/>
      <c r="U268" s="561"/>
      <c r="V268" s="561"/>
      <c r="W268" s="561"/>
      <c r="X268" s="564"/>
    </row>
    <row r="269" spans="2:24" ht="14.25" customHeight="1">
      <c r="B269" s="194" t="s">
        <v>3055</v>
      </c>
      <c r="C269" s="189" t="s">
        <v>3056</v>
      </c>
      <c r="D269" s="189"/>
      <c r="E269" s="189"/>
      <c r="F269" s="189"/>
      <c r="G269" s="193" t="s">
        <v>3057</v>
      </c>
      <c r="H269" s="188">
        <v>2.5</v>
      </c>
      <c r="I269" s="188"/>
      <c r="J269" s="189"/>
      <c r="K269" s="189"/>
      <c r="L269" s="190"/>
      <c r="N269" s="194" t="s">
        <v>3013</v>
      </c>
      <c r="O269" s="189" t="s">
        <v>3058</v>
      </c>
      <c r="P269" s="189"/>
      <c r="Q269" s="189"/>
      <c r="R269" s="189"/>
      <c r="S269" s="189"/>
      <c r="T269" s="193" t="s">
        <v>3057</v>
      </c>
      <c r="U269" s="195">
        <v>1</v>
      </c>
      <c r="V269" s="189"/>
      <c r="W269" s="189"/>
      <c r="X269" s="190"/>
    </row>
    <row r="270" spans="2:24" ht="14.25" customHeight="1">
      <c r="B270" s="191"/>
      <c r="C270" s="189" t="s">
        <v>3059</v>
      </c>
      <c r="D270" s="189"/>
      <c r="E270" s="189"/>
      <c r="F270" s="189"/>
      <c r="G270" s="193"/>
      <c r="H270" s="188"/>
      <c r="I270" s="188"/>
      <c r="J270" s="189"/>
      <c r="K270" s="189"/>
      <c r="L270" s="190"/>
      <c r="N270" s="191"/>
      <c r="O270" s="189" t="s">
        <v>3059</v>
      </c>
      <c r="P270" s="189"/>
      <c r="Q270" s="189"/>
      <c r="R270" s="189"/>
      <c r="S270" s="189"/>
      <c r="T270" s="189"/>
      <c r="U270" s="213"/>
      <c r="V270" s="196"/>
      <c r="W270" s="189"/>
      <c r="X270" s="190"/>
    </row>
    <row r="271" spans="2:24" ht="14.25" customHeight="1">
      <c r="B271" s="194" t="s">
        <v>3060</v>
      </c>
      <c r="C271" s="197" t="str">
        <f>"1,000×"&amp;H269&amp;"×"&amp;H271&amp;"×"&amp;H273&amp;"× 1 / "&amp;H275</f>
        <v>1,000×2.5×1.8×0.4× 1 / 1</v>
      </c>
      <c r="D271" s="189"/>
      <c r="E271" s="189"/>
      <c r="F271" s="189"/>
      <c r="G271" s="193" t="s">
        <v>3061</v>
      </c>
      <c r="H271" s="201">
        <v>1.8</v>
      </c>
      <c r="I271" s="203"/>
      <c r="J271" s="196"/>
      <c r="K271" s="189"/>
      <c r="L271" s="190"/>
      <c r="N271" s="194" t="s">
        <v>3062</v>
      </c>
      <c r="O271" s="197" t="str">
        <f>" 1,000×"&amp;U269&amp;"×"&amp;U271&amp;"×"&amp;U273&amp;"  / "&amp;U275</f>
        <v xml:space="preserve"> 1,000×1×0.45×0.6  / 6</v>
      </c>
      <c r="P271" s="189"/>
      <c r="Q271" s="189"/>
      <c r="R271" s="189"/>
      <c r="S271" s="189"/>
      <c r="T271" s="193" t="s">
        <v>3063</v>
      </c>
      <c r="U271" s="198">
        <v>0.45</v>
      </c>
      <c r="V271" s="196"/>
      <c r="W271" s="189"/>
      <c r="X271" s="190"/>
    </row>
    <row r="272" spans="2:24" ht="14.25" customHeight="1">
      <c r="B272" s="191"/>
      <c r="C272" s="189"/>
      <c r="D272" s="189"/>
      <c r="E272" s="189"/>
      <c r="F272" s="189"/>
      <c r="G272" s="193"/>
      <c r="H272" s="189"/>
      <c r="I272" s="188"/>
      <c r="J272" s="196"/>
      <c r="K272" s="189"/>
      <c r="L272" s="190"/>
      <c r="N272" s="191"/>
      <c r="O272" s="189"/>
      <c r="P272" s="189"/>
      <c r="Q272" s="189"/>
      <c r="R272" s="189"/>
      <c r="S272" s="189"/>
      <c r="T272" s="189"/>
      <c r="U272" s="213"/>
      <c r="V272" s="188"/>
      <c r="W272" s="189"/>
      <c r="X272" s="190"/>
    </row>
    <row r="273" spans="2:24" ht="14.25" customHeight="1">
      <c r="B273" s="194" t="s">
        <v>2993</v>
      </c>
      <c r="C273" s="201">
        <f>TRUNC(1000*H269*H271*H273/H275,2)</f>
        <v>1800</v>
      </c>
      <c r="D273" s="189" t="s">
        <v>3064</v>
      </c>
      <c r="E273" s="189"/>
      <c r="F273" s="189"/>
      <c r="G273" s="193" t="s">
        <v>3065</v>
      </c>
      <c r="H273" s="188">
        <v>0.4</v>
      </c>
      <c r="I273" s="188"/>
      <c r="J273" s="188"/>
      <c r="K273" s="188"/>
      <c r="L273" s="190"/>
      <c r="N273" s="194" t="s">
        <v>2993</v>
      </c>
      <c r="O273" s="198">
        <f>TRUNC(1000*U269*U271*U273/U275,2)</f>
        <v>45</v>
      </c>
      <c r="P273" s="189" t="s">
        <v>4003</v>
      </c>
      <c r="Q273" s="189"/>
      <c r="R273" s="189"/>
      <c r="S273" s="189"/>
      <c r="T273" s="193" t="s">
        <v>3065</v>
      </c>
      <c r="U273" s="200">
        <v>0.6</v>
      </c>
      <c r="V273" s="189"/>
      <c r="W273" s="189"/>
      <c r="X273" s="190"/>
    </row>
    <row r="274" spans="2:24" ht="14.25" customHeight="1">
      <c r="B274" s="191"/>
      <c r="C274" s="189"/>
      <c r="D274" s="189"/>
      <c r="E274" s="189"/>
      <c r="F274" s="189"/>
      <c r="G274" s="193"/>
      <c r="H274" s="189"/>
      <c r="I274" s="188"/>
      <c r="J274" s="189"/>
      <c r="K274" s="189"/>
      <c r="L274" s="190"/>
      <c r="N274" s="191"/>
      <c r="O274" s="189"/>
      <c r="P274" s="189"/>
      <c r="Q274" s="189"/>
      <c r="R274" s="189"/>
      <c r="S274" s="189"/>
      <c r="T274" s="189"/>
      <c r="U274" s="213"/>
      <c r="V274" s="189"/>
      <c r="W274" s="189"/>
      <c r="X274" s="190"/>
    </row>
    <row r="275" spans="2:24" ht="14.25" customHeight="1">
      <c r="B275" s="194" t="s">
        <v>2993</v>
      </c>
      <c r="C275" s="188">
        <f>C273/100</f>
        <v>18</v>
      </c>
      <c r="D275" s="189" t="s">
        <v>2994</v>
      </c>
      <c r="E275" s="189"/>
      <c r="F275" s="189"/>
      <c r="G275" s="193" t="s">
        <v>3066</v>
      </c>
      <c r="H275" s="188">
        <v>1</v>
      </c>
      <c r="I275" s="189" t="s">
        <v>3067</v>
      </c>
      <c r="J275" s="189"/>
      <c r="K275" s="189"/>
      <c r="L275" s="190"/>
      <c r="N275" s="194" t="s">
        <v>4004</v>
      </c>
      <c r="O275" s="203">
        <f>O273</f>
        <v>45</v>
      </c>
      <c r="P275" s="189" t="s">
        <v>3068</v>
      </c>
      <c r="Q275" s="189"/>
      <c r="R275" s="189"/>
      <c r="S275" s="189"/>
      <c r="T275" s="193" t="s">
        <v>3066</v>
      </c>
      <c r="U275" s="195">
        <v>6</v>
      </c>
      <c r="V275" s="189" t="s">
        <v>3067</v>
      </c>
      <c r="W275" s="189"/>
      <c r="X275" s="190"/>
    </row>
    <row r="276" spans="2:24" ht="14.25" customHeight="1">
      <c r="B276" s="191"/>
      <c r="C276" s="189"/>
      <c r="D276" s="189"/>
      <c r="E276" s="189"/>
      <c r="F276" s="189"/>
      <c r="G276" s="189"/>
      <c r="H276" s="189"/>
      <c r="I276" s="189"/>
      <c r="J276" s="189"/>
      <c r="K276" s="189"/>
      <c r="L276" s="190"/>
      <c r="N276" s="191"/>
      <c r="O276" s="189"/>
      <c r="P276" s="189"/>
      <c r="Q276" s="189"/>
      <c r="R276" s="189"/>
      <c r="S276" s="189"/>
      <c r="T276" s="189"/>
      <c r="U276" s="189"/>
      <c r="V276" s="189"/>
      <c r="W276" s="189"/>
      <c r="X276" s="190"/>
    </row>
    <row r="277" spans="2:24" ht="14.25" customHeight="1">
      <c r="B277" s="191"/>
      <c r="C277" s="189"/>
      <c r="D277" s="189"/>
      <c r="E277" s="189"/>
      <c r="F277" s="189"/>
      <c r="G277" s="189"/>
      <c r="H277" s="189"/>
      <c r="I277" s="189"/>
      <c r="J277" s="189"/>
      <c r="K277" s="189"/>
      <c r="L277" s="190"/>
      <c r="N277" s="194" t="s">
        <v>2993</v>
      </c>
      <c r="O277" s="188">
        <f>O275/100</f>
        <v>0.45</v>
      </c>
      <c r="P277" s="210" t="s">
        <v>2994</v>
      </c>
      <c r="Q277" s="189"/>
      <c r="R277" s="189"/>
      <c r="S277" s="189"/>
      <c r="T277" s="193"/>
      <c r="U277" s="188"/>
      <c r="V277" s="189"/>
      <c r="W277" s="189"/>
      <c r="X277" s="190"/>
    </row>
    <row r="278" spans="2:24" ht="14.25" customHeight="1">
      <c r="B278" s="191"/>
      <c r="C278" s="211" t="s">
        <v>3069</v>
      </c>
      <c r="D278" s="189"/>
      <c r="E278" s="189"/>
      <c r="F278" s="189"/>
      <c r="G278" s="189"/>
      <c r="H278" s="189"/>
      <c r="I278" s="189"/>
      <c r="J278" s="189"/>
      <c r="K278" s="189"/>
      <c r="L278" s="190"/>
      <c r="N278" s="191"/>
      <c r="O278" s="189"/>
      <c r="P278" s="189"/>
      <c r="Q278" s="189"/>
      <c r="R278" s="189"/>
      <c r="S278" s="189"/>
      <c r="T278" s="193"/>
      <c r="U278" s="188"/>
      <c r="V278" s="189"/>
      <c r="W278" s="189"/>
      <c r="X278" s="190"/>
    </row>
    <row r="279" spans="2:24" ht="14.25" customHeight="1">
      <c r="B279" s="191"/>
      <c r="C279" s="189"/>
      <c r="D279" s="189"/>
      <c r="E279" s="189"/>
      <c r="F279" s="189"/>
      <c r="G279" s="189"/>
      <c r="H279" s="189"/>
      <c r="I279" s="189"/>
      <c r="J279" s="189"/>
      <c r="K279" s="189"/>
      <c r="L279" s="190"/>
      <c r="N279" s="191"/>
      <c r="O279" s="210" t="s">
        <v>2996</v>
      </c>
      <c r="P279" s="813">
        <f>중기사용료!$M$815</f>
        <v>1589</v>
      </c>
      <c r="Q279" s="813"/>
      <c r="R279" s="188" t="s">
        <v>2997</v>
      </c>
      <c r="S279" s="201">
        <f>O277</f>
        <v>0.45</v>
      </c>
      <c r="T279" s="188" t="s">
        <v>2993</v>
      </c>
      <c r="U279" s="203">
        <f>TRUNC(P279/S279)</f>
        <v>3531</v>
      </c>
      <c r="V279" s="189" t="s">
        <v>2998</v>
      </c>
      <c r="W279" s="189"/>
      <c r="X279" s="190"/>
    </row>
    <row r="280" spans="2:24" ht="14.25" customHeight="1">
      <c r="B280" s="191"/>
      <c r="C280" s="210" t="s">
        <v>2996</v>
      </c>
      <c r="D280" s="813">
        <f>중기사용료!$M$777</f>
        <v>10970</v>
      </c>
      <c r="E280" s="813"/>
      <c r="F280" s="188" t="s">
        <v>2997</v>
      </c>
      <c r="G280" s="201">
        <f>C275</f>
        <v>18</v>
      </c>
      <c r="H280" s="188" t="s">
        <v>2993</v>
      </c>
      <c r="I280" s="203">
        <f>TRUNC(D280/G280)</f>
        <v>609</v>
      </c>
      <c r="J280" s="189" t="s">
        <v>3051</v>
      </c>
      <c r="K280" s="189"/>
      <c r="L280" s="190"/>
      <c r="N280" s="191"/>
      <c r="O280" s="210" t="s">
        <v>3002</v>
      </c>
      <c r="P280" s="813">
        <f>중기사용료!$M$809</f>
        <v>18939</v>
      </c>
      <c r="Q280" s="813"/>
      <c r="R280" s="188" t="s">
        <v>2997</v>
      </c>
      <c r="S280" s="201">
        <f>O277</f>
        <v>0.45</v>
      </c>
      <c r="T280" s="188" t="s">
        <v>2993</v>
      </c>
      <c r="U280" s="203">
        <f>TRUNC(P280/S280)</f>
        <v>42086</v>
      </c>
      <c r="V280" s="189" t="s">
        <v>2998</v>
      </c>
      <c r="W280" s="189"/>
      <c r="X280" s="190"/>
    </row>
    <row r="281" spans="2:24" ht="14.25" customHeight="1">
      <c r="B281" s="191"/>
      <c r="C281" s="210" t="s">
        <v>3002</v>
      </c>
      <c r="D281" s="813">
        <f>중기사용료!$M$771</f>
        <v>27168</v>
      </c>
      <c r="E281" s="813"/>
      <c r="F281" s="188" t="s">
        <v>2997</v>
      </c>
      <c r="G281" s="201">
        <f>C275</f>
        <v>18</v>
      </c>
      <c r="H281" s="188" t="s">
        <v>2993</v>
      </c>
      <c r="I281" s="203">
        <f>TRUNC(D281/G281)</f>
        <v>1509</v>
      </c>
      <c r="J281" s="189" t="s">
        <v>3051</v>
      </c>
      <c r="K281" s="189"/>
      <c r="L281" s="190"/>
      <c r="N281" s="191"/>
      <c r="O281" s="210" t="s">
        <v>3004</v>
      </c>
      <c r="P281" s="813">
        <f>중기사용료!$M$803</f>
        <v>555</v>
      </c>
      <c r="Q281" s="813"/>
      <c r="R281" s="188" t="s">
        <v>2997</v>
      </c>
      <c r="S281" s="201">
        <f>O277</f>
        <v>0.45</v>
      </c>
      <c r="T281" s="188" t="s">
        <v>2993</v>
      </c>
      <c r="U281" s="203">
        <f>TRUNC(P281/S281)</f>
        <v>1233</v>
      </c>
      <c r="V281" s="189" t="s">
        <v>2998</v>
      </c>
      <c r="W281" s="189"/>
      <c r="X281" s="190"/>
    </row>
    <row r="282" spans="2:24" ht="14.25" customHeight="1">
      <c r="B282" s="191"/>
      <c r="C282" s="210" t="s">
        <v>3004</v>
      </c>
      <c r="D282" s="813">
        <f>중기사용료!$M$765</f>
        <v>15334</v>
      </c>
      <c r="E282" s="813"/>
      <c r="F282" s="188" t="s">
        <v>2997</v>
      </c>
      <c r="G282" s="201">
        <f>C275</f>
        <v>18</v>
      </c>
      <c r="H282" s="188" t="s">
        <v>2993</v>
      </c>
      <c r="I282" s="203">
        <f>TRUNC(D282/G282)</f>
        <v>851</v>
      </c>
      <c r="J282" s="189" t="s">
        <v>3051</v>
      </c>
      <c r="K282" s="189"/>
      <c r="L282" s="190"/>
      <c r="N282" s="191"/>
      <c r="O282" s="210"/>
      <c r="P282" s="203"/>
      <c r="Q282" s="203"/>
      <c r="R282" s="188"/>
      <c r="S282" s="201"/>
      <c r="T282" s="188"/>
      <c r="U282" s="203"/>
      <c r="V282" s="189"/>
      <c r="W282" s="189"/>
      <c r="X282" s="190"/>
    </row>
    <row r="283" spans="2:24" ht="14.25" customHeight="1">
      <c r="B283" s="191"/>
      <c r="C283" s="189"/>
      <c r="D283" s="189"/>
      <c r="E283" s="189"/>
      <c r="F283" s="189"/>
      <c r="G283" s="189"/>
      <c r="H283" s="189"/>
      <c r="I283" s="189"/>
      <c r="J283" s="189"/>
      <c r="K283" s="189"/>
      <c r="L283" s="190"/>
      <c r="N283" s="191"/>
      <c r="O283" s="189"/>
      <c r="P283" s="189"/>
      <c r="Q283" s="189"/>
      <c r="R283" s="189"/>
      <c r="S283" s="189"/>
      <c r="T283" s="189"/>
      <c r="U283" s="189"/>
      <c r="V283" s="189"/>
      <c r="W283" s="189"/>
      <c r="X283" s="190"/>
    </row>
    <row r="284" spans="2:24" ht="14.25" customHeight="1">
      <c r="B284" s="191"/>
      <c r="C284" s="189"/>
      <c r="D284" s="189"/>
      <c r="E284" s="189"/>
      <c r="F284" s="189"/>
      <c r="G284" s="189"/>
      <c r="H284" s="189"/>
      <c r="I284" s="189"/>
      <c r="J284" s="189"/>
      <c r="K284" s="189"/>
      <c r="L284" s="190"/>
      <c r="N284" s="567" t="s">
        <v>3048</v>
      </c>
      <c r="O284" s="561"/>
      <c r="P284" s="561"/>
      <c r="Q284" s="561"/>
      <c r="R284" s="561"/>
      <c r="S284" s="561"/>
      <c r="T284" s="561"/>
      <c r="U284" s="561"/>
      <c r="V284" s="561"/>
      <c r="W284" s="561"/>
      <c r="X284" s="564"/>
    </row>
    <row r="285" spans="2:24" ht="14.25" customHeight="1">
      <c r="B285" s="191"/>
      <c r="C285" s="189"/>
      <c r="D285" s="189"/>
      <c r="E285" s="189"/>
      <c r="F285" s="189"/>
      <c r="G285" s="189"/>
      <c r="H285" s="189"/>
      <c r="I285" s="189"/>
      <c r="J285" s="189"/>
      <c r="K285" s="189"/>
      <c r="L285" s="190"/>
      <c r="N285" s="191"/>
      <c r="O285" s="189" t="s">
        <v>3049</v>
      </c>
      <c r="P285" s="189"/>
      <c r="Q285" s="189"/>
      <c r="R285" s="189"/>
      <c r="S285" s="189"/>
      <c r="T285" s="189"/>
      <c r="U285" s="189"/>
      <c r="V285" s="189"/>
      <c r="W285" s="189"/>
      <c r="X285" s="190"/>
    </row>
    <row r="286" spans="2:24" ht="14.25" customHeight="1">
      <c r="B286" s="191"/>
      <c r="C286" s="189"/>
      <c r="D286" s="189"/>
      <c r="E286" s="189"/>
      <c r="F286" s="189"/>
      <c r="G286" s="189"/>
      <c r="H286" s="189"/>
      <c r="I286" s="189"/>
      <c r="J286" s="189"/>
      <c r="K286" s="189"/>
      <c r="L286" s="190"/>
      <c r="N286" s="191"/>
      <c r="O286" s="188" t="s">
        <v>3050</v>
      </c>
      <c r="P286" s="244">
        <v>1</v>
      </c>
      <c r="Q286" s="815">
        <f>SUMIF('노임(2015)'!$B$4:$B$87,O286,'노임(2015)'!$C$4:$C$87)+SUMIF('노임(2015)'!$E$4:$E$87,O262,'노임(2015)'!$F$4:$F$87)</f>
        <v>89566</v>
      </c>
      <c r="R286" s="815"/>
      <c r="S286" s="188" t="s">
        <v>2993</v>
      </c>
      <c r="T286" s="815">
        <f>TRUNC(P286*Q286)</f>
        <v>89566</v>
      </c>
      <c r="U286" s="815"/>
      <c r="V286" s="189" t="s">
        <v>3051</v>
      </c>
      <c r="W286" s="189"/>
      <c r="X286" s="190"/>
    </row>
    <row r="287" spans="2:24" ht="14.25" customHeight="1">
      <c r="B287" s="191"/>
      <c r="C287" s="189"/>
      <c r="D287" s="189"/>
      <c r="E287" s="189"/>
      <c r="F287" s="189"/>
      <c r="G287" s="189"/>
      <c r="H287" s="189"/>
      <c r="I287" s="189"/>
      <c r="J287" s="189"/>
      <c r="K287" s="189"/>
      <c r="L287" s="190"/>
      <c r="N287" s="191"/>
      <c r="O287" s="188"/>
      <c r="P287" s="244"/>
      <c r="Q287" s="218"/>
      <c r="R287" s="218"/>
      <c r="S287" s="188"/>
      <c r="T287" s="218"/>
      <c r="U287" s="218"/>
      <c r="V287" s="189"/>
      <c r="W287" s="189"/>
      <c r="X287" s="190"/>
    </row>
    <row r="288" spans="2:24" ht="14.25" customHeight="1">
      <c r="B288" s="216"/>
      <c r="C288" s="179"/>
      <c r="D288" s="179"/>
      <c r="E288" s="179"/>
      <c r="F288" s="179"/>
      <c r="G288" s="179"/>
      <c r="H288" s="179"/>
      <c r="I288" s="179"/>
      <c r="J288" s="179"/>
      <c r="K288" s="179"/>
      <c r="L288" s="217"/>
      <c r="N288" s="216"/>
      <c r="O288" s="179"/>
      <c r="P288" s="179"/>
      <c r="Q288" s="179"/>
      <c r="R288" s="179"/>
      <c r="S288" s="179"/>
      <c r="T288" s="179"/>
      <c r="U288" s="179"/>
      <c r="V288" s="179"/>
      <c r="W288" s="179"/>
      <c r="X288" s="217"/>
    </row>
    <row r="289" spans="2:12" ht="14.25" customHeight="1">
      <c r="B289" s="179"/>
      <c r="C289" s="179"/>
      <c r="D289" s="179"/>
      <c r="E289" s="179"/>
      <c r="F289" s="179"/>
      <c r="G289" s="179"/>
      <c r="H289" s="179"/>
      <c r="I289" s="179"/>
      <c r="J289" s="179"/>
      <c r="K289" s="179"/>
      <c r="L289" s="179"/>
    </row>
    <row r="290" spans="2:12" s="184" customFormat="1" ht="14.25" customHeight="1">
      <c r="B290" s="180" t="s">
        <v>3071</v>
      </c>
      <c r="C290" s="181"/>
      <c r="D290" s="181"/>
      <c r="E290" s="181"/>
      <c r="F290" s="181"/>
      <c r="G290" s="181"/>
      <c r="H290" s="181"/>
      <c r="I290" s="181"/>
      <c r="J290" s="181"/>
      <c r="K290" s="181"/>
      <c r="L290" s="183"/>
    </row>
    <row r="291" spans="2:12" ht="14.25" customHeight="1">
      <c r="B291" s="194"/>
      <c r="C291" s="189"/>
      <c r="D291" s="189"/>
      <c r="E291" s="189"/>
      <c r="F291" s="189"/>
      <c r="G291" s="189"/>
      <c r="H291" s="189"/>
      <c r="I291" s="189"/>
      <c r="J291" s="189"/>
      <c r="K291" s="189"/>
      <c r="L291" s="190"/>
    </row>
    <row r="292" spans="2:12" ht="14.25" customHeight="1">
      <c r="B292" s="191"/>
      <c r="C292" s="189"/>
      <c r="D292" s="189"/>
      <c r="E292" s="189"/>
      <c r="F292" s="189"/>
      <c r="G292" s="189"/>
      <c r="H292" s="189"/>
      <c r="I292" s="189"/>
      <c r="J292" s="189"/>
      <c r="K292" s="189"/>
      <c r="L292" s="190"/>
    </row>
    <row r="293" spans="2:12" ht="14.25" customHeight="1">
      <c r="B293" s="191"/>
      <c r="C293" s="816" t="s">
        <v>3072</v>
      </c>
      <c r="D293" s="814" t="s">
        <v>3073</v>
      </c>
      <c r="E293" s="802"/>
      <c r="F293" s="814" t="s">
        <v>3074</v>
      </c>
      <c r="G293" s="802"/>
      <c r="H293" s="814" t="s">
        <v>3075</v>
      </c>
      <c r="I293" s="802"/>
      <c r="J293" s="814" t="s">
        <v>3076</v>
      </c>
      <c r="K293" s="802"/>
      <c r="L293" s="190"/>
    </row>
    <row r="294" spans="2:12" ht="14.25" customHeight="1">
      <c r="B294" s="191"/>
      <c r="C294" s="817"/>
      <c r="D294" s="803"/>
      <c r="E294" s="804"/>
      <c r="F294" s="803"/>
      <c r="G294" s="804"/>
      <c r="H294" s="803"/>
      <c r="I294" s="804"/>
      <c r="J294" s="803"/>
      <c r="K294" s="804"/>
      <c r="L294" s="190"/>
    </row>
    <row r="295" spans="2:12" ht="14.25" customHeight="1">
      <c r="B295" s="191"/>
      <c r="C295" s="222" t="s">
        <v>3077</v>
      </c>
      <c r="D295" s="801" t="str">
        <f>$I$136&amp;"×"&amp;C297&amp;C298</f>
        <v>457×16회</v>
      </c>
      <c r="E295" s="802"/>
      <c r="F295" s="801" t="str">
        <f>$I$137&amp;"×"&amp;C297&amp;C298</f>
        <v>595×16회</v>
      </c>
      <c r="G295" s="802"/>
      <c r="H295" s="801" t="str">
        <f>$I$138&amp;"×"&amp;C297&amp;C298</f>
        <v>500×16회</v>
      </c>
      <c r="I295" s="802"/>
      <c r="J295" s="801"/>
      <c r="K295" s="802"/>
      <c r="L295" s="190"/>
    </row>
    <row r="296" spans="2:12" ht="14.25" customHeight="1">
      <c r="B296" s="191"/>
      <c r="C296" s="227" t="s">
        <v>3078</v>
      </c>
      <c r="D296" s="803"/>
      <c r="E296" s="804"/>
      <c r="F296" s="803"/>
      <c r="G296" s="804"/>
      <c r="H296" s="803"/>
      <c r="I296" s="804"/>
      <c r="J296" s="803"/>
      <c r="K296" s="804"/>
      <c r="L296" s="190"/>
    </row>
    <row r="297" spans="2:12" ht="14.25" customHeight="1">
      <c r="B297" s="191"/>
      <c r="C297" s="224">
        <v>16</v>
      </c>
      <c r="D297" s="805">
        <f>$I$136*C297</f>
        <v>7312</v>
      </c>
      <c r="E297" s="806"/>
      <c r="F297" s="805">
        <f>$I$137*C297</f>
        <v>9520</v>
      </c>
      <c r="G297" s="806"/>
      <c r="H297" s="805">
        <f>$I$138*C297</f>
        <v>8000</v>
      </c>
      <c r="I297" s="806"/>
      <c r="J297" s="805">
        <f>D297+F297+H297</f>
        <v>24832</v>
      </c>
      <c r="K297" s="806"/>
      <c r="L297" s="190"/>
    </row>
    <row r="298" spans="2:12" ht="14.25" customHeight="1">
      <c r="B298" s="191"/>
      <c r="C298" s="223" t="s">
        <v>3067</v>
      </c>
      <c r="D298" s="807"/>
      <c r="E298" s="808"/>
      <c r="F298" s="807"/>
      <c r="G298" s="808"/>
      <c r="H298" s="807"/>
      <c r="I298" s="808"/>
      <c r="J298" s="807"/>
      <c r="K298" s="808"/>
      <c r="L298" s="190"/>
    </row>
    <row r="299" spans="2:12" ht="14.25" customHeight="1">
      <c r="B299" s="191"/>
      <c r="C299" s="222" t="s">
        <v>3079</v>
      </c>
      <c r="D299" s="801" t="str">
        <f>$I$160&amp;"×"&amp;C301&amp;C302</f>
        <v>609×7회</v>
      </c>
      <c r="E299" s="802"/>
      <c r="F299" s="824" t="str">
        <f>$I$161&amp;"×"&amp;C301&amp;C302</f>
        <v>1509×7회</v>
      </c>
      <c r="G299" s="825"/>
      <c r="H299" s="801" t="str">
        <f>$I$162&amp;"×"&amp;C301&amp;C302</f>
        <v>851×7회</v>
      </c>
      <c r="I299" s="802"/>
      <c r="J299" s="801"/>
      <c r="K299" s="802"/>
      <c r="L299" s="190"/>
    </row>
    <row r="300" spans="2:12" ht="14.25" customHeight="1">
      <c r="B300" s="191"/>
      <c r="C300" s="227" t="s">
        <v>3080</v>
      </c>
      <c r="D300" s="803"/>
      <c r="E300" s="804"/>
      <c r="F300" s="826"/>
      <c r="G300" s="827"/>
      <c r="H300" s="803"/>
      <c r="I300" s="804"/>
      <c r="J300" s="803"/>
      <c r="K300" s="804"/>
      <c r="L300" s="190"/>
    </row>
    <row r="301" spans="2:12" ht="14.25" customHeight="1">
      <c r="B301" s="191"/>
      <c r="C301" s="224">
        <v>7</v>
      </c>
      <c r="D301" s="805">
        <f>$I$160*C301</f>
        <v>4263</v>
      </c>
      <c r="E301" s="806"/>
      <c r="F301" s="805">
        <f>$I$161*C301</f>
        <v>10563</v>
      </c>
      <c r="G301" s="806"/>
      <c r="H301" s="805">
        <f>$I$162*C301</f>
        <v>5957</v>
      </c>
      <c r="I301" s="806"/>
      <c r="J301" s="805">
        <f>D301+F301+H301</f>
        <v>20783</v>
      </c>
      <c r="K301" s="806"/>
      <c r="L301" s="190"/>
    </row>
    <row r="302" spans="2:12" ht="14.25" customHeight="1">
      <c r="B302" s="191"/>
      <c r="C302" s="223" t="s">
        <v>3067</v>
      </c>
      <c r="D302" s="807"/>
      <c r="E302" s="808"/>
      <c r="F302" s="807"/>
      <c r="G302" s="808"/>
      <c r="H302" s="807"/>
      <c r="I302" s="808"/>
      <c r="J302" s="807"/>
      <c r="K302" s="808"/>
      <c r="L302" s="190"/>
    </row>
    <row r="303" spans="2:12" ht="14.25" customHeight="1">
      <c r="B303" s="191"/>
      <c r="C303" s="816" t="s">
        <v>2622</v>
      </c>
      <c r="D303" s="805">
        <f>SUM(D297,D301)</f>
        <v>11575</v>
      </c>
      <c r="E303" s="806"/>
      <c r="F303" s="805">
        <f>SUM(F297,F301)</f>
        <v>20083</v>
      </c>
      <c r="G303" s="806"/>
      <c r="H303" s="805">
        <f>SUM(H297,H301)</f>
        <v>13957</v>
      </c>
      <c r="I303" s="806"/>
      <c r="J303" s="805">
        <f>SUM(J297,J301)</f>
        <v>45615</v>
      </c>
      <c r="K303" s="806"/>
      <c r="L303" s="190"/>
    </row>
    <row r="304" spans="2:12" ht="14.25" customHeight="1">
      <c r="B304" s="191"/>
      <c r="C304" s="817"/>
      <c r="D304" s="807"/>
      <c r="E304" s="808"/>
      <c r="F304" s="807"/>
      <c r="G304" s="808"/>
      <c r="H304" s="807"/>
      <c r="I304" s="808"/>
      <c r="J304" s="807"/>
      <c r="K304" s="808"/>
      <c r="L304" s="190"/>
    </row>
    <row r="305" spans="2:12" ht="14.25" customHeight="1">
      <c r="B305" s="191"/>
      <c r="C305" s="189"/>
      <c r="D305" s="189"/>
      <c r="E305" s="189"/>
      <c r="F305" s="189"/>
      <c r="G305" s="189"/>
      <c r="H305" s="189"/>
      <c r="I305" s="189"/>
      <c r="J305" s="189"/>
      <c r="K305" s="189"/>
      <c r="L305" s="190"/>
    </row>
    <row r="306" spans="2:12" ht="14.25" customHeight="1">
      <c r="B306" s="191"/>
      <c r="C306" s="189"/>
      <c r="D306" s="189"/>
      <c r="E306" s="189"/>
      <c r="F306" s="189"/>
      <c r="G306" s="189"/>
      <c r="H306" s="189"/>
      <c r="I306" s="189"/>
      <c r="J306" s="189"/>
      <c r="K306" s="189"/>
      <c r="L306" s="190"/>
    </row>
    <row r="307" spans="2:12" ht="14.25" customHeight="1">
      <c r="B307" s="191"/>
      <c r="C307" s="189"/>
      <c r="D307" s="189"/>
      <c r="E307" s="189"/>
      <c r="F307" s="189"/>
      <c r="G307" s="189"/>
      <c r="H307" s="189"/>
      <c r="I307" s="189"/>
      <c r="J307" s="189"/>
      <c r="K307" s="189"/>
      <c r="L307" s="190"/>
    </row>
    <row r="308" spans="2:12" ht="14.25" customHeight="1">
      <c r="B308" s="191"/>
      <c r="C308" s="189"/>
      <c r="D308" s="189"/>
      <c r="E308" s="189"/>
      <c r="F308" s="189"/>
      <c r="G308" s="189"/>
      <c r="H308" s="189"/>
      <c r="I308" s="189"/>
      <c r="J308" s="189"/>
      <c r="K308" s="189"/>
      <c r="L308" s="190"/>
    </row>
    <row r="309" spans="2:12" ht="14.25" customHeight="1">
      <c r="B309" s="216"/>
      <c r="C309" s="179"/>
      <c r="D309" s="179"/>
      <c r="E309" s="179"/>
      <c r="F309" s="179"/>
      <c r="G309" s="179"/>
      <c r="H309" s="179"/>
      <c r="I309" s="179"/>
      <c r="J309" s="179"/>
      <c r="K309" s="179"/>
      <c r="L309" s="217"/>
    </row>
    <row r="310" spans="2:12" ht="14.25" customHeight="1">
      <c r="B310" s="179"/>
      <c r="C310" s="179"/>
      <c r="D310" s="179"/>
      <c r="E310" s="179"/>
      <c r="F310" s="179"/>
      <c r="G310" s="179"/>
      <c r="H310" s="179"/>
      <c r="I310" s="179"/>
      <c r="J310" s="179"/>
      <c r="K310" s="179"/>
      <c r="L310" s="179"/>
    </row>
    <row r="311" spans="2:12" ht="14.25" customHeight="1">
      <c r="B311" s="180" t="s">
        <v>3081</v>
      </c>
      <c r="C311" s="181"/>
      <c r="D311" s="181"/>
      <c r="E311" s="181"/>
      <c r="F311" s="181"/>
      <c r="G311" s="181"/>
      <c r="H311" s="181"/>
      <c r="I311" s="181"/>
      <c r="J311" s="181"/>
      <c r="K311" s="181"/>
      <c r="L311" s="183"/>
    </row>
    <row r="312" spans="2:12" ht="14.25" customHeight="1">
      <c r="B312" s="191"/>
      <c r="C312" s="189"/>
      <c r="D312" s="189"/>
      <c r="E312" s="189"/>
      <c r="F312" s="189"/>
      <c r="G312" s="189"/>
      <c r="H312" s="189"/>
      <c r="I312" s="189"/>
      <c r="J312" s="189"/>
      <c r="K312" s="189"/>
      <c r="L312" s="190"/>
    </row>
    <row r="313" spans="2:12" ht="14.25" customHeight="1">
      <c r="B313" s="191"/>
      <c r="C313" s="189"/>
      <c r="D313" s="189"/>
      <c r="E313" s="189"/>
      <c r="F313" s="189"/>
      <c r="G313" s="189"/>
      <c r="H313" s="189"/>
      <c r="I313" s="189"/>
      <c r="J313" s="189"/>
      <c r="K313" s="189"/>
      <c r="L313" s="190"/>
    </row>
    <row r="314" spans="2:12" s="184" customFormat="1" ht="14.25" customHeight="1">
      <c r="B314" s="191"/>
      <c r="C314" s="189"/>
      <c r="D314" s="189"/>
      <c r="E314" s="189"/>
      <c r="F314" s="189"/>
      <c r="G314" s="193" t="s">
        <v>3082</v>
      </c>
      <c r="H314" s="218">
        <v>5500</v>
      </c>
      <c r="I314" s="189" t="s">
        <v>3083</v>
      </c>
      <c r="J314" s="189"/>
      <c r="K314" s="189"/>
      <c r="L314" s="190"/>
    </row>
    <row r="315" spans="2:12" ht="14.25" customHeight="1">
      <c r="B315" s="194" t="s">
        <v>3013</v>
      </c>
      <c r="C315" s="189" t="s">
        <v>3084</v>
      </c>
      <c r="D315" s="189"/>
      <c r="E315" s="189"/>
      <c r="F315" s="189"/>
      <c r="G315" s="193" t="s">
        <v>3085</v>
      </c>
      <c r="H315" s="188">
        <v>0.9</v>
      </c>
      <c r="I315" s="189"/>
      <c r="J315" s="189"/>
      <c r="K315" s="189"/>
      <c r="L315" s="190"/>
    </row>
    <row r="316" spans="2:12" ht="14.25" customHeight="1">
      <c r="B316" s="191"/>
      <c r="C316" s="189" t="s">
        <v>3059</v>
      </c>
      <c r="D316" s="189"/>
      <c r="E316" s="189"/>
      <c r="F316" s="189"/>
      <c r="G316" s="193" t="s">
        <v>3086</v>
      </c>
      <c r="H316" s="219">
        <v>15</v>
      </c>
      <c r="I316" s="196" t="s">
        <v>3087</v>
      </c>
      <c r="J316" s="189"/>
      <c r="K316" s="189"/>
      <c r="L316" s="190"/>
    </row>
    <row r="317" spans="2:12" ht="14.25" customHeight="1">
      <c r="B317" s="194" t="s">
        <v>3062</v>
      </c>
      <c r="C317" s="197" t="str">
        <f>" 60× "&amp;H314/1000&amp;" × "&amp;H315&amp;"  / "&amp;H323</f>
        <v xml:space="preserve"> 60× 5.5 × 0.9  / 46</v>
      </c>
      <c r="D317" s="189"/>
      <c r="E317" s="189"/>
      <c r="F317" s="189"/>
      <c r="G317" s="193" t="s">
        <v>3088</v>
      </c>
      <c r="H317" s="219">
        <f>J319</f>
        <v>16</v>
      </c>
      <c r="I317" s="196" t="s">
        <v>3089</v>
      </c>
      <c r="J317" s="189"/>
      <c r="K317" s="189"/>
      <c r="L317" s="190"/>
    </row>
    <row r="318" spans="2:12" ht="14.25" customHeight="1">
      <c r="B318" s="191"/>
      <c r="C318" s="189"/>
      <c r="D318" s="189"/>
      <c r="E318" s="189"/>
      <c r="F318" s="189"/>
      <c r="G318" s="193" t="s">
        <v>3090</v>
      </c>
      <c r="H318" s="188">
        <v>2</v>
      </c>
      <c r="I318" s="188" t="s">
        <v>2997</v>
      </c>
      <c r="J318" s="188">
        <v>15</v>
      </c>
      <c r="K318" s="196" t="s">
        <v>3091</v>
      </c>
      <c r="L318" s="190"/>
    </row>
    <row r="319" spans="2:12" ht="14.25" customHeight="1">
      <c r="B319" s="194" t="s">
        <v>2993</v>
      </c>
      <c r="C319" s="209">
        <f>ROUND(60*H314/1000*H315/H323,2)</f>
        <v>6.46</v>
      </c>
      <c r="D319" s="189" t="s">
        <v>3092</v>
      </c>
      <c r="E319" s="189"/>
      <c r="F319" s="189"/>
      <c r="G319" s="189"/>
      <c r="H319" s="189" t="s">
        <v>3093</v>
      </c>
      <c r="I319" s="189"/>
      <c r="J319" s="219">
        <f>TRUNC(H318/J318*2*60,1)</f>
        <v>16</v>
      </c>
      <c r="K319" s="189" t="s">
        <v>3094</v>
      </c>
      <c r="L319" s="190"/>
    </row>
    <row r="320" spans="2:12" ht="14.25" customHeight="1">
      <c r="B320" s="191"/>
      <c r="C320" s="189"/>
      <c r="D320" s="189"/>
      <c r="E320" s="189"/>
      <c r="F320" s="189"/>
      <c r="G320" s="193" t="s">
        <v>3095</v>
      </c>
      <c r="H320" s="220">
        <f>H314</f>
        <v>5500</v>
      </c>
      <c r="I320" s="188" t="s">
        <v>3096</v>
      </c>
      <c r="J320" s="188">
        <v>550</v>
      </c>
      <c r="K320" s="189"/>
      <c r="L320" s="190"/>
    </row>
    <row r="321" spans="2:12" ht="14.25" customHeight="1">
      <c r="B321" s="194"/>
      <c r="C321" s="209"/>
      <c r="D321" s="189"/>
      <c r="E321" s="189"/>
      <c r="F321" s="189"/>
      <c r="G321" s="193" t="s">
        <v>2993</v>
      </c>
      <c r="H321" s="188">
        <f>H320/J320</f>
        <v>10</v>
      </c>
      <c r="I321" s="189" t="s">
        <v>3094</v>
      </c>
      <c r="J321" s="189"/>
      <c r="K321" s="189"/>
      <c r="L321" s="190"/>
    </row>
    <row r="322" spans="2:12" ht="14.25" customHeight="1">
      <c r="B322" s="191"/>
      <c r="C322" s="189"/>
      <c r="D322" s="189"/>
      <c r="E322" s="189"/>
      <c r="F322" s="189"/>
      <c r="G322" s="193" t="s">
        <v>3097</v>
      </c>
      <c r="H322" s="188">
        <v>5</v>
      </c>
      <c r="I322" s="189" t="s">
        <v>3094</v>
      </c>
      <c r="J322" s="189"/>
      <c r="K322" s="189"/>
      <c r="L322" s="190"/>
    </row>
    <row r="323" spans="2:12" ht="14.25" customHeight="1">
      <c r="B323" s="194"/>
      <c r="C323" s="188"/>
      <c r="D323" s="210"/>
      <c r="E323" s="189"/>
      <c r="F323" s="189"/>
      <c r="G323" s="193" t="s">
        <v>3098</v>
      </c>
      <c r="H323" s="219">
        <f>H316+H317+H321+H322</f>
        <v>46</v>
      </c>
      <c r="I323" s="189" t="s">
        <v>3094</v>
      </c>
      <c r="J323" s="189"/>
      <c r="K323" s="189"/>
      <c r="L323" s="190"/>
    </row>
    <row r="324" spans="2:12" ht="14.25" customHeight="1">
      <c r="B324" s="191"/>
      <c r="C324" s="189"/>
      <c r="D324" s="189"/>
      <c r="E324" s="189"/>
      <c r="F324" s="189"/>
      <c r="G324" s="189"/>
      <c r="H324" s="193"/>
      <c r="I324" s="188"/>
      <c r="J324" s="189"/>
      <c r="K324" s="189"/>
      <c r="L324" s="190"/>
    </row>
    <row r="325" spans="2:12" ht="14.25" customHeight="1">
      <c r="B325" s="191"/>
      <c r="C325" s="189"/>
      <c r="D325" s="189"/>
      <c r="E325" s="189"/>
      <c r="F325" s="189"/>
      <c r="G325" s="189"/>
      <c r="H325" s="189"/>
      <c r="I325" s="189"/>
      <c r="J325" s="189"/>
      <c r="K325" s="189"/>
      <c r="L325" s="190"/>
    </row>
    <row r="326" spans="2:12" ht="14.25" customHeight="1">
      <c r="B326" s="191"/>
      <c r="C326" s="211" t="s">
        <v>2995</v>
      </c>
      <c r="D326" s="189"/>
      <c r="E326" s="189"/>
      <c r="F326" s="189"/>
      <c r="G326" s="189"/>
      <c r="H326" s="189"/>
      <c r="I326" s="189"/>
      <c r="J326" s="189"/>
      <c r="K326" s="189"/>
      <c r="L326" s="190"/>
    </row>
    <row r="327" spans="2:12" ht="14.25" customHeight="1">
      <c r="B327" s="191"/>
      <c r="C327" s="189"/>
      <c r="D327" s="203"/>
      <c r="E327" s="189"/>
      <c r="F327" s="188"/>
      <c r="G327" s="212"/>
      <c r="H327" s="189"/>
      <c r="I327" s="203"/>
      <c r="J327" s="189"/>
      <c r="K327" s="189"/>
      <c r="L327" s="190"/>
    </row>
    <row r="328" spans="2:12" ht="14.25" customHeight="1">
      <c r="B328" s="191"/>
      <c r="C328" s="210" t="s">
        <v>2996</v>
      </c>
      <c r="D328" s="830">
        <f>중기사용료!$M$1594</f>
        <v>13479</v>
      </c>
      <c r="E328" s="830"/>
      <c r="F328" s="201">
        <f>C319</f>
        <v>6.46</v>
      </c>
      <c r="G328" s="833" t="s">
        <v>3099</v>
      </c>
      <c r="H328" s="833"/>
      <c r="I328" s="203">
        <f>TRUNC(D328/F328*3*26/46)</f>
        <v>3538</v>
      </c>
      <c r="J328" s="189" t="s">
        <v>3000</v>
      </c>
      <c r="K328" s="189"/>
      <c r="L328" s="190"/>
    </row>
    <row r="329" spans="2:12" ht="14.25" customHeight="1">
      <c r="B329" s="191"/>
      <c r="C329" s="210" t="s">
        <v>3002</v>
      </c>
      <c r="D329" s="830">
        <f>중기사용료!$M$1588</f>
        <v>24483</v>
      </c>
      <c r="E329" s="830"/>
      <c r="F329" s="209">
        <f>C319</f>
        <v>6.46</v>
      </c>
      <c r="G329" s="201" t="s">
        <v>3100</v>
      </c>
      <c r="H329" s="188" t="s">
        <v>2993</v>
      </c>
      <c r="I329" s="203">
        <f>TRUNC(D329/F329*3)</f>
        <v>11369</v>
      </c>
      <c r="J329" s="189" t="s">
        <v>3000</v>
      </c>
      <c r="K329" s="189"/>
      <c r="L329" s="190"/>
    </row>
    <row r="330" spans="2:12" ht="14.25" customHeight="1">
      <c r="B330" s="191"/>
      <c r="C330" s="210" t="s">
        <v>3004</v>
      </c>
      <c r="D330" s="830">
        <f>중기사용료!$M$1582</f>
        <v>7823</v>
      </c>
      <c r="E330" s="830"/>
      <c r="F330" s="209">
        <f>C319</f>
        <v>6.46</v>
      </c>
      <c r="G330" s="201" t="s">
        <v>3100</v>
      </c>
      <c r="H330" s="188" t="s">
        <v>2993</v>
      </c>
      <c r="I330" s="203">
        <f>TRUNC(D330/F330*3)</f>
        <v>3632</v>
      </c>
      <c r="J330" s="189" t="s">
        <v>3000</v>
      </c>
      <c r="K330" s="189"/>
      <c r="L330" s="190"/>
    </row>
    <row r="331" spans="2:12" ht="14.25" customHeight="1">
      <c r="B331" s="191"/>
      <c r="C331" s="210"/>
      <c r="D331" s="221"/>
      <c r="E331" s="221"/>
      <c r="F331" s="209"/>
      <c r="G331" s="201"/>
      <c r="H331" s="188"/>
      <c r="I331" s="203"/>
      <c r="J331" s="189"/>
      <c r="K331" s="189"/>
      <c r="L331" s="190"/>
    </row>
    <row r="332" spans="2:12" ht="14.25" customHeight="1">
      <c r="B332" s="191"/>
      <c r="C332" s="210"/>
      <c r="D332" s="221"/>
      <c r="E332" s="221"/>
      <c r="F332" s="209"/>
      <c r="G332" s="201"/>
      <c r="H332" s="188"/>
      <c r="I332" s="203"/>
      <c r="J332" s="189"/>
      <c r="K332" s="189"/>
      <c r="L332" s="190"/>
    </row>
    <row r="333" spans="2:12" ht="14.25" customHeight="1">
      <c r="B333" s="191"/>
      <c r="C333" s="210"/>
      <c r="D333" s="221"/>
      <c r="E333" s="221"/>
      <c r="F333" s="209"/>
      <c r="G333" s="201"/>
      <c r="H333" s="188"/>
      <c r="I333" s="203"/>
      <c r="J333" s="189"/>
      <c r="K333" s="189"/>
      <c r="L333" s="190"/>
    </row>
    <row r="334" spans="2:12" ht="14.25" customHeight="1">
      <c r="B334" s="191"/>
      <c r="C334" s="189"/>
      <c r="D334" s="189"/>
      <c r="E334" s="189"/>
      <c r="F334" s="189"/>
      <c r="G334" s="189"/>
      <c r="H334" s="189"/>
      <c r="I334" s="189"/>
      <c r="J334" s="189"/>
      <c r="K334" s="189"/>
      <c r="L334" s="190"/>
    </row>
    <row r="335" spans="2:12" ht="14.25" customHeight="1">
      <c r="B335" s="191"/>
      <c r="C335" s="189"/>
      <c r="D335" s="189"/>
      <c r="E335" s="189"/>
      <c r="F335" s="189"/>
      <c r="G335" s="189"/>
      <c r="H335" s="189"/>
      <c r="I335" s="189"/>
      <c r="J335" s="189"/>
      <c r="K335" s="189"/>
      <c r="L335" s="190"/>
    </row>
    <row r="336" spans="2:12" ht="14.25" customHeight="1">
      <c r="B336" s="216"/>
      <c r="C336" s="179"/>
      <c r="D336" s="179"/>
      <c r="E336" s="179"/>
      <c r="F336" s="179"/>
      <c r="G336" s="179"/>
      <c r="H336" s="179"/>
      <c r="I336" s="179"/>
      <c r="J336" s="179"/>
      <c r="K336" s="179"/>
      <c r="L336" s="217"/>
    </row>
    <row r="337" spans="2:12" ht="14.25" customHeight="1">
      <c r="B337" s="187"/>
      <c r="C337" s="187"/>
      <c r="D337" s="187"/>
      <c r="E337" s="187"/>
      <c r="F337" s="187"/>
      <c r="G337" s="187"/>
      <c r="H337" s="187"/>
      <c r="I337" s="187"/>
      <c r="J337" s="187"/>
      <c r="K337" s="187"/>
      <c r="L337" s="187"/>
    </row>
    <row r="338" spans="2:12" s="184" customFormat="1" ht="14.25" customHeight="1">
      <c r="B338" s="189"/>
      <c r="C338" s="189"/>
      <c r="D338" s="189"/>
      <c r="E338" s="189"/>
      <c r="F338" s="189"/>
      <c r="G338" s="189"/>
      <c r="H338" s="189"/>
      <c r="I338" s="189"/>
      <c r="J338" s="189"/>
      <c r="K338" s="189"/>
      <c r="L338" s="189"/>
    </row>
    <row r="339" spans="2:12" ht="14.25" customHeight="1">
      <c r="B339" s="189"/>
      <c r="C339" s="189"/>
      <c r="D339" s="189"/>
      <c r="E339" s="189"/>
      <c r="F339" s="189"/>
      <c r="G339" s="189"/>
      <c r="H339" s="189"/>
      <c r="I339" s="189"/>
      <c r="J339" s="189"/>
      <c r="K339" s="189"/>
      <c r="L339" s="189"/>
    </row>
    <row r="340" spans="2:12" ht="14.25" customHeight="1">
      <c r="B340" s="189"/>
      <c r="C340" s="189"/>
      <c r="D340" s="189"/>
      <c r="E340" s="189"/>
      <c r="F340" s="189"/>
      <c r="G340" s="189"/>
      <c r="H340" s="189"/>
      <c r="I340" s="189"/>
      <c r="J340" s="189"/>
      <c r="K340" s="189"/>
      <c r="L340" s="189"/>
    </row>
    <row r="341" spans="2:12" ht="14.25" customHeight="1">
      <c r="B341" s="189"/>
      <c r="C341" s="189"/>
      <c r="D341" s="189"/>
      <c r="E341" s="189"/>
      <c r="F341" s="189"/>
      <c r="G341" s="189"/>
      <c r="H341" s="189"/>
      <c r="I341" s="189"/>
      <c r="J341" s="189"/>
      <c r="K341" s="189"/>
      <c r="L341" s="189"/>
    </row>
    <row r="342" spans="2:12" ht="14.25" customHeight="1">
      <c r="B342" s="189"/>
      <c r="C342" s="189"/>
      <c r="D342" s="189"/>
      <c r="E342" s="189"/>
      <c r="F342" s="189"/>
      <c r="G342" s="189"/>
      <c r="H342" s="189"/>
      <c r="I342" s="189"/>
      <c r="J342" s="189"/>
      <c r="K342" s="189"/>
      <c r="L342" s="189"/>
    </row>
    <row r="343" spans="2:12" ht="14.25" customHeight="1">
      <c r="B343" s="189"/>
      <c r="C343" s="189"/>
      <c r="D343" s="189"/>
      <c r="E343" s="189"/>
      <c r="F343" s="189"/>
      <c r="G343" s="189"/>
      <c r="H343" s="189"/>
      <c r="I343" s="189"/>
      <c r="J343" s="189"/>
      <c r="K343" s="189"/>
      <c r="L343" s="189"/>
    </row>
    <row r="344" spans="2:12" ht="14.25" customHeight="1">
      <c r="B344" s="189"/>
      <c r="C344" s="189"/>
      <c r="D344" s="189"/>
      <c r="E344" s="189"/>
      <c r="F344" s="189"/>
      <c r="G344" s="189"/>
      <c r="H344" s="189"/>
      <c r="I344" s="189"/>
      <c r="J344" s="189"/>
      <c r="K344" s="189"/>
      <c r="L344" s="189"/>
    </row>
    <row r="345" spans="2:12" ht="14.25" customHeight="1">
      <c r="B345" s="189"/>
      <c r="C345" s="189"/>
      <c r="D345" s="189"/>
      <c r="E345" s="189"/>
      <c r="F345" s="189"/>
      <c r="G345" s="189"/>
      <c r="H345" s="189"/>
      <c r="I345" s="189"/>
      <c r="J345" s="189"/>
      <c r="K345" s="189"/>
      <c r="L345" s="189"/>
    </row>
    <row r="346" spans="2:12" ht="14.25" customHeight="1">
      <c r="B346" s="189"/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</row>
    <row r="347" spans="2:12" ht="14.25" customHeight="1">
      <c r="B347" s="189"/>
      <c r="C347" s="189"/>
      <c r="D347" s="189"/>
      <c r="E347" s="189"/>
      <c r="F347" s="189"/>
      <c r="G347" s="189"/>
      <c r="H347" s="189"/>
      <c r="I347" s="189"/>
      <c r="J347" s="189"/>
      <c r="K347" s="189"/>
      <c r="L347" s="189"/>
    </row>
    <row r="348" spans="2:12" ht="14.25" customHeight="1">
      <c r="B348" s="189"/>
      <c r="C348" s="189"/>
      <c r="D348" s="189"/>
      <c r="E348" s="189"/>
      <c r="F348" s="189"/>
      <c r="G348" s="189"/>
      <c r="H348" s="189"/>
      <c r="I348" s="189"/>
      <c r="J348" s="189"/>
      <c r="K348" s="189"/>
      <c r="L348" s="189"/>
    </row>
    <row r="349" spans="2:12" ht="14.25" customHeight="1">
      <c r="B349" s="189"/>
      <c r="C349" s="189"/>
      <c r="D349" s="189"/>
      <c r="E349" s="189"/>
      <c r="F349" s="189"/>
      <c r="G349" s="189"/>
      <c r="H349" s="189"/>
      <c r="I349" s="189"/>
      <c r="J349" s="189"/>
      <c r="K349" s="189"/>
      <c r="L349" s="189"/>
    </row>
    <row r="350" spans="2:12" ht="14.25" customHeight="1">
      <c r="B350" s="189"/>
      <c r="C350" s="189"/>
      <c r="D350" s="189"/>
      <c r="E350" s="189"/>
      <c r="F350" s="189"/>
      <c r="G350" s="189"/>
      <c r="H350" s="189"/>
      <c r="I350" s="189"/>
      <c r="J350" s="189"/>
      <c r="K350" s="189"/>
      <c r="L350" s="189"/>
    </row>
    <row r="351" spans="2:12" ht="14.25" customHeight="1">
      <c r="B351" s="189"/>
      <c r="C351" s="189"/>
      <c r="D351" s="189"/>
      <c r="E351" s="189"/>
      <c r="F351" s="189"/>
      <c r="G351" s="189"/>
      <c r="H351" s="189"/>
      <c r="I351" s="189"/>
      <c r="J351" s="189"/>
      <c r="K351" s="189"/>
      <c r="L351" s="189"/>
    </row>
    <row r="352" spans="2:12" ht="14.25" customHeight="1">
      <c r="B352" s="189"/>
      <c r="C352" s="189"/>
      <c r="D352" s="189"/>
      <c r="E352" s="189"/>
      <c r="F352" s="189"/>
      <c r="G352" s="189"/>
      <c r="H352" s="189"/>
      <c r="I352" s="189"/>
      <c r="J352" s="189"/>
      <c r="K352" s="189"/>
      <c r="L352" s="189"/>
    </row>
    <row r="353" spans="2:12" ht="14.25" customHeight="1">
      <c r="B353" s="189"/>
      <c r="C353" s="189"/>
      <c r="D353" s="189"/>
      <c r="E353" s="189"/>
      <c r="F353" s="189"/>
      <c r="G353" s="189"/>
      <c r="H353" s="189"/>
      <c r="I353" s="189"/>
      <c r="J353" s="189"/>
      <c r="K353" s="189"/>
      <c r="L353" s="189"/>
    </row>
    <row r="354" spans="2:12" ht="14.25" customHeight="1">
      <c r="B354" s="189"/>
      <c r="C354" s="189"/>
      <c r="D354" s="189"/>
      <c r="E354" s="189"/>
      <c r="F354" s="189"/>
      <c r="G354" s="189"/>
      <c r="H354" s="189"/>
      <c r="I354" s="189"/>
      <c r="J354" s="189"/>
      <c r="K354" s="189"/>
      <c r="L354" s="189"/>
    </row>
  </sheetData>
  <mergeCells count="314">
    <mergeCell ref="AC219:AE219"/>
    <mergeCell ref="AG219:AH219"/>
    <mergeCell ref="AJ219:AK219"/>
    <mergeCell ref="AJ218:AK218"/>
    <mergeCell ref="AJ176:AK176"/>
    <mergeCell ref="AJ177:AK177"/>
    <mergeCell ref="AC135:AE136"/>
    <mergeCell ref="AJ188:AK188"/>
    <mergeCell ref="AC185:AE186"/>
    <mergeCell ref="AC187:AE188"/>
    <mergeCell ref="AC170:AE170"/>
    <mergeCell ref="AG170:AI170"/>
    <mergeCell ref="AJ170:AK170"/>
    <mergeCell ref="AC183:AE184"/>
    <mergeCell ref="AC139:AE140"/>
    <mergeCell ref="AJ140:AK140"/>
    <mergeCell ref="AJ28:AK28"/>
    <mergeCell ref="AC76:AE76"/>
    <mergeCell ref="AG76:AH76"/>
    <mergeCell ref="AJ76:AK76"/>
    <mergeCell ref="AC75:AE75"/>
    <mergeCell ref="AG75:AH75"/>
    <mergeCell ref="AJ75:AK75"/>
    <mergeCell ref="AC123:AE123"/>
    <mergeCell ref="AG123:AH123"/>
    <mergeCell ref="AC89:AE90"/>
    <mergeCell ref="AC91:AE92"/>
    <mergeCell ref="AJ123:AK123"/>
    <mergeCell ref="B3:G3"/>
    <mergeCell ref="AA218:AB218"/>
    <mergeCell ref="AC218:AE218"/>
    <mergeCell ref="AG218:AI218"/>
    <mergeCell ref="P62:Q62"/>
    <mergeCell ref="P63:Q63"/>
    <mergeCell ref="P64:Q64"/>
    <mergeCell ref="P78:Q78"/>
    <mergeCell ref="P79:Q79"/>
    <mergeCell ref="P80:Q80"/>
    <mergeCell ref="AC28:AE28"/>
    <mergeCell ref="P159:Q159"/>
    <mergeCell ref="P160:Q160"/>
    <mergeCell ref="P114:Q114"/>
    <mergeCell ref="P138:Q138"/>
    <mergeCell ref="P82:Q83"/>
    <mergeCell ref="P84:Q85"/>
    <mergeCell ref="P86:Q87"/>
    <mergeCell ref="P88:Q89"/>
    <mergeCell ref="P90:Q91"/>
    <mergeCell ref="P92:Q93"/>
    <mergeCell ref="R84:S85"/>
    <mergeCell ref="T84:U85"/>
    <mergeCell ref="R86:S87"/>
    <mergeCell ref="AC220:AE220"/>
    <mergeCell ref="AG220:AH220"/>
    <mergeCell ref="AJ220:AK220"/>
    <mergeCell ref="AA231:AB232"/>
    <mergeCell ref="AC231:AE232"/>
    <mergeCell ref="AA233:AB234"/>
    <mergeCell ref="AC233:AE234"/>
    <mergeCell ref="AJ224:AK224"/>
    <mergeCell ref="AJ225:AK225"/>
    <mergeCell ref="AJ226:AK226"/>
    <mergeCell ref="AA229:AB230"/>
    <mergeCell ref="D330:E330"/>
    <mergeCell ref="D301:E302"/>
    <mergeCell ref="F301:G302"/>
    <mergeCell ref="AA235:AB236"/>
    <mergeCell ref="AC235:AE236"/>
    <mergeCell ref="J295:K296"/>
    <mergeCell ref="J297:K298"/>
    <mergeCell ref="F297:G298"/>
    <mergeCell ref="H297:I298"/>
    <mergeCell ref="D329:E329"/>
    <mergeCell ref="D299:E300"/>
    <mergeCell ref="AJ236:AK236"/>
    <mergeCell ref="D328:E328"/>
    <mergeCell ref="G328:H328"/>
    <mergeCell ref="H301:I302"/>
    <mergeCell ref="D297:E298"/>
    <mergeCell ref="J299:K300"/>
    <mergeCell ref="J293:K294"/>
    <mergeCell ref="D295:E296"/>
    <mergeCell ref="F295:G296"/>
    <mergeCell ref="H295:I296"/>
    <mergeCell ref="D282:E282"/>
    <mergeCell ref="P279:Q279"/>
    <mergeCell ref="P237:Q237"/>
    <mergeCell ref="P239:Q239"/>
    <mergeCell ref="P255:Q255"/>
    <mergeCell ref="P256:Q256"/>
    <mergeCell ref="D258:E258"/>
    <mergeCell ref="D280:E280"/>
    <mergeCell ref="D281:E281"/>
    <mergeCell ref="C293:C294"/>
    <mergeCell ref="D293:E294"/>
    <mergeCell ref="F293:G294"/>
    <mergeCell ref="H293:I294"/>
    <mergeCell ref="F299:G300"/>
    <mergeCell ref="H299:I300"/>
    <mergeCell ref="C303:C304"/>
    <mergeCell ref="D303:E304"/>
    <mergeCell ref="F303:G304"/>
    <mergeCell ref="H303:I304"/>
    <mergeCell ref="AA187:AB188"/>
    <mergeCell ref="T86:U87"/>
    <mergeCell ref="O82:O83"/>
    <mergeCell ref="R82:S83"/>
    <mergeCell ref="T82:U83"/>
    <mergeCell ref="V82:W83"/>
    <mergeCell ref="R189:S190"/>
    <mergeCell ref="T189:U190"/>
    <mergeCell ref="P183:Q184"/>
    <mergeCell ref="R183:S184"/>
    <mergeCell ref="T183:U184"/>
    <mergeCell ref="P185:Q186"/>
    <mergeCell ref="R185:S186"/>
    <mergeCell ref="T185:U186"/>
    <mergeCell ref="P181:Q182"/>
    <mergeCell ref="R179:S180"/>
    <mergeCell ref="T179:U180"/>
    <mergeCell ref="P174:Q174"/>
    <mergeCell ref="P175:Q175"/>
    <mergeCell ref="P176:Q176"/>
    <mergeCell ref="P139:Q139"/>
    <mergeCell ref="P140:Q140"/>
    <mergeCell ref="R88:S89"/>
    <mergeCell ref="T88:U89"/>
    <mergeCell ref="P228:Q228"/>
    <mergeCell ref="P210:Q210"/>
    <mergeCell ref="P211:Q211"/>
    <mergeCell ref="P187:Q188"/>
    <mergeCell ref="R187:S188"/>
    <mergeCell ref="T187:U188"/>
    <mergeCell ref="T90:U91"/>
    <mergeCell ref="R181:S182"/>
    <mergeCell ref="T181:U182"/>
    <mergeCell ref="R90:S91"/>
    <mergeCell ref="P229:Q229"/>
    <mergeCell ref="P230:Q230"/>
    <mergeCell ref="P212:Q212"/>
    <mergeCell ref="P235:Q235"/>
    <mergeCell ref="P17:Q17"/>
    <mergeCell ref="P18:Q18"/>
    <mergeCell ref="P19:Q19"/>
    <mergeCell ref="P41:Q41"/>
    <mergeCell ref="C174:C175"/>
    <mergeCell ref="P115:Q115"/>
    <mergeCell ref="P116:Q116"/>
    <mergeCell ref="D137:E137"/>
    <mergeCell ref="D114:E114"/>
    <mergeCell ref="D116:E116"/>
    <mergeCell ref="D138:E138"/>
    <mergeCell ref="D136:E136"/>
    <mergeCell ref="P161:Q161"/>
    <mergeCell ref="D160:E160"/>
    <mergeCell ref="D91:E91"/>
    <mergeCell ref="D92:E92"/>
    <mergeCell ref="G61:H61"/>
    <mergeCell ref="D68:E68"/>
    <mergeCell ref="D70:E70"/>
    <mergeCell ref="D72:E72"/>
    <mergeCell ref="O84:O85"/>
    <mergeCell ref="C184:C185"/>
    <mergeCell ref="D210:E210"/>
    <mergeCell ref="D211:E211"/>
    <mergeCell ref="D184:E185"/>
    <mergeCell ref="D257:E257"/>
    <mergeCell ref="D256:E256"/>
    <mergeCell ref="B219:G219"/>
    <mergeCell ref="D235:E235"/>
    <mergeCell ref="D236:E236"/>
    <mergeCell ref="D234:E234"/>
    <mergeCell ref="D209:E209"/>
    <mergeCell ref="G209:H209"/>
    <mergeCell ref="J114:K114"/>
    <mergeCell ref="J115:K115"/>
    <mergeCell ref="J116:K116"/>
    <mergeCell ref="H176:I177"/>
    <mergeCell ref="J176:K177"/>
    <mergeCell ref="F176:G177"/>
    <mergeCell ref="D182:E183"/>
    <mergeCell ref="D176:E177"/>
    <mergeCell ref="P42:Q42"/>
    <mergeCell ref="P43:Q43"/>
    <mergeCell ref="AJ81:AK81"/>
    <mergeCell ref="AJ82:AK82"/>
    <mergeCell ref="AJ45:AK45"/>
    <mergeCell ref="AJ34:AK34"/>
    <mergeCell ref="AJ74:AK74"/>
    <mergeCell ref="AJ33:AK33"/>
    <mergeCell ref="AJ80:AK80"/>
    <mergeCell ref="AG80:AH80"/>
    <mergeCell ref="AG81:AH81"/>
    <mergeCell ref="AG74:AI74"/>
    <mergeCell ref="AA74:AB74"/>
    <mergeCell ref="AC74:AE74"/>
    <mergeCell ref="B4:G4"/>
    <mergeCell ref="D61:E61"/>
    <mergeCell ref="D62:E62"/>
    <mergeCell ref="D18:E18"/>
    <mergeCell ref="D19:E19"/>
    <mergeCell ref="D20:E20"/>
    <mergeCell ref="D45:E45"/>
    <mergeCell ref="D46:E46"/>
    <mergeCell ref="D47:E47"/>
    <mergeCell ref="D33:E33"/>
    <mergeCell ref="J18:K18"/>
    <mergeCell ref="J19:K19"/>
    <mergeCell ref="J20:K20"/>
    <mergeCell ref="B99:G99"/>
    <mergeCell ref="D63:E63"/>
    <mergeCell ref="D34:E34"/>
    <mergeCell ref="D35:E35"/>
    <mergeCell ref="J174:K175"/>
    <mergeCell ref="D174:E175"/>
    <mergeCell ref="F174:G175"/>
    <mergeCell ref="H174:I175"/>
    <mergeCell ref="D161:E161"/>
    <mergeCell ref="D162:E162"/>
    <mergeCell ref="D90:E90"/>
    <mergeCell ref="D115:E115"/>
    <mergeCell ref="AA91:AB92"/>
    <mergeCell ref="D180:E181"/>
    <mergeCell ref="H178:I179"/>
    <mergeCell ref="H182:I183"/>
    <mergeCell ref="D178:E179"/>
    <mergeCell ref="H180:I181"/>
    <mergeCell ref="F178:G179"/>
    <mergeCell ref="F184:G185"/>
    <mergeCell ref="H184:I185"/>
    <mergeCell ref="F182:G183"/>
    <mergeCell ref="F180:G181"/>
    <mergeCell ref="O92:O93"/>
    <mergeCell ref="R92:S93"/>
    <mergeCell ref="T92:U93"/>
    <mergeCell ref="V185:W186"/>
    <mergeCell ref="V179:W180"/>
    <mergeCell ref="AA183:AB184"/>
    <mergeCell ref="V181:W182"/>
    <mergeCell ref="AA139:AB140"/>
    <mergeCell ref="AA170:AB170"/>
    <mergeCell ref="AA185:AB186"/>
    <mergeCell ref="AC124:AE124"/>
    <mergeCell ref="AG26:AI26"/>
    <mergeCell ref="AC27:AE27"/>
    <mergeCell ref="AJ92:AK92"/>
    <mergeCell ref="AA122:AB122"/>
    <mergeCell ref="AC122:AE122"/>
    <mergeCell ref="AG122:AI122"/>
    <mergeCell ref="AJ122:AK122"/>
    <mergeCell ref="AA44:AB45"/>
    <mergeCell ref="AC44:AE45"/>
    <mergeCell ref="AC87:AE88"/>
    <mergeCell ref="AJ26:AK26"/>
    <mergeCell ref="AA38:AB39"/>
    <mergeCell ref="AA40:AB41"/>
    <mergeCell ref="AC40:AE41"/>
    <mergeCell ref="AA42:AB43"/>
    <mergeCell ref="AC42:AE43"/>
    <mergeCell ref="AJ32:AK32"/>
    <mergeCell ref="AA26:AB26"/>
    <mergeCell ref="AC26:AE26"/>
    <mergeCell ref="AJ27:AK27"/>
    <mergeCell ref="AG33:AH33"/>
    <mergeCell ref="AG32:AH32"/>
    <mergeCell ref="AA89:AB90"/>
    <mergeCell ref="V84:W85"/>
    <mergeCell ref="V86:W87"/>
    <mergeCell ref="V88:W89"/>
    <mergeCell ref="V90:W91"/>
    <mergeCell ref="V92:W93"/>
    <mergeCell ref="AJ178:AK178"/>
    <mergeCell ref="AA181:AB182"/>
    <mergeCell ref="AC171:AE171"/>
    <mergeCell ref="AC172:AE172"/>
    <mergeCell ref="AA85:AB86"/>
    <mergeCell ref="AG171:AH171"/>
    <mergeCell ref="AG172:AH172"/>
    <mergeCell ref="AJ171:AK171"/>
    <mergeCell ref="AJ172:AK172"/>
    <mergeCell ref="AA137:AB138"/>
    <mergeCell ref="AC137:AE138"/>
    <mergeCell ref="AJ128:AK128"/>
    <mergeCell ref="AJ129:AK129"/>
    <mergeCell ref="AJ130:AK130"/>
    <mergeCell ref="AA133:AB134"/>
    <mergeCell ref="AA87:AB88"/>
    <mergeCell ref="AA135:AB136"/>
    <mergeCell ref="AJ124:AK124"/>
    <mergeCell ref="AG124:AH124"/>
    <mergeCell ref="V187:W188"/>
    <mergeCell ref="V189:W190"/>
    <mergeCell ref="J301:K302"/>
    <mergeCell ref="J303:K304"/>
    <mergeCell ref="J178:K179"/>
    <mergeCell ref="J180:K181"/>
    <mergeCell ref="J182:K183"/>
    <mergeCell ref="J184:K185"/>
    <mergeCell ref="P280:Q280"/>
    <mergeCell ref="P281:Q281"/>
    <mergeCell ref="P189:Q190"/>
    <mergeCell ref="P179:Q180"/>
    <mergeCell ref="Q286:R286"/>
    <mergeCell ref="T286:U286"/>
    <mergeCell ref="P257:Q257"/>
    <mergeCell ref="Q262:R262"/>
    <mergeCell ref="T262:U262"/>
    <mergeCell ref="O189:O190"/>
    <mergeCell ref="O181:O182"/>
    <mergeCell ref="O179:O180"/>
    <mergeCell ref="J234:K234"/>
    <mergeCell ref="J235:K235"/>
    <mergeCell ref="J236:K236"/>
    <mergeCell ref="V183:W184"/>
  </mergeCells>
  <phoneticPr fontId="2" type="noConversion"/>
  <printOptions horizontalCentered="1"/>
  <pageMargins left="0.70866141732283472" right="0.70866141732283472" top="1.1811023622047245" bottom="0.78740157480314965" header="0.51181102362204722" footer="0.51181102362204722"/>
  <pageSetup paperSize="9" scale="98" orientation="portrait" horizontalDpi="300" verticalDpi="300" r:id="rId1"/>
  <headerFooter alignWithMargins="0"/>
  <ignoredErrors>
    <ignoredError sqref="N25 N122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27"/>
  <sheetViews>
    <sheetView view="pageBreakPreview" zoomScale="115" zoomScaleSheetLayoutView="115" workbookViewId="0">
      <selection activeCell="B2" sqref="B2"/>
    </sheetView>
  </sheetViews>
  <sheetFormatPr defaultRowHeight="14.25" customHeight="1"/>
  <cols>
    <col min="1" max="1" width="2.6640625" style="272" customWidth="1"/>
    <col min="2" max="2" width="2.44140625" style="272" customWidth="1"/>
    <col min="3" max="3" width="4.33203125" style="272" customWidth="1"/>
    <col min="4" max="4" width="8.77734375" style="272" customWidth="1"/>
    <col min="5" max="5" width="3.33203125" style="272" customWidth="1"/>
    <col min="6" max="6" width="4.33203125" style="272" customWidth="1"/>
    <col min="7" max="7" width="6.5546875" style="272" customWidth="1"/>
    <col min="8" max="9" width="5.21875" style="272" customWidth="1"/>
    <col min="10" max="10" width="7.109375" style="272" customWidth="1"/>
    <col min="11" max="11" width="4.21875" style="272" customWidth="1"/>
    <col min="12" max="12" width="7.33203125" style="272" customWidth="1"/>
    <col min="13" max="13" width="2.77734375" style="272" customWidth="1"/>
    <col min="14" max="14" width="3.5546875" style="272" customWidth="1"/>
    <col min="15" max="15" width="3.109375" style="272" customWidth="1"/>
    <col min="16" max="16" width="3.44140625" style="272" customWidth="1"/>
    <col min="17" max="17" width="2.88671875" style="272" customWidth="1"/>
    <col min="18" max="16384" width="8.88671875" style="272"/>
  </cols>
  <sheetData>
    <row r="1" spans="1:18" s="265" customFormat="1" ht="14.25" customHeight="1">
      <c r="A1" s="306"/>
      <c r="B1" s="262" t="s">
        <v>1146</v>
      </c>
      <c r="C1" s="262"/>
      <c r="D1" s="262"/>
      <c r="E1" s="262"/>
      <c r="F1" s="262"/>
      <c r="G1" s="262"/>
      <c r="H1" s="263" t="s">
        <v>1418</v>
      </c>
      <c r="I1" s="263">
        <v>2.5</v>
      </c>
      <c r="J1" s="262" t="s">
        <v>1193</v>
      </c>
      <c r="K1" s="262" t="s">
        <v>1274</v>
      </c>
      <c r="L1" s="262"/>
      <c r="M1" s="262"/>
      <c r="N1" s="262"/>
      <c r="O1" s="261"/>
      <c r="P1" s="261"/>
      <c r="Q1" s="264"/>
      <c r="R1" s="265" t="s">
        <v>3299</v>
      </c>
    </row>
    <row r="2" spans="1:18" ht="14.25" customHeight="1">
      <c r="A2" s="266"/>
      <c r="B2" s="126"/>
      <c r="C2" s="126"/>
      <c r="D2" s="126"/>
      <c r="E2" s="267"/>
      <c r="F2" s="267"/>
      <c r="G2" s="268"/>
      <c r="H2" s="267"/>
      <c r="I2" s="267"/>
      <c r="J2" s="267"/>
      <c r="K2" s="267"/>
      <c r="L2" s="269"/>
      <c r="M2" s="270"/>
      <c r="N2" s="270"/>
      <c r="O2" s="126"/>
      <c r="P2" s="126"/>
      <c r="Q2" s="271"/>
    </row>
    <row r="3" spans="1:18" ht="14.25" customHeight="1">
      <c r="A3" s="273"/>
      <c r="B3" s="110" t="s">
        <v>1592</v>
      </c>
      <c r="C3" s="33" t="s">
        <v>1593</v>
      </c>
      <c r="D3" s="274"/>
      <c r="E3" s="275"/>
      <c r="F3" s="275"/>
      <c r="G3" s="121"/>
      <c r="H3" s="275"/>
      <c r="I3" s="275"/>
      <c r="J3" s="275"/>
      <c r="K3" s="275"/>
      <c r="L3" s="33"/>
      <c r="M3" s="276"/>
      <c r="N3" s="276"/>
      <c r="O3" s="110"/>
      <c r="P3" s="110"/>
      <c r="Q3" s="277"/>
    </row>
    <row r="4" spans="1:18" ht="14.25" customHeight="1">
      <c r="A4" s="273"/>
      <c r="B4" s="118" t="s">
        <v>2267</v>
      </c>
      <c r="C4" s="110" t="s">
        <v>1275</v>
      </c>
      <c r="D4" s="110"/>
      <c r="E4" s="110"/>
      <c r="F4" s="110"/>
      <c r="G4" s="275" t="s">
        <v>1594</v>
      </c>
      <c r="H4" s="275">
        <v>1</v>
      </c>
      <c r="I4" s="275" t="s">
        <v>1595</v>
      </c>
      <c r="J4" s="274" t="s">
        <v>1596</v>
      </c>
      <c r="K4" s="110">
        <v>10</v>
      </c>
      <c r="L4" s="110" t="s">
        <v>1595</v>
      </c>
      <c r="M4" s="33" t="s">
        <v>1597</v>
      </c>
      <c r="N4" s="118"/>
      <c r="O4" s="110">
        <v>10</v>
      </c>
      <c r="P4" s="275" t="s">
        <v>1595</v>
      </c>
      <c r="Q4" s="277"/>
    </row>
    <row r="5" spans="1:18" ht="14.25" customHeight="1">
      <c r="A5" s="273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277"/>
    </row>
    <row r="6" spans="1:18" ht="14.25" customHeight="1">
      <c r="A6" s="273"/>
      <c r="B6" s="118" t="s">
        <v>1598</v>
      </c>
      <c r="C6" s="110" t="str">
        <f>"상차비 - "&amp; G6&amp;" 인 1조 작업 :"</f>
        <v>상차비 - 5 인 1조 작업 :</v>
      </c>
      <c r="D6" s="110"/>
      <c r="E6" s="110"/>
      <c r="F6" s="110"/>
      <c r="G6" s="275">
        <v>5</v>
      </c>
      <c r="H6" s="278" t="s">
        <v>1163</v>
      </c>
      <c r="I6" s="275" t="s">
        <v>1162</v>
      </c>
      <c r="J6" s="274"/>
      <c r="K6" s="110"/>
      <c r="L6" s="110"/>
      <c r="M6" s="33"/>
      <c r="N6" s="118"/>
      <c r="O6" s="110"/>
      <c r="P6" s="275"/>
      <c r="Q6" s="277"/>
    </row>
    <row r="7" spans="1:18" ht="14.25" customHeight="1">
      <c r="A7" s="273"/>
      <c r="B7" s="110"/>
      <c r="C7" s="274"/>
      <c r="D7" s="33" t="s">
        <v>1599</v>
      </c>
      <c r="E7" s="275"/>
      <c r="F7" s="275"/>
      <c r="G7" s="121">
        <v>10</v>
      </c>
      <c r="H7" s="278" t="s">
        <v>1600</v>
      </c>
      <c r="I7" s="275"/>
      <c r="J7" s="275"/>
      <c r="K7" s="275"/>
      <c r="L7" s="33"/>
      <c r="M7" s="276"/>
      <c r="N7" s="276"/>
      <c r="O7" s="110"/>
      <c r="P7" s="110"/>
      <c r="Q7" s="277"/>
    </row>
    <row r="8" spans="1:18" ht="14.25" customHeight="1">
      <c r="A8" s="273"/>
      <c r="B8" s="110"/>
      <c r="C8" s="274" t="s">
        <v>1601</v>
      </c>
      <c r="D8" s="279" t="str">
        <f>G7&amp;"/450×"</f>
        <v>10/450×</v>
      </c>
      <c r="E8" s="275">
        <f>G6</f>
        <v>5</v>
      </c>
      <c r="F8" s="275" t="s">
        <v>972</v>
      </c>
      <c r="G8" s="121">
        <f>SUMIF('노임(2015)'!$B$4:$B$87,I6,'노임(2015)'!$C$4:$C$87)+SUMIF('노임(2015)'!$E$4:$E$87,I6,'노임(2015)'!$F$4:$F$87)</f>
        <v>89566</v>
      </c>
      <c r="H8" s="275" t="s">
        <v>1582</v>
      </c>
      <c r="I8" s="836">
        <f>TRUNC(G7/450*G6*G8)</f>
        <v>9951</v>
      </c>
      <c r="J8" s="836"/>
      <c r="K8" s="276" t="s">
        <v>1602</v>
      </c>
      <c r="L8" s="33"/>
      <c r="M8" s="276"/>
      <c r="N8" s="276"/>
      <c r="O8" s="110"/>
      <c r="P8" s="110"/>
      <c r="Q8" s="277"/>
    </row>
    <row r="9" spans="1:18" ht="14.25" customHeight="1">
      <c r="A9" s="273"/>
      <c r="B9" s="110"/>
      <c r="C9" s="274"/>
      <c r="D9" s="279"/>
      <c r="E9" s="275"/>
      <c r="F9" s="275"/>
      <c r="G9" s="121"/>
      <c r="H9" s="275"/>
      <c r="I9" s="121"/>
      <c r="J9" s="121"/>
      <c r="K9" s="276"/>
      <c r="L9" s="33"/>
      <c r="M9" s="276"/>
      <c r="N9" s="276"/>
      <c r="O9" s="110"/>
      <c r="P9" s="110"/>
      <c r="Q9" s="277"/>
    </row>
    <row r="10" spans="1:18" ht="14.25" customHeight="1">
      <c r="A10" s="130"/>
      <c r="B10" s="110" t="s">
        <v>1592</v>
      </c>
      <c r="C10" s="110" t="s">
        <v>1198</v>
      </c>
      <c r="D10" s="110"/>
      <c r="E10" s="110"/>
      <c r="F10" s="110"/>
      <c r="G10" s="110"/>
      <c r="H10" s="110" t="s">
        <v>1603</v>
      </c>
      <c r="I10" s="110"/>
      <c r="J10" s="118">
        <v>1.6</v>
      </c>
      <c r="K10" s="110" t="s">
        <v>1805</v>
      </c>
      <c r="L10" s="110"/>
      <c r="M10" s="110"/>
      <c r="N10" s="110"/>
      <c r="O10" s="110"/>
      <c r="P10" s="110"/>
      <c r="Q10" s="277"/>
    </row>
    <row r="11" spans="1:18" ht="14.25" customHeight="1">
      <c r="A11" s="13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277"/>
    </row>
    <row r="12" spans="1:18" ht="14.25" customHeight="1">
      <c r="A12" s="130"/>
      <c r="B12" s="118"/>
      <c r="C12" s="851" t="s">
        <v>1806</v>
      </c>
      <c r="D12" s="791" t="s">
        <v>1807</v>
      </c>
      <c r="E12" s="791"/>
      <c r="F12" s="791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277"/>
    </row>
    <row r="13" spans="1:18" ht="14.25" customHeight="1">
      <c r="A13" s="130"/>
      <c r="B13" s="118"/>
      <c r="C13" s="851"/>
      <c r="D13" s="843" t="s">
        <v>1583</v>
      </c>
      <c r="E13" s="843"/>
      <c r="F13" s="843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277"/>
    </row>
    <row r="14" spans="1:18" ht="14.25" customHeight="1">
      <c r="A14" s="130"/>
      <c r="B14" s="110"/>
      <c r="C14" s="109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277"/>
    </row>
    <row r="15" spans="1:18" ht="14.25" customHeight="1">
      <c r="A15" s="130"/>
      <c r="B15" s="280"/>
      <c r="C15" s="109" t="s">
        <v>1808</v>
      </c>
      <c r="D15" s="110" t="s">
        <v>1809</v>
      </c>
      <c r="E15" s="110"/>
      <c r="F15" s="110"/>
      <c r="G15" s="118"/>
      <c r="H15" s="280"/>
      <c r="I15" s="118"/>
      <c r="J15" s="110"/>
      <c r="K15" s="110"/>
      <c r="L15" s="110"/>
      <c r="M15" s="110"/>
      <c r="N15" s="110"/>
      <c r="O15" s="110"/>
      <c r="P15" s="110"/>
      <c r="Q15" s="277"/>
    </row>
    <row r="16" spans="1:18" ht="14.25" customHeight="1">
      <c r="A16" s="130"/>
      <c r="B16" s="280"/>
      <c r="C16" s="109" t="s">
        <v>298</v>
      </c>
      <c r="D16" s="110" t="s">
        <v>299</v>
      </c>
      <c r="E16" s="118" t="s">
        <v>1526</v>
      </c>
      <c r="F16" s="281">
        <f>I1</f>
        <v>2.5</v>
      </c>
      <c r="G16" s="118" t="s">
        <v>300</v>
      </c>
      <c r="H16" s="118">
        <f>J10</f>
        <v>1.6</v>
      </c>
      <c r="I16" s="118" t="s">
        <v>972</v>
      </c>
      <c r="J16" s="118">
        <v>1.25</v>
      </c>
      <c r="K16" s="118" t="s">
        <v>1582</v>
      </c>
      <c r="L16" s="282">
        <f>TRUNC(F16/H16*J16,2)</f>
        <v>1.95</v>
      </c>
      <c r="M16" s="118" t="s">
        <v>301</v>
      </c>
      <c r="N16" s="110"/>
      <c r="O16" s="110"/>
      <c r="P16" s="110"/>
      <c r="Q16" s="277"/>
    </row>
    <row r="17" spans="1:17" ht="14.25" customHeight="1">
      <c r="A17" s="130"/>
      <c r="B17" s="280"/>
      <c r="C17" s="109" t="s">
        <v>302</v>
      </c>
      <c r="D17" s="110" t="s">
        <v>1156</v>
      </c>
      <c r="E17" s="110"/>
      <c r="F17" s="118" t="s">
        <v>1526</v>
      </c>
      <c r="G17" s="283">
        <f>TRUNC(1/J17,2)</f>
        <v>0.8</v>
      </c>
      <c r="H17" s="280" t="s">
        <v>303</v>
      </c>
      <c r="I17" s="118" t="s">
        <v>300</v>
      </c>
      <c r="J17" s="118">
        <f>J16</f>
        <v>1.25</v>
      </c>
      <c r="K17" s="284" t="s">
        <v>304</v>
      </c>
      <c r="L17" s="110"/>
      <c r="M17" s="110"/>
      <c r="N17" s="110"/>
      <c r="O17" s="110"/>
      <c r="P17" s="110"/>
      <c r="Q17" s="277"/>
    </row>
    <row r="18" spans="1:17" ht="14.25" customHeight="1">
      <c r="A18" s="130"/>
      <c r="B18" s="280"/>
      <c r="C18" s="109" t="s">
        <v>1703</v>
      </c>
      <c r="D18" s="110" t="s">
        <v>1207</v>
      </c>
      <c r="E18" s="110"/>
      <c r="F18" s="118" t="s">
        <v>1526</v>
      </c>
      <c r="G18" s="118">
        <v>0.9</v>
      </c>
      <c r="H18" s="280"/>
      <c r="I18" s="110"/>
      <c r="J18" s="110"/>
      <c r="K18" s="110"/>
      <c r="L18" s="110"/>
      <c r="M18" s="110"/>
      <c r="N18" s="110"/>
      <c r="O18" s="110"/>
      <c r="P18" s="110"/>
      <c r="Q18" s="277"/>
    </row>
    <row r="19" spans="1:17" ht="14.25" customHeight="1">
      <c r="A19" s="130"/>
      <c r="B19" s="280"/>
      <c r="C19" s="109" t="s">
        <v>1704</v>
      </c>
      <c r="D19" s="110" t="s">
        <v>1705</v>
      </c>
      <c r="E19" s="110"/>
      <c r="F19" s="118"/>
      <c r="G19" s="275">
        <f>E30</f>
        <v>33.22</v>
      </c>
      <c r="H19" s="118" t="s">
        <v>1600</v>
      </c>
      <c r="I19" s="110"/>
      <c r="J19" s="110"/>
      <c r="K19" s="110"/>
      <c r="L19" s="110"/>
      <c r="M19" s="110"/>
      <c r="N19" s="110"/>
      <c r="O19" s="110"/>
      <c r="P19" s="110"/>
      <c r="Q19" s="277"/>
    </row>
    <row r="20" spans="1:17" ht="14.25" customHeight="1">
      <c r="A20" s="130"/>
      <c r="B20" s="280"/>
      <c r="C20" s="109" t="s">
        <v>1704</v>
      </c>
      <c r="D20" s="110" t="s">
        <v>3101</v>
      </c>
      <c r="E20" s="110"/>
      <c r="F20" s="110"/>
      <c r="G20" s="110"/>
      <c r="H20" s="280"/>
      <c r="I20" s="110"/>
      <c r="J20" s="110"/>
      <c r="K20" s="110"/>
      <c r="L20" s="110"/>
      <c r="M20" s="110"/>
      <c r="N20" s="110"/>
      <c r="O20" s="110"/>
      <c r="P20" s="110"/>
      <c r="Q20" s="277"/>
    </row>
    <row r="21" spans="1:17" ht="14.25" customHeight="1">
      <c r="A21" s="130"/>
      <c r="B21" s="110"/>
      <c r="C21" s="110" t="s">
        <v>1706</v>
      </c>
      <c r="D21" s="110" t="s">
        <v>1707</v>
      </c>
      <c r="E21" s="838">
        <f>J22</f>
        <v>19.5</v>
      </c>
      <c r="F21" s="838"/>
      <c r="G21" s="110" t="s">
        <v>1708</v>
      </c>
      <c r="H21" s="285"/>
      <c r="I21" s="118"/>
      <c r="J21" s="118"/>
      <c r="K21" s="110"/>
      <c r="L21" s="118"/>
      <c r="M21" s="286"/>
      <c r="N21" s="286"/>
      <c r="O21" s="118"/>
      <c r="P21" s="110"/>
      <c r="Q21" s="277"/>
    </row>
    <row r="22" spans="1:17" ht="14.25" customHeight="1">
      <c r="A22" s="130"/>
      <c r="B22" s="110"/>
      <c r="C22" s="110" t="s">
        <v>1601</v>
      </c>
      <c r="D22" s="110" t="s">
        <v>1709</v>
      </c>
      <c r="E22" s="842">
        <f>G7</f>
        <v>10</v>
      </c>
      <c r="F22" s="842"/>
      <c r="G22" s="118" t="s">
        <v>972</v>
      </c>
      <c r="H22" s="285">
        <f>L16</f>
        <v>1.95</v>
      </c>
      <c r="I22" s="118" t="s">
        <v>380</v>
      </c>
      <c r="J22" s="118">
        <f>E22*H22</f>
        <v>19.5</v>
      </c>
      <c r="K22" s="118" t="s">
        <v>1600</v>
      </c>
      <c r="L22" s="282"/>
      <c r="M22" s="288"/>
      <c r="N22" s="286"/>
      <c r="O22" s="118"/>
      <c r="P22" s="110"/>
      <c r="Q22" s="277"/>
    </row>
    <row r="23" spans="1:17" ht="14.25" customHeight="1">
      <c r="A23" s="130"/>
      <c r="B23" s="110"/>
      <c r="C23" s="110"/>
      <c r="D23" s="110"/>
      <c r="E23" s="838"/>
      <c r="F23" s="838"/>
      <c r="G23" s="110"/>
      <c r="H23" s="287"/>
      <c r="I23" s="118"/>
      <c r="J23" s="118"/>
      <c r="K23" s="118"/>
      <c r="L23" s="118"/>
      <c r="M23" s="286"/>
      <c r="N23" s="286"/>
      <c r="O23" s="118"/>
      <c r="P23" s="110"/>
      <c r="Q23" s="277"/>
    </row>
    <row r="24" spans="1:17" ht="14.25" customHeight="1">
      <c r="A24" s="130"/>
      <c r="B24" s="110"/>
      <c r="C24" s="110" t="s">
        <v>2110</v>
      </c>
      <c r="D24" s="110" t="s">
        <v>381</v>
      </c>
      <c r="E24" s="840">
        <f>J26</f>
        <v>12</v>
      </c>
      <c r="F24" s="791"/>
      <c r="G24" s="110" t="s">
        <v>382</v>
      </c>
      <c r="H24" s="118"/>
      <c r="I24" s="110"/>
      <c r="J24" s="110"/>
      <c r="K24" s="110"/>
      <c r="L24" s="118"/>
      <c r="M24" s="118"/>
      <c r="N24" s="118"/>
      <c r="O24" s="110"/>
      <c r="P24" s="110"/>
      <c r="Q24" s="277"/>
    </row>
    <row r="25" spans="1:17" ht="14.25" customHeight="1">
      <c r="A25" s="130"/>
      <c r="B25" s="110"/>
      <c r="C25" s="280" t="s">
        <v>2111</v>
      </c>
      <c r="D25" s="118">
        <f>H4</f>
        <v>1</v>
      </c>
      <c r="E25" s="118" t="s">
        <v>300</v>
      </c>
      <c r="F25" s="118">
        <f>K4</f>
        <v>10</v>
      </c>
      <c r="G25" s="110" t="s">
        <v>383</v>
      </c>
      <c r="H25" s="118">
        <f>H4</f>
        <v>1</v>
      </c>
      <c r="I25" s="118" t="s">
        <v>300</v>
      </c>
      <c r="J25" s="118">
        <f>O4</f>
        <v>10</v>
      </c>
      <c r="K25" s="118" t="s">
        <v>304</v>
      </c>
      <c r="L25" s="118"/>
      <c r="M25" s="118"/>
      <c r="N25" s="118"/>
      <c r="O25" s="110"/>
      <c r="P25" s="110"/>
      <c r="Q25" s="277"/>
    </row>
    <row r="26" spans="1:17" ht="14.25" customHeight="1">
      <c r="A26" s="130"/>
      <c r="B26" s="110"/>
      <c r="C26" s="110"/>
      <c r="D26" s="280" t="s">
        <v>1582</v>
      </c>
      <c r="E26" s="791">
        <f>(D25/F25)+(H25/J25)</f>
        <v>0.2</v>
      </c>
      <c r="F26" s="791"/>
      <c r="G26" s="110" t="s">
        <v>384</v>
      </c>
      <c r="H26" s="118">
        <v>60</v>
      </c>
      <c r="I26" s="118" t="s">
        <v>1582</v>
      </c>
      <c r="J26" s="283">
        <f>TRUNC(E26*H26,2)</f>
        <v>12</v>
      </c>
      <c r="K26" s="286" t="s">
        <v>1600</v>
      </c>
      <c r="L26" s="110"/>
      <c r="M26" s="110"/>
      <c r="N26" s="118"/>
      <c r="O26" s="110"/>
      <c r="P26" s="110"/>
      <c r="Q26" s="277"/>
    </row>
    <row r="27" spans="1:17" ht="14.25" customHeight="1">
      <c r="A27" s="130"/>
      <c r="B27" s="110"/>
      <c r="C27" s="110" t="s">
        <v>2113</v>
      </c>
      <c r="D27" s="110" t="s">
        <v>385</v>
      </c>
      <c r="E27" s="840">
        <v>0.8</v>
      </c>
      <c r="F27" s="840"/>
      <c r="G27" s="110" t="s">
        <v>386</v>
      </c>
      <c r="H27" s="118"/>
      <c r="I27" s="110"/>
      <c r="J27" s="118"/>
      <c r="K27" s="110"/>
      <c r="L27" s="110"/>
      <c r="M27" s="110"/>
      <c r="N27" s="110"/>
      <c r="O27" s="110"/>
      <c r="P27" s="110"/>
      <c r="Q27" s="277"/>
    </row>
    <row r="28" spans="1:17" ht="14.25" customHeight="1">
      <c r="A28" s="130"/>
      <c r="B28" s="110"/>
      <c r="C28" s="110" t="s">
        <v>2114</v>
      </c>
      <c r="D28" s="110" t="s">
        <v>387</v>
      </c>
      <c r="E28" s="840">
        <v>0.42</v>
      </c>
      <c r="F28" s="840"/>
      <c r="G28" s="110" t="s">
        <v>388</v>
      </c>
      <c r="H28" s="118"/>
      <c r="I28" s="110"/>
      <c r="J28" s="110"/>
      <c r="K28" s="110"/>
      <c r="L28" s="110"/>
      <c r="M28" s="118"/>
      <c r="N28" s="118"/>
      <c r="O28" s="110"/>
      <c r="P28" s="110"/>
      <c r="Q28" s="277"/>
    </row>
    <row r="29" spans="1:17" ht="14.25" customHeight="1">
      <c r="A29" s="130"/>
      <c r="B29" s="110"/>
      <c r="C29" s="110" t="s">
        <v>3102</v>
      </c>
      <c r="D29" s="110" t="s">
        <v>389</v>
      </c>
      <c r="E29" s="840">
        <v>0.5</v>
      </c>
      <c r="F29" s="840"/>
      <c r="G29" s="110" t="s">
        <v>390</v>
      </c>
      <c r="H29" s="110"/>
      <c r="I29" s="110"/>
      <c r="J29" s="110"/>
      <c r="K29" s="110"/>
      <c r="L29" s="110"/>
      <c r="M29" s="110"/>
      <c r="N29" s="110"/>
      <c r="O29" s="110"/>
      <c r="P29" s="110"/>
      <c r="Q29" s="277"/>
    </row>
    <row r="30" spans="1:17" ht="14.25" customHeight="1">
      <c r="A30" s="130"/>
      <c r="B30" s="110"/>
      <c r="C30" s="118"/>
      <c r="D30" s="118" t="s">
        <v>1454</v>
      </c>
      <c r="E30" s="840">
        <f>TRUNC(E21+E24+E27+E28+E29,2)</f>
        <v>33.22</v>
      </c>
      <c r="F30" s="840"/>
      <c r="G30" s="110" t="s">
        <v>1600</v>
      </c>
      <c r="H30" s="110"/>
      <c r="I30" s="110"/>
      <c r="J30" s="110"/>
      <c r="K30" s="110"/>
      <c r="L30" s="110"/>
      <c r="M30" s="110"/>
      <c r="N30" s="110"/>
      <c r="O30" s="110"/>
      <c r="P30" s="110"/>
      <c r="Q30" s="277"/>
    </row>
    <row r="31" spans="1:17" ht="14.25" customHeight="1">
      <c r="A31" s="130"/>
      <c r="B31" s="110"/>
      <c r="C31" s="118"/>
      <c r="D31" s="118"/>
      <c r="E31" s="286"/>
      <c r="F31" s="286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277"/>
    </row>
    <row r="32" spans="1:17" ht="14.25" customHeight="1">
      <c r="A32" s="130"/>
      <c r="B32" s="118"/>
      <c r="C32" s="118"/>
      <c r="D32" s="110"/>
      <c r="E32" s="118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277"/>
    </row>
    <row r="33" spans="1:18" ht="14.25" customHeight="1">
      <c r="A33" s="130" t="s">
        <v>391</v>
      </c>
      <c r="B33" s="110" t="s">
        <v>392</v>
      </c>
      <c r="C33" s="118"/>
      <c r="D33" s="110"/>
      <c r="E33" s="118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277"/>
    </row>
    <row r="34" spans="1:18" ht="14.25" customHeight="1">
      <c r="A34" s="130"/>
      <c r="B34" s="118"/>
      <c r="C34" s="118"/>
      <c r="D34" s="110"/>
      <c r="E34" s="118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277"/>
    </row>
    <row r="35" spans="1:18" ht="14.25" customHeight="1">
      <c r="A35" s="130"/>
      <c r="B35" s="28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277"/>
    </row>
    <row r="36" spans="1:18" ht="14.25" customHeight="1">
      <c r="A36" s="841"/>
      <c r="B36" s="791" t="s">
        <v>1111</v>
      </c>
      <c r="C36" s="791" t="s">
        <v>1582</v>
      </c>
      <c r="D36" s="280" t="s">
        <v>393</v>
      </c>
      <c r="E36" s="286">
        <f>G17</f>
        <v>0.8</v>
      </c>
      <c r="F36" s="118" t="s">
        <v>972</v>
      </c>
      <c r="G36" s="282">
        <f>L16</f>
        <v>1.95</v>
      </c>
      <c r="H36" s="118" t="s">
        <v>972</v>
      </c>
      <c r="I36" s="118">
        <f>G18</f>
        <v>0.9</v>
      </c>
      <c r="J36" s="791" t="s">
        <v>1582</v>
      </c>
      <c r="K36" s="837">
        <f>TRUNC(E36*G36*I36*60,3)</f>
        <v>84.24</v>
      </c>
      <c r="L36" s="837"/>
      <c r="M36" s="791" t="s">
        <v>1582</v>
      </c>
      <c r="N36" s="838">
        <f>TRUNC(K36/K37,2)</f>
        <v>2.5299999999999998</v>
      </c>
      <c r="O36" s="838"/>
      <c r="P36" s="110" t="s">
        <v>301</v>
      </c>
      <c r="Q36" s="277"/>
    </row>
    <row r="37" spans="1:18" ht="14.25" customHeight="1">
      <c r="A37" s="841"/>
      <c r="B37" s="791"/>
      <c r="C37" s="791"/>
      <c r="D37" s="839">
        <f>G19</f>
        <v>33.22</v>
      </c>
      <c r="E37" s="839"/>
      <c r="F37" s="839"/>
      <c r="G37" s="839"/>
      <c r="H37" s="839"/>
      <c r="I37" s="839"/>
      <c r="J37" s="791"/>
      <c r="K37" s="839">
        <f>D37</f>
        <v>33.22</v>
      </c>
      <c r="L37" s="839"/>
      <c r="M37" s="791"/>
      <c r="N37" s="838"/>
      <c r="O37" s="838"/>
      <c r="P37" s="110"/>
      <c r="Q37" s="277" t="s">
        <v>394</v>
      </c>
    </row>
    <row r="38" spans="1:18" ht="14.25" customHeight="1">
      <c r="A38" s="13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277"/>
    </row>
    <row r="39" spans="1:18" ht="14.25" customHeight="1">
      <c r="A39" s="13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277"/>
    </row>
    <row r="40" spans="1:18" ht="14.25" customHeight="1">
      <c r="A40" s="130"/>
      <c r="B40" s="110"/>
      <c r="C40" s="110"/>
      <c r="D40" s="110" t="s">
        <v>395</v>
      </c>
      <c r="E40" s="110"/>
      <c r="F40" s="835">
        <f>중기사용료!$M$473</f>
        <v>4461</v>
      </c>
      <c r="G40" s="835"/>
      <c r="H40" s="286" t="s">
        <v>975</v>
      </c>
      <c r="I40" s="118" t="s">
        <v>300</v>
      </c>
      <c r="J40" s="282">
        <f>N36</f>
        <v>2.5299999999999998</v>
      </c>
      <c r="K40" s="282" t="s">
        <v>972</v>
      </c>
      <c r="L40" s="289" t="str">
        <f>(E24+E27+E28+E29)&amp;"/"&amp;G19</f>
        <v>13.72/33.22</v>
      </c>
      <c r="M40" s="118" t="s">
        <v>1582</v>
      </c>
      <c r="N40" s="836">
        <f>TRUNC(F40/J40*(E24+E27+E28+E29)/G19)</f>
        <v>728</v>
      </c>
      <c r="O40" s="836"/>
      <c r="P40" s="836"/>
      <c r="Q40" s="277" t="s">
        <v>975</v>
      </c>
    </row>
    <row r="41" spans="1:18" ht="14.25" customHeight="1">
      <c r="A41" s="130"/>
      <c r="B41" s="110"/>
      <c r="C41" s="118"/>
      <c r="D41" s="110"/>
      <c r="E41" s="290"/>
      <c r="F41" s="291"/>
      <c r="G41" s="291"/>
      <c r="H41" s="118"/>
      <c r="I41" s="110"/>
      <c r="J41" s="118"/>
      <c r="K41" s="285"/>
      <c r="L41" s="121"/>
      <c r="M41" s="118"/>
      <c r="N41" s="160"/>
      <c r="O41" s="110"/>
      <c r="P41" s="110"/>
      <c r="Q41" s="277"/>
    </row>
    <row r="42" spans="1:18" ht="14.25" customHeight="1">
      <c r="A42" s="130"/>
      <c r="B42" s="110"/>
      <c r="C42" s="110"/>
      <c r="D42" s="110" t="s">
        <v>396</v>
      </c>
      <c r="E42" s="110"/>
      <c r="F42" s="835">
        <f>중기사용료!$M$467</f>
        <v>24483</v>
      </c>
      <c r="G42" s="835"/>
      <c r="H42" s="286" t="s">
        <v>975</v>
      </c>
      <c r="I42" s="118" t="s">
        <v>300</v>
      </c>
      <c r="J42" s="282">
        <f>N36</f>
        <v>2.5299999999999998</v>
      </c>
      <c r="K42" s="282" t="s">
        <v>397</v>
      </c>
      <c r="L42" s="33">
        <f>I8</f>
        <v>9951</v>
      </c>
      <c r="M42" s="118" t="s">
        <v>1582</v>
      </c>
      <c r="N42" s="836">
        <f>TRUNC(F42/J42+L42)</f>
        <v>19628</v>
      </c>
      <c r="O42" s="836"/>
      <c r="P42" s="836"/>
      <c r="Q42" s="277" t="s">
        <v>975</v>
      </c>
    </row>
    <row r="43" spans="1:18" ht="14.25" customHeight="1">
      <c r="A43" s="130"/>
      <c r="B43" s="110"/>
      <c r="C43" s="118"/>
      <c r="D43" s="110" t="s">
        <v>1277</v>
      </c>
      <c r="E43" s="290"/>
      <c r="F43" s="291"/>
      <c r="G43" s="291"/>
      <c r="H43" s="118"/>
      <c r="I43" s="110"/>
      <c r="J43" s="118"/>
      <c r="K43" s="285"/>
      <c r="L43" s="121"/>
      <c r="M43" s="118"/>
      <c r="N43" s="160"/>
      <c r="O43" s="110"/>
      <c r="P43" s="110"/>
      <c r="Q43" s="277"/>
    </row>
    <row r="44" spans="1:18" ht="14.25" customHeight="1">
      <c r="A44" s="130"/>
      <c r="B44" s="110"/>
      <c r="C44" s="110"/>
      <c r="D44" s="110" t="s">
        <v>398</v>
      </c>
      <c r="E44" s="110"/>
      <c r="F44" s="835">
        <f>중기사용료!$M$461</f>
        <v>5567</v>
      </c>
      <c r="G44" s="835"/>
      <c r="H44" s="118" t="s">
        <v>975</v>
      </c>
      <c r="I44" s="118" t="s">
        <v>300</v>
      </c>
      <c r="J44" s="282">
        <f>N36</f>
        <v>2.5299999999999998</v>
      </c>
      <c r="K44" s="282" t="s">
        <v>1582</v>
      </c>
      <c r="L44" s="121">
        <f>TRUNC(F44/J44)</f>
        <v>2200</v>
      </c>
      <c r="M44" s="121" t="s">
        <v>975</v>
      </c>
      <c r="N44" s="160"/>
      <c r="O44" s="110"/>
      <c r="P44" s="110"/>
      <c r="Q44" s="277"/>
      <c r="R44" s="272" t="s">
        <v>1436</v>
      </c>
    </row>
    <row r="45" spans="1:18" ht="14.25" customHeight="1">
      <c r="A45" s="130"/>
      <c r="B45" s="110"/>
      <c r="C45" s="118"/>
      <c r="D45" s="110"/>
      <c r="E45" s="110"/>
      <c r="F45" s="110"/>
      <c r="G45" s="110"/>
      <c r="H45" s="110"/>
      <c r="I45" s="110"/>
      <c r="J45" s="110"/>
      <c r="K45" s="110"/>
      <c r="L45" s="110"/>
      <c r="M45" s="118"/>
      <c r="N45" s="291"/>
      <c r="O45" s="110"/>
      <c r="P45" s="110"/>
      <c r="Q45" s="277"/>
    </row>
    <row r="46" spans="1:18" ht="14.25" customHeight="1">
      <c r="A46" s="130"/>
      <c r="B46" s="110"/>
      <c r="C46" s="110"/>
      <c r="D46" s="110"/>
      <c r="E46" s="110"/>
      <c r="F46" s="121"/>
      <c r="G46" s="121"/>
      <c r="H46" s="121"/>
      <c r="I46" s="118"/>
      <c r="J46" s="110"/>
      <c r="K46" s="118" t="s">
        <v>1454</v>
      </c>
      <c r="L46" s="292">
        <f>SUM(N40,N42,L44)</f>
        <v>22556</v>
      </c>
      <c r="M46" s="110" t="s">
        <v>975</v>
      </c>
      <c r="N46" s="160"/>
      <c r="O46" s="160"/>
      <c r="P46" s="110"/>
      <c r="Q46" s="277"/>
    </row>
    <row r="47" spans="1:18" ht="14.25" customHeight="1">
      <c r="A47" s="13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277"/>
    </row>
    <row r="48" spans="1:18" ht="14.25" customHeight="1">
      <c r="A48" s="135"/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293"/>
    </row>
    <row r="49" spans="1:18" ht="14.25" customHeight="1">
      <c r="A49" s="294"/>
      <c r="C49" s="295"/>
      <c r="D49" s="295"/>
      <c r="E49" s="296"/>
      <c r="F49" s="296"/>
      <c r="G49" s="297"/>
      <c r="H49" s="296"/>
      <c r="I49" s="296"/>
      <c r="J49" s="296"/>
      <c r="K49" s="296"/>
      <c r="L49" s="298"/>
      <c r="M49" s="294"/>
      <c r="N49" s="294"/>
    </row>
    <row r="50" spans="1:18" s="265" customFormat="1" ht="14.25" customHeight="1">
      <c r="A50" s="306"/>
      <c r="B50" s="262" t="s">
        <v>3302</v>
      </c>
      <c r="C50" s="262"/>
      <c r="D50" s="262"/>
      <c r="E50" s="262"/>
      <c r="F50" s="262"/>
      <c r="G50" s="262"/>
      <c r="H50" s="263" t="s">
        <v>3303</v>
      </c>
      <c r="I50" s="263">
        <v>4.5</v>
      </c>
      <c r="J50" s="262" t="s">
        <v>3304</v>
      </c>
      <c r="K50" s="262" t="s">
        <v>3305</v>
      </c>
      <c r="L50" s="262"/>
      <c r="M50" s="262"/>
      <c r="N50" s="262"/>
      <c r="O50" s="261"/>
      <c r="P50" s="261"/>
      <c r="Q50" s="264"/>
      <c r="R50" s="265" t="s">
        <v>3306</v>
      </c>
    </row>
    <row r="51" spans="1:18" ht="14.25" customHeight="1">
      <c r="A51" s="266"/>
      <c r="B51" s="126"/>
      <c r="C51" s="126"/>
      <c r="D51" s="126"/>
      <c r="E51" s="267"/>
      <c r="F51" s="267"/>
      <c r="G51" s="268"/>
      <c r="H51" s="267"/>
      <c r="I51" s="267"/>
      <c r="J51" s="267"/>
      <c r="K51" s="267"/>
      <c r="L51" s="269"/>
      <c r="M51" s="270"/>
      <c r="N51" s="270"/>
      <c r="O51" s="126"/>
      <c r="P51" s="126"/>
      <c r="Q51" s="271"/>
    </row>
    <row r="52" spans="1:18" ht="14.25" customHeight="1">
      <c r="A52" s="273"/>
      <c r="B52" s="110" t="s">
        <v>1592</v>
      </c>
      <c r="C52" s="33" t="s">
        <v>1593</v>
      </c>
      <c r="D52" s="274"/>
      <c r="E52" s="275"/>
      <c r="F52" s="275"/>
      <c r="G52" s="121"/>
      <c r="H52" s="275"/>
      <c r="I52" s="275"/>
      <c r="J52" s="275"/>
      <c r="K52" s="275"/>
      <c r="L52" s="33"/>
      <c r="M52" s="276"/>
      <c r="N52" s="276"/>
      <c r="O52" s="110"/>
      <c r="P52" s="110"/>
      <c r="Q52" s="277"/>
    </row>
    <row r="53" spans="1:18" ht="14.25" customHeight="1">
      <c r="A53" s="273"/>
      <c r="B53" s="118" t="s">
        <v>2267</v>
      </c>
      <c r="C53" s="110" t="s">
        <v>1422</v>
      </c>
      <c r="D53" s="110"/>
      <c r="E53" s="110"/>
      <c r="F53" s="110"/>
      <c r="G53" s="275" t="s">
        <v>1594</v>
      </c>
      <c r="H53" s="275">
        <v>1</v>
      </c>
      <c r="I53" s="275" t="s">
        <v>1595</v>
      </c>
      <c r="J53" s="274" t="s">
        <v>1596</v>
      </c>
      <c r="K53" s="110">
        <v>10</v>
      </c>
      <c r="L53" s="110" t="s">
        <v>1595</v>
      </c>
      <c r="M53" s="33" t="s">
        <v>1597</v>
      </c>
      <c r="N53" s="118"/>
      <c r="O53" s="110">
        <v>10</v>
      </c>
      <c r="P53" s="275" t="s">
        <v>1595</v>
      </c>
      <c r="Q53" s="277"/>
    </row>
    <row r="54" spans="1:18" ht="14.25" customHeight="1">
      <c r="A54" s="273"/>
      <c r="B54" s="118"/>
      <c r="C54" s="110"/>
      <c r="D54" s="110"/>
      <c r="E54" s="110"/>
      <c r="F54" s="110"/>
      <c r="G54" s="275"/>
      <c r="H54" s="275"/>
      <c r="I54" s="275"/>
      <c r="J54" s="274"/>
      <c r="K54" s="110"/>
      <c r="L54" s="110"/>
      <c r="M54" s="33"/>
      <c r="N54" s="118"/>
      <c r="O54" s="110"/>
      <c r="P54" s="275"/>
      <c r="Q54" s="277"/>
    </row>
    <row r="55" spans="1:18" ht="14.25" customHeight="1">
      <c r="A55" s="273"/>
      <c r="B55" s="118"/>
      <c r="C55" s="110"/>
      <c r="D55" s="110"/>
      <c r="E55" s="110"/>
      <c r="F55" s="110"/>
      <c r="G55" s="275"/>
      <c r="H55" s="275"/>
      <c r="I55" s="275"/>
      <c r="J55" s="274"/>
      <c r="K55" s="110"/>
      <c r="L55" s="110"/>
      <c r="M55" s="33"/>
      <c r="N55" s="118"/>
      <c r="O55" s="110"/>
      <c r="P55" s="275"/>
      <c r="Q55" s="277"/>
    </row>
    <row r="56" spans="1:18" ht="14.25" customHeight="1">
      <c r="A56" s="273"/>
      <c r="B56" s="110"/>
      <c r="C56" s="274"/>
      <c r="D56" s="274"/>
      <c r="E56" s="275"/>
      <c r="F56" s="275"/>
      <c r="G56" s="121"/>
      <c r="H56" s="275"/>
      <c r="I56" s="275"/>
      <c r="J56" s="275"/>
      <c r="K56" s="275"/>
      <c r="L56" s="33"/>
      <c r="M56" s="276"/>
      <c r="N56" s="276"/>
      <c r="O56" s="110"/>
      <c r="P56" s="110"/>
      <c r="Q56" s="277"/>
    </row>
    <row r="57" spans="1:18" ht="14.25" customHeight="1">
      <c r="A57" s="273"/>
      <c r="B57" s="118" t="s">
        <v>1598</v>
      </c>
      <c r="C57" s="110" t="str">
        <f>"상차비 - "&amp; G57&amp;" 인 1조 작업 :"</f>
        <v>상차비 - 5 인 1조 작업 :</v>
      </c>
      <c r="D57" s="110"/>
      <c r="E57" s="110"/>
      <c r="F57" s="110"/>
      <c r="G57" s="275">
        <v>5</v>
      </c>
      <c r="H57" s="278" t="s">
        <v>1163</v>
      </c>
      <c r="I57" s="275" t="s">
        <v>1162</v>
      </c>
      <c r="J57" s="274"/>
      <c r="K57" s="110"/>
      <c r="L57" s="110"/>
      <c r="M57" s="33"/>
      <c r="N57" s="118"/>
      <c r="O57" s="110"/>
      <c r="P57" s="275"/>
      <c r="Q57" s="277"/>
    </row>
    <row r="58" spans="1:18" ht="14.25" customHeight="1">
      <c r="A58" s="273"/>
      <c r="B58" s="110"/>
      <c r="C58" s="274"/>
      <c r="D58" s="33" t="s">
        <v>1599</v>
      </c>
      <c r="E58" s="275"/>
      <c r="F58" s="275"/>
      <c r="G58" s="121">
        <v>10</v>
      </c>
      <c r="H58" s="278" t="s">
        <v>1600</v>
      </c>
      <c r="I58" s="275"/>
      <c r="J58" s="275"/>
      <c r="K58" s="275"/>
      <c r="L58" s="33"/>
      <c r="M58" s="276"/>
      <c r="N58" s="276"/>
      <c r="O58" s="110"/>
      <c r="P58" s="110"/>
      <c r="Q58" s="277"/>
    </row>
    <row r="59" spans="1:18" ht="14.25" customHeight="1">
      <c r="A59" s="273"/>
      <c r="B59" s="110"/>
      <c r="C59" s="274" t="s">
        <v>1601</v>
      </c>
      <c r="D59" s="279" t="str">
        <f>G58&amp;"/450×"</f>
        <v>10/450×</v>
      </c>
      <c r="E59" s="275">
        <f>G57</f>
        <v>5</v>
      </c>
      <c r="F59" s="275" t="s">
        <v>972</v>
      </c>
      <c r="G59" s="121">
        <f>SUMIF('노임(2015)'!$B$4:$B$87,I57,'노임(2015)'!$C$4:$C$87)+SUMIF('노임(2015)'!$E$4:$E$87,I57,'노임(2015)'!$F$4:$F$87)</f>
        <v>89566</v>
      </c>
      <c r="H59" s="275" t="s">
        <v>1582</v>
      </c>
      <c r="I59" s="836">
        <f>TRUNC(G58/450*G57*G59)</f>
        <v>9951</v>
      </c>
      <c r="J59" s="836"/>
      <c r="K59" s="276" t="s">
        <v>1602</v>
      </c>
      <c r="L59" s="33"/>
      <c r="M59" s="276"/>
      <c r="N59" s="276"/>
      <c r="O59" s="110"/>
      <c r="P59" s="110"/>
      <c r="Q59" s="277"/>
    </row>
    <row r="60" spans="1:18" ht="14.25" customHeight="1">
      <c r="A60" s="130"/>
      <c r="B60" s="118"/>
      <c r="C60" s="118"/>
      <c r="D60" s="118"/>
      <c r="E60" s="118"/>
      <c r="F60" s="118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277"/>
    </row>
    <row r="61" spans="1:18" ht="14.25" customHeight="1">
      <c r="A61" s="130"/>
      <c r="B61" s="110" t="s">
        <v>1592</v>
      </c>
      <c r="C61" s="110" t="s">
        <v>1198</v>
      </c>
      <c r="D61" s="110"/>
      <c r="E61" s="110"/>
      <c r="F61" s="110"/>
      <c r="G61" s="110"/>
      <c r="H61" s="110" t="s">
        <v>1603</v>
      </c>
      <c r="I61" s="110"/>
      <c r="J61" s="118">
        <v>1.6</v>
      </c>
      <c r="K61" s="110" t="s">
        <v>1805</v>
      </c>
      <c r="L61" s="110"/>
      <c r="M61" s="110"/>
      <c r="N61" s="110"/>
      <c r="O61" s="110"/>
      <c r="P61" s="110"/>
      <c r="Q61" s="277"/>
    </row>
    <row r="62" spans="1:18" ht="14.25" customHeight="1">
      <c r="A62" s="13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277"/>
    </row>
    <row r="63" spans="1:18" ht="14.25" customHeight="1">
      <c r="A63" s="130"/>
      <c r="B63" s="118"/>
      <c r="C63" s="851" t="s">
        <v>1806</v>
      </c>
      <c r="D63" s="791" t="s">
        <v>1807</v>
      </c>
      <c r="E63" s="791"/>
      <c r="F63" s="791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277"/>
    </row>
    <row r="64" spans="1:18" ht="14.25" customHeight="1">
      <c r="A64" s="130"/>
      <c r="B64" s="118"/>
      <c r="C64" s="851"/>
      <c r="D64" s="843" t="s">
        <v>1583</v>
      </c>
      <c r="E64" s="843"/>
      <c r="F64" s="843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277"/>
    </row>
    <row r="65" spans="1:17" ht="14.25" customHeight="1">
      <c r="A65" s="130"/>
      <c r="B65" s="110"/>
      <c r="C65" s="109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277"/>
    </row>
    <row r="66" spans="1:17" ht="14.25" customHeight="1">
      <c r="A66" s="130"/>
      <c r="B66" s="280"/>
      <c r="C66" s="109" t="s">
        <v>1808</v>
      </c>
      <c r="D66" s="110" t="s">
        <v>1809</v>
      </c>
      <c r="E66" s="110"/>
      <c r="F66" s="110"/>
      <c r="G66" s="118"/>
      <c r="H66" s="280"/>
      <c r="I66" s="118"/>
      <c r="J66" s="110"/>
      <c r="K66" s="110"/>
      <c r="L66" s="110"/>
      <c r="M66" s="110"/>
      <c r="N66" s="110"/>
      <c r="O66" s="110"/>
      <c r="P66" s="110"/>
      <c r="Q66" s="277"/>
    </row>
    <row r="67" spans="1:17" ht="14.25" customHeight="1">
      <c r="A67" s="130"/>
      <c r="B67" s="280"/>
      <c r="C67" s="109" t="s">
        <v>298</v>
      </c>
      <c r="D67" s="110" t="s">
        <v>299</v>
      </c>
      <c r="E67" s="118" t="s">
        <v>1526</v>
      </c>
      <c r="F67" s="281">
        <f>I50</f>
        <v>4.5</v>
      </c>
      <c r="G67" s="118" t="s">
        <v>300</v>
      </c>
      <c r="H67" s="118">
        <f>J61</f>
        <v>1.6</v>
      </c>
      <c r="I67" s="118" t="s">
        <v>972</v>
      </c>
      <c r="J67" s="118">
        <v>1.25</v>
      </c>
      <c r="K67" s="118" t="s">
        <v>1582</v>
      </c>
      <c r="L67" s="282">
        <f>TRUNC(F67/H67*J67,2)</f>
        <v>3.51</v>
      </c>
      <c r="M67" s="118" t="s">
        <v>301</v>
      </c>
      <c r="N67" s="110"/>
      <c r="O67" s="110"/>
      <c r="P67" s="110"/>
      <c r="Q67" s="277"/>
    </row>
    <row r="68" spans="1:17" ht="14.25" customHeight="1">
      <c r="A68" s="130"/>
      <c r="B68" s="280"/>
      <c r="C68" s="109" t="s">
        <v>399</v>
      </c>
      <c r="D68" s="110" t="s">
        <v>1156</v>
      </c>
      <c r="E68" s="110"/>
      <c r="F68" s="118" t="s">
        <v>1526</v>
      </c>
      <c r="G68" s="283">
        <f>TRUNC(1/J68,2)</f>
        <v>0.8</v>
      </c>
      <c r="H68" s="280" t="s">
        <v>303</v>
      </c>
      <c r="I68" s="118" t="s">
        <v>300</v>
      </c>
      <c r="J68" s="118">
        <f>J67</f>
        <v>1.25</v>
      </c>
      <c r="K68" s="284" t="s">
        <v>304</v>
      </c>
      <c r="L68" s="110"/>
      <c r="M68" s="110"/>
      <c r="N68" s="110"/>
      <c r="O68" s="110"/>
      <c r="P68" s="110"/>
      <c r="Q68" s="277"/>
    </row>
    <row r="69" spans="1:17" ht="14.25" customHeight="1">
      <c r="A69" s="130"/>
      <c r="B69" s="280"/>
      <c r="C69" s="109" t="s">
        <v>1703</v>
      </c>
      <c r="D69" s="110" t="s">
        <v>1207</v>
      </c>
      <c r="E69" s="110"/>
      <c r="F69" s="118" t="s">
        <v>1526</v>
      </c>
      <c r="G69" s="118">
        <v>0.9</v>
      </c>
      <c r="H69" s="280"/>
      <c r="I69" s="110"/>
      <c r="J69" s="110"/>
      <c r="K69" s="110"/>
      <c r="L69" s="110"/>
      <c r="M69" s="110"/>
      <c r="N69" s="110"/>
      <c r="O69" s="110"/>
      <c r="P69" s="110"/>
      <c r="Q69" s="277"/>
    </row>
    <row r="70" spans="1:17" ht="14.25" customHeight="1">
      <c r="A70" s="130"/>
      <c r="B70" s="280"/>
      <c r="C70" s="109" t="s">
        <v>1704</v>
      </c>
      <c r="D70" s="110" t="s">
        <v>1705</v>
      </c>
      <c r="E70" s="110"/>
      <c r="F70" s="118"/>
      <c r="G70" s="275">
        <f>E80</f>
        <v>48.82</v>
      </c>
      <c r="H70" s="118" t="s">
        <v>1600</v>
      </c>
      <c r="I70" s="110"/>
      <c r="J70" s="110"/>
      <c r="K70" s="110"/>
      <c r="L70" s="110"/>
      <c r="M70" s="110"/>
      <c r="N70" s="110"/>
      <c r="O70" s="110"/>
      <c r="P70" s="110"/>
      <c r="Q70" s="277"/>
    </row>
    <row r="71" spans="1:17" ht="14.25" customHeight="1">
      <c r="A71" s="130"/>
      <c r="B71" s="280"/>
      <c r="C71" s="109" t="s">
        <v>1704</v>
      </c>
      <c r="D71" s="110" t="s">
        <v>3101</v>
      </c>
      <c r="E71" s="110"/>
      <c r="F71" s="110"/>
      <c r="G71" s="110"/>
      <c r="H71" s="280"/>
      <c r="I71" s="110"/>
      <c r="J71" s="110"/>
      <c r="K71" s="110"/>
      <c r="L71" s="110"/>
      <c r="M71" s="110"/>
      <c r="N71" s="110"/>
      <c r="O71" s="110"/>
      <c r="P71" s="110"/>
      <c r="Q71" s="277"/>
    </row>
    <row r="72" spans="1:17" ht="14.25" customHeight="1">
      <c r="A72" s="130"/>
      <c r="B72" s="110"/>
      <c r="C72" s="109" t="s">
        <v>1706</v>
      </c>
      <c r="D72" s="110" t="s">
        <v>1707</v>
      </c>
      <c r="E72" s="838">
        <f>J73</f>
        <v>35.099999999999994</v>
      </c>
      <c r="F72" s="838"/>
      <c r="G72" s="110" t="s">
        <v>1708</v>
      </c>
      <c r="H72" s="285"/>
      <c r="I72" s="118"/>
      <c r="J72" s="118"/>
      <c r="K72" s="110"/>
      <c r="L72" s="118"/>
      <c r="M72" s="286"/>
      <c r="N72" s="286"/>
      <c r="O72" s="118"/>
      <c r="P72" s="110"/>
      <c r="Q72" s="277"/>
    </row>
    <row r="73" spans="1:17" ht="14.25" customHeight="1">
      <c r="A73" s="130"/>
      <c r="B73" s="110"/>
      <c r="C73" s="109" t="s">
        <v>1601</v>
      </c>
      <c r="D73" s="110" t="s">
        <v>1709</v>
      </c>
      <c r="E73" s="842">
        <f>G58</f>
        <v>10</v>
      </c>
      <c r="F73" s="842"/>
      <c r="G73" s="118" t="s">
        <v>972</v>
      </c>
      <c r="H73" s="285">
        <f>L67</f>
        <v>3.51</v>
      </c>
      <c r="I73" s="118" t="s">
        <v>380</v>
      </c>
      <c r="J73" s="118">
        <f>E73*H73</f>
        <v>35.099999999999994</v>
      </c>
      <c r="K73" s="118" t="s">
        <v>1600</v>
      </c>
      <c r="L73" s="282"/>
      <c r="M73" s="288"/>
      <c r="N73" s="286"/>
      <c r="O73" s="118"/>
      <c r="P73" s="110"/>
      <c r="Q73" s="277"/>
    </row>
    <row r="74" spans="1:17" ht="14.25" customHeight="1">
      <c r="A74" s="130"/>
      <c r="B74" s="110"/>
      <c r="C74" s="109" t="s">
        <v>2110</v>
      </c>
      <c r="D74" s="110" t="s">
        <v>381</v>
      </c>
      <c r="E74" s="791">
        <f>J76</f>
        <v>12</v>
      </c>
      <c r="F74" s="791"/>
      <c r="G74" s="110" t="s">
        <v>382</v>
      </c>
      <c r="H74" s="118"/>
      <c r="I74" s="110"/>
      <c r="J74" s="110"/>
      <c r="K74" s="110"/>
      <c r="L74" s="118"/>
      <c r="M74" s="118"/>
      <c r="N74" s="118"/>
      <c r="O74" s="110"/>
      <c r="P74" s="110"/>
      <c r="Q74" s="277"/>
    </row>
    <row r="75" spans="1:17" ht="14.25" customHeight="1">
      <c r="A75" s="130"/>
      <c r="B75" s="110"/>
      <c r="C75" s="280" t="s">
        <v>2111</v>
      </c>
      <c r="D75" s="118">
        <f>H53</f>
        <v>1</v>
      </c>
      <c r="E75" s="118" t="s">
        <v>300</v>
      </c>
      <c r="F75" s="118">
        <f>K53</f>
        <v>10</v>
      </c>
      <c r="G75" s="110" t="s">
        <v>383</v>
      </c>
      <c r="H75" s="118">
        <f>H53</f>
        <v>1</v>
      </c>
      <c r="I75" s="118" t="s">
        <v>300</v>
      </c>
      <c r="J75" s="118">
        <f>O53</f>
        <v>10</v>
      </c>
      <c r="K75" s="110" t="s">
        <v>2112</v>
      </c>
      <c r="L75" s="118"/>
      <c r="M75" s="118"/>
      <c r="N75" s="118"/>
      <c r="O75" s="118"/>
      <c r="P75" s="110"/>
      <c r="Q75" s="277"/>
    </row>
    <row r="76" spans="1:17" ht="14.25" customHeight="1">
      <c r="A76" s="130"/>
      <c r="B76" s="110"/>
      <c r="C76" s="118"/>
      <c r="D76" s="280" t="s">
        <v>1582</v>
      </c>
      <c r="E76" s="791">
        <f>(D75/F75)+(H75/J75)</f>
        <v>0.2</v>
      </c>
      <c r="F76" s="791"/>
      <c r="G76" s="110" t="s">
        <v>384</v>
      </c>
      <c r="H76" s="118">
        <v>60</v>
      </c>
      <c r="I76" s="118" t="s">
        <v>1582</v>
      </c>
      <c r="J76" s="840">
        <f>ROUND(E76*H76,2)</f>
        <v>12</v>
      </c>
      <c r="K76" s="840"/>
      <c r="L76" s="286" t="s">
        <v>1600</v>
      </c>
      <c r="O76" s="110"/>
      <c r="Q76" s="277"/>
    </row>
    <row r="77" spans="1:17" ht="14.25" customHeight="1">
      <c r="A77" s="130"/>
      <c r="B77" s="110"/>
      <c r="C77" s="109" t="s">
        <v>2113</v>
      </c>
      <c r="D77" s="110" t="s">
        <v>385</v>
      </c>
      <c r="E77" s="840">
        <v>0.8</v>
      </c>
      <c r="F77" s="840"/>
      <c r="G77" s="110" t="s">
        <v>386</v>
      </c>
      <c r="H77" s="118"/>
      <c r="I77" s="110"/>
      <c r="J77" s="118"/>
      <c r="K77" s="110"/>
      <c r="L77" s="110"/>
      <c r="M77" s="110"/>
      <c r="N77" s="110"/>
      <c r="O77" s="110"/>
      <c r="P77" s="110"/>
      <c r="Q77" s="277"/>
    </row>
    <row r="78" spans="1:17" ht="14.25" customHeight="1">
      <c r="A78" s="130"/>
      <c r="B78" s="110"/>
      <c r="C78" s="109" t="s">
        <v>2114</v>
      </c>
      <c r="D78" s="110" t="s">
        <v>387</v>
      </c>
      <c r="E78" s="840">
        <v>0.42</v>
      </c>
      <c r="F78" s="840"/>
      <c r="G78" s="110" t="s">
        <v>388</v>
      </c>
      <c r="H78" s="118"/>
      <c r="I78" s="110"/>
      <c r="J78" s="110"/>
      <c r="K78" s="110"/>
      <c r="L78" s="110"/>
      <c r="M78" s="118"/>
      <c r="N78" s="118"/>
      <c r="O78" s="110"/>
      <c r="P78" s="110"/>
      <c r="Q78" s="277"/>
    </row>
    <row r="79" spans="1:17" ht="14.25" customHeight="1">
      <c r="A79" s="130"/>
      <c r="B79" s="110"/>
      <c r="C79" s="109" t="s">
        <v>3102</v>
      </c>
      <c r="D79" s="110" t="s">
        <v>389</v>
      </c>
      <c r="E79" s="840">
        <v>0.5</v>
      </c>
      <c r="F79" s="840"/>
      <c r="G79" s="110" t="s">
        <v>390</v>
      </c>
      <c r="H79" s="110"/>
      <c r="I79" s="110"/>
      <c r="J79" s="110"/>
      <c r="K79" s="110"/>
      <c r="L79" s="110"/>
      <c r="M79" s="110"/>
      <c r="N79" s="110"/>
      <c r="O79" s="110"/>
      <c r="P79" s="110"/>
      <c r="Q79" s="277"/>
    </row>
    <row r="80" spans="1:17" ht="14.25" customHeight="1">
      <c r="A80" s="130"/>
      <c r="B80" s="110"/>
      <c r="C80" s="118"/>
      <c r="D80" s="118" t="s">
        <v>1454</v>
      </c>
      <c r="E80" s="840">
        <f>TRUNC(SUM(E72,E74,E77,E78,E79),2)</f>
        <v>48.82</v>
      </c>
      <c r="F80" s="840"/>
      <c r="G80" s="110" t="s">
        <v>1600</v>
      </c>
      <c r="H80" s="110"/>
      <c r="I80" s="110"/>
      <c r="J80" s="110"/>
      <c r="K80" s="110"/>
      <c r="L80" s="110"/>
      <c r="M80" s="110"/>
      <c r="N80" s="110"/>
      <c r="O80" s="110"/>
      <c r="P80" s="110"/>
      <c r="Q80" s="277"/>
    </row>
    <row r="81" spans="1:18" ht="14.25" customHeight="1">
      <c r="A81" s="130"/>
      <c r="B81" s="118"/>
      <c r="C81" s="118"/>
      <c r="D81" s="110"/>
      <c r="E81" s="118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277"/>
    </row>
    <row r="82" spans="1:18" ht="14.25" customHeight="1">
      <c r="A82" s="130" t="s">
        <v>391</v>
      </c>
      <c r="B82" s="110" t="s">
        <v>392</v>
      </c>
      <c r="C82" s="118"/>
      <c r="D82" s="110"/>
      <c r="E82" s="118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277"/>
    </row>
    <row r="83" spans="1:18" ht="14.25" customHeight="1">
      <c r="A83" s="130"/>
      <c r="B83" s="118"/>
      <c r="C83" s="118"/>
      <c r="D83" s="110"/>
      <c r="E83" s="118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277"/>
    </row>
    <row r="84" spans="1:18" ht="14.25" customHeight="1">
      <c r="A84" s="130"/>
      <c r="B84" s="28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277"/>
    </row>
    <row r="85" spans="1:18" ht="14.25" customHeight="1">
      <c r="A85" s="841"/>
      <c r="B85" s="791" t="s">
        <v>1111</v>
      </c>
      <c r="C85" s="791" t="s">
        <v>1582</v>
      </c>
      <c r="D85" s="280" t="s">
        <v>393</v>
      </c>
      <c r="E85" s="286">
        <f>G68</f>
        <v>0.8</v>
      </c>
      <c r="F85" s="118" t="s">
        <v>972</v>
      </c>
      <c r="G85" s="282">
        <f>G69</f>
        <v>0.9</v>
      </c>
      <c r="H85" s="118" t="s">
        <v>972</v>
      </c>
      <c r="I85" s="282">
        <f>L67</f>
        <v>3.51</v>
      </c>
      <c r="J85" s="791" t="s">
        <v>1582</v>
      </c>
      <c r="K85" s="837">
        <f>TRUNC(E85*G85*I85*60,3)</f>
        <v>151.63200000000001</v>
      </c>
      <c r="L85" s="837"/>
      <c r="M85" s="791" t="s">
        <v>1582</v>
      </c>
      <c r="N85" s="847">
        <f>TRUNC(K85/K86,2)</f>
        <v>3.1</v>
      </c>
      <c r="O85" s="847"/>
      <c r="P85" s="110" t="s">
        <v>301</v>
      </c>
      <c r="Q85" s="277"/>
    </row>
    <row r="86" spans="1:18" ht="14.25" customHeight="1">
      <c r="A86" s="841"/>
      <c r="B86" s="791"/>
      <c r="C86" s="791"/>
      <c r="D86" s="839">
        <f>G70</f>
        <v>48.82</v>
      </c>
      <c r="E86" s="839"/>
      <c r="F86" s="839"/>
      <c r="G86" s="839"/>
      <c r="H86" s="839"/>
      <c r="I86" s="839"/>
      <c r="J86" s="791"/>
      <c r="K86" s="839">
        <f>D86</f>
        <v>48.82</v>
      </c>
      <c r="L86" s="839"/>
      <c r="M86" s="791"/>
      <c r="N86" s="847"/>
      <c r="O86" s="847"/>
      <c r="P86" s="110"/>
      <c r="Q86" s="277" t="s">
        <v>394</v>
      </c>
    </row>
    <row r="87" spans="1:18" ht="14.25" customHeight="1">
      <c r="A87" s="130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277"/>
    </row>
    <row r="88" spans="1:18" ht="14.25" customHeight="1">
      <c r="A88" s="13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277"/>
    </row>
    <row r="89" spans="1:18" ht="14.25" customHeight="1">
      <c r="A89" s="130"/>
      <c r="B89" s="110"/>
      <c r="C89" s="110"/>
      <c r="D89" s="110" t="s">
        <v>395</v>
      </c>
      <c r="E89" s="110"/>
      <c r="F89" s="835">
        <f>중기사용료!$M$492</f>
        <v>7692</v>
      </c>
      <c r="G89" s="835"/>
      <c r="H89" s="286" t="s">
        <v>975</v>
      </c>
      <c r="I89" s="118" t="s">
        <v>300</v>
      </c>
      <c r="J89" s="282">
        <f>N85</f>
        <v>3.1</v>
      </c>
      <c r="K89" s="282" t="s">
        <v>972</v>
      </c>
      <c r="L89" s="289" t="str">
        <f>(E74+E77+E78+E79)&amp;"/"&amp;G70</f>
        <v>13.72/48.82</v>
      </c>
      <c r="M89" s="118" t="s">
        <v>1582</v>
      </c>
      <c r="N89" s="836">
        <f>TRUNC(F89/J89*(E74+E77+E78+E79)/G70)</f>
        <v>697</v>
      </c>
      <c r="O89" s="836"/>
      <c r="P89" s="836"/>
      <c r="Q89" s="277" t="s">
        <v>975</v>
      </c>
    </row>
    <row r="90" spans="1:18" ht="14.25" customHeight="1">
      <c r="A90" s="130"/>
      <c r="B90" s="110"/>
      <c r="C90" s="118"/>
      <c r="D90" s="110"/>
      <c r="E90" s="290"/>
      <c r="F90" s="291"/>
      <c r="G90" s="291"/>
      <c r="H90" s="118"/>
      <c r="I90" s="110"/>
      <c r="J90" s="118"/>
      <c r="K90" s="285"/>
      <c r="L90" s="121"/>
      <c r="M90" s="118"/>
      <c r="N90" s="160"/>
      <c r="O90" s="110"/>
      <c r="P90" s="110"/>
      <c r="Q90" s="277"/>
    </row>
    <row r="91" spans="1:18" ht="14.25" customHeight="1">
      <c r="A91" s="130"/>
      <c r="B91" s="110"/>
      <c r="C91" s="110"/>
      <c r="D91" s="110" t="s">
        <v>396</v>
      </c>
      <c r="E91" s="110"/>
      <c r="F91" s="835">
        <f>중기사용료!$M$486</f>
        <v>24483</v>
      </c>
      <c r="G91" s="835"/>
      <c r="H91" s="286" t="s">
        <v>975</v>
      </c>
      <c r="I91" s="118" t="s">
        <v>300</v>
      </c>
      <c r="J91" s="282">
        <f>N85</f>
        <v>3.1</v>
      </c>
      <c r="K91" s="282" t="s">
        <v>397</v>
      </c>
      <c r="L91" s="33">
        <f>$I$59</f>
        <v>9951</v>
      </c>
      <c r="M91" s="118" t="s">
        <v>1582</v>
      </c>
      <c r="N91" s="836">
        <f>TRUNC(F91/J91+L91)</f>
        <v>17848</v>
      </c>
      <c r="O91" s="836"/>
      <c r="P91" s="836"/>
      <c r="Q91" s="277" t="s">
        <v>975</v>
      </c>
    </row>
    <row r="92" spans="1:18" ht="14.25" customHeight="1">
      <c r="A92" s="130"/>
      <c r="B92" s="110"/>
      <c r="C92" s="118"/>
      <c r="D92" s="110" t="s">
        <v>1277</v>
      </c>
      <c r="E92" s="290"/>
      <c r="F92" s="291"/>
      <c r="G92" s="291"/>
      <c r="H92" s="118"/>
      <c r="I92" s="110"/>
      <c r="J92" s="118"/>
      <c r="K92" s="285"/>
      <c r="L92" s="121"/>
      <c r="M92" s="118"/>
      <c r="N92" s="160"/>
      <c r="O92" s="110"/>
      <c r="P92" s="110"/>
      <c r="Q92" s="277"/>
    </row>
    <row r="93" spans="1:18" ht="14.25" customHeight="1">
      <c r="A93" s="130"/>
      <c r="B93" s="110"/>
      <c r="C93" s="110"/>
      <c r="D93" s="110" t="s">
        <v>398</v>
      </c>
      <c r="E93" s="110"/>
      <c r="F93" s="835">
        <f>중기사용료!$M$480</f>
        <v>6499</v>
      </c>
      <c r="G93" s="835"/>
      <c r="H93" s="118" t="s">
        <v>975</v>
      </c>
      <c r="I93" s="118" t="s">
        <v>300</v>
      </c>
      <c r="J93" s="282">
        <f>N85</f>
        <v>3.1</v>
      </c>
      <c r="K93" s="282" t="s">
        <v>1582</v>
      </c>
      <c r="L93" s="121">
        <f>TRUNC(F93/J93)</f>
        <v>2096</v>
      </c>
      <c r="M93" s="121" t="s">
        <v>975</v>
      </c>
      <c r="N93" s="160"/>
      <c r="O93" s="110"/>
      <c r="P93" s="110"/>
      <c r="Q93" s="277"/>
      <c r="R93" s="272" t="s">
        <v>1436</v>
      </c>
    </row>
    <row r="94" spans="1:18" ht="14.25" customHeight="1">
      <c r="A94" s="130"/>
      <c r="B94" s="110"/>
      <c r="C94" s="118"/>
      <c r="D94" s="110"/>
      <c r="E94" s="110"/>
      <c r="F94" s="110"/>
      <c r="G94" s="110"/>
      <c r="H94" s="110"/>
      <c r="I94" s="110"/>
      <c r="J94" s="110"/>
      <c r="K94" s="110"/>
      <c r="L94" s="110"/>
      <c r="M94" s="118"/>
      <c r="N94" s="291"/>
      <c r="O94" s="110"/>
      <c r="P94" s="110"/>
      <c r="Q94" s="277"/>
    </row>
    <row r="95" spans="1:18" s="302" customFormat="1" ht="14.25" customHeight="1">
      <c r="A95" s="162"/>
      <c r="B95" s="164"/>
      <c r="C95" s="164"/>
      <c r="D95" s="164"/>
      <c r="E95" s="164"/>
      <c r="F95" s="299"/>
      <c r="G95" s="299"/>
      <c r="H95" s="299"/>
      <c r="I95" s="165"/>
      <c r="J95" s="164"/>
      <c r="K95" s="165" t="s">
        <v>1454</v>
      </c>
      <c r="L95" s="292">
        <f>SUM(N89,N91,L93)</f>
        <v>20641</v>
      </c>
      <c r="M95" s="164" t="s">
        <v>975</v>
      </c>
      <c r="N95" s="300"/>
      <c r="O95" s="300"/>
      <c r="P95" s="164"/>
      <c r="Q95" s="301"/>
      <c r="R95" s="272"/>
    </row>
    <row r="96" spans="1:18" ht="14.25" customHeight="1">
      <c r="A96" s="130"/>
      <c r="B96" s="110"/>
      <c r="C96" s="110"/>
      <c r="D96" s="110"/>
      <c r="E96" s="110"/>
      <c r="F96" s="121"/>
      <c r="G96" s="121"/>
      <c r="H96" s="121"/>
      <c r="I96" s="118"/>
      <c r="J96" s="110"/>
      <c r="K96" s="118"/>
      <c r="L96" s="33"/>
      <c r="M96" s="110"/>
      <c r="N96" s="303"/>
      <c r="O96" s="160"/>
      <c r="P96" s="110"/>
      <c r="Q96" s="277"/>
    </row>
    <row r="97" spans="1:18" ht="14.25" customHeight="1">
      <c r="A97" s="135"/>
      <c r="B97" s="138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293"/>
    </row>
    <row r="98" spans="1:18" ht="14.25" customHeight="1">
      <c r="C98" s="177"/>
      <c r="E98" s="304"/>
      <c r="H98" s="177"/>
      <c r="I98" s="177"/>
      <c r="K98" s="305"/>
      <c r="L98" s="177"/>
      <c r="M98" s="161"/>
      <c r="N98" s="161"/>
      <c r="O98" s="177"/>
    </row>
    <row r="99" spans="1:18" s="265" customFormat="1" ht="14.25" customHeight="1">
      <c r="A99" s="306"/>
      <c r="B99" s="262" t="s">
        <v>1147</v>
      </c>
      <c r="C99" s="262"/>
      <c r="D99" s="262"/>
      <c r="E99" s="262"/>
      <c r="F99" s="262"/>
      <c r="G99" s="262"/>
      <c r="H99" s="263" t="s">
        <v>1418</v>
      </c>
      <c r="I99" s="263">
        <v>2.5</v>
      </c>
      <c r="J99" s="262" t="s">
        <v>1419</v>
      </c>
      <c r="K99" s="262"/>
      <c r="L99" s="263">
        <v>0.2</v>
      </c>
      <c r="M99" s="262" t="s">
        <v>1420</v>
      </c>
      <c r="N99" s="262"/>
      <c r="O99" s="261"/>
      <c r="P99" s="261"/>
      <c r="Q99" s="264"/>
      <c r="R99" s="265" t="s">
        <v>3299</v>
      </c>
    </row>
    <row r="100" spans="1:18" ht="14.25" customHeight="1">
      <c r="A100" s="266"/>
      <c r="B100" s="126"/>
      <c r="C100" s="126"/>
      <c r="D100" s="126"/>
      <c r="E100" s="267"/>
      <c r="F100" s="267"/>
      <c r="G100" s="268"/>
      <c r="H100" s="267"/>
      <c r="I100" s="267"/>
      <c r="J100" s="267"/>
      <c r="K100" s="267"/>
      <c r="L100" s="269"/>
      <c r="M100" s="270"/>
      <c r="N100" s="270"/>
      <c r="O100" s="126"/>
      <c r="P100" s="126"/>
      <c r="Q100" s="271"/>
    </row>
    <row r="101" spans="1:18" ht="14.25" customHeight="1">
      <c r="A101" s="273"/>
      <c r="B101" s="110" t="s">
        <v>1592</v>
      </c>
      <c r="C101" s="33" t="s">
        <v>1593</v>
      </c>
      <c r="D101" s="274"/>
      <c r="E101" s="275"/>
      <c r="F101" s="275"/>
      <c r="G101" s="121"/>
      <c r="H101" s="275"/>
      <c r="I101" s="275"/>
      <c r="J101" s="275"/>
      <c r="K101" s="275"/>
      <c r="L101" s="33"/>
      <c r="M101" s="276"/>
      <c r="N101" s="276"/>
      <c r="O101" s="110"/>
      <c r="P101" s="110"/>
      <c r="Q101" s="277"/>
    </row>
    <row r="102" spans="1:18" ht="14.25" customHeight="1">
      <c r="A102" s="273"/>
      <c r="Q102" s="277"/>
    </row>
    <row r="103" spans="1:18" ht="14.25" customHeight="1">
      <c r="A103" s="273"/>
      <c r="B103" s="118" t="s">
        <v>2267</v>
      </c>
      <c r="C103" s="110" t="s">
        <v>1422</v>
      </c>
      <c r="D103" s="110"/>
      <c r="E103" s="110"/>
      <c r="F103" s="110"/>
      <c r="G103" s="275" t="s">
        <v>1594</v>
      </c>
      <c r="H103" s="275">
        <v>1</v>
      </c>
      <c r="I103" s="275" t="s">
        <v>1595</v>
      </c>
      <c r="J103" s="274" t="s">
        <v>1596</v>
      </c>
      <c r="K103" s="110">
        <v>10</v>
      </c>
      <c r="L103" s="110" t="s">
        <v>1595</v>
      </c>
      <c r="M103" s="33" t="s">
        <v>1597</v>
      </c>
      <c r="N103" s="118"/>
      <c r="O103" s="110">
        <v>10</v>
      </c>
      <c r="P103" s="275" t="s">
        <v>1595</v>
      </c>
      <c r="Q103" s="277"/>
    </row>
    <row r="104" spans="1:18" ht="14.25" customHeight="1">
      <c r="A104" s="273"/>
      <c r="B104" s="118"/>
      <c r="C104" s="110"/>
      <c r="D104" s="110"/>
      <c r="E104" s="110"/>
      <c r="F104" s="110"/>
      <c r="G104" s="275"/>
      <c r="H104" s="275"/>
      <c r="I104" s="275"/>
      <c r="J104" s="274"/>
      <c r="K104" s="110"/>
      <c r="L104" s="110"/>
      <c r="M104" s="33"/>
      <c r="N104" s="118"/>
      <c r="O104" s="110"/>
      <c r="P104" s="275"/>
      <c r="Q104" s="277"/>
    </row>
    <row r="105" spans="1:18" ht="14.25" customHeight="1">
      <c r="A105" s="273"/>
      <c r="B105" s="110"/>
      <c r="C105" s="274"/>
      <c r="D105" s="274"/>
      <c r="E105" s="275"/>
      <c r="F105" s="275"/>
      <c r="G105" s="121"/>
      <c r="H105" s="275"/>
      <c r="I105" s="275"/>
      <c r="J105" s="275"/>
      <c r="K105" s="275"/>
      <c r="L105" s="33"/>
      <c r="M105" s="276"/>
      <c r="N105" s="276"/>
      <c r="O105" s="110"/>
      <c r="P105" s="110"/>
      <c r="Q105" s="277"/>
    </row>
    <row r="106" spans="1:18" ht="14.25" customHeight="1">
      <c r="A106" s="130"/>
      <c r="B106" s="110" t="s">
        <v>1592</v>
      </c>
      <c r="C106" s="110" t="s">
        <v>1198</v>
      </c>
      <c r="D106" s="110"/>
      <c r="E106" s="110"/>
      <c r="F106" s="110"/>
      <c r="G106" s="110"/>
      <c r="H106" s="110"/>
      <c r="I106" s="110"/>
      <c r="J106" s="110" t="s">
        <v>400</v>
      </c>
      <c r="K106" s="110"/>
      <c r="L106" s="118">
        <v>1.6</v>
      </c>
      <c r="M106" s="110" t="s">
        <v>1805</v>
      </c>
      <c r="N106" s="110"/>
      <c r="O106" s="110"/>
      <c r="P106" s="110"/>
      <c r="Q106" s="277"/>
    </row>
    <row r="107" spans="1:18" ht="14.25" customHeight="1">
      <c r="A107" s="130"/>
      <c r="B107" s="118"/>
      <c r="C107" s="791" t="s">
        <v>1806</v>
      </c>
      <c r="D107" s="791" t="s">
        <v>1807</v>
      </c>
      <c r="E107" s="791"/>
      <c r="F107" s="791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277"/>
    </row>
    <row r="108" spans="1:18" ht="14.25" customHeight="1">
      <c r="A108" s="130"/>
      <c r="B108" s="118"/>
      <c r="C108" s="791"/>
      <c r="D108" s="843" t="s">
        <v>1583</v>
      </c>
      <c r="E108" s="843"/>
      <c r="F108" s="843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277"/>
    </row>
    <row r="109" spans="1:18" ht="14.25" customHeight="1">
      <c r="A109" s="13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277"/>
    </row>
    <row r="110" spans="1:18" ht="14.25" customHeight="1">
      <c r="A110" s="130"/>
      <c r="B110" s="280"/>
      <c r="C110" s="118" t="s">
        <v>1808</v>
      </c>
      <c r="D110" s="110" t="s">
        <v>1809</v>
      </c>
      <c r="E110" s="110"/>
      <c r="F110" s="110"/>
      <c r="G110" s="118"/>
      <c r="H110" s="280"/>
      <c r="I110" s="118"/>
      <c r="J110" s="110"/>
      <c r="K110" s="110"/>
      <c r="L110" s="110"/>
      <c r="M110" s="110"/>
      <c r="N110" s="110"/>
      <c r="O110" s="110"/>
      <c r="P110" s="110"/>
      <c r="Q110" s="277"/>
    </row>
    <row r="111" spans="1:18" ht="14.25" customHeight="1">
      <c r="A111" s="130"/>
      <c r="B111" s="280"/>
      <c r="C111" s="118" t="s">
        <v>298</v>
      </c>
      <c r="D111" s="110" t="s">
        <v>299</v>
      </c>
      <c r="E111" s="118" t="s">
        <v>1526</v>
      </c>
      <c r="F111" s="281">
        <f>I99</f>
        <v>2.5</v>
      </c>
      <c r="G111" s="118" t="s">
        <v>300</v>
      </c>
      <c r="H111" s="118">
        <f>L106</f>
        <v>1.6</v>
      </c>
      <c r="I111" s="118" t="s">
        <v>972</v>
      </c>
      <c r="J111" s="118">
        <v>1.25</v>
      </c>
      <c r="K111" s="118" t="s">
        <v>1582</v>
      </c>
      <c r="L111" s="282">
        <f>TRUNC(F111/H111*J111,2)</f>
        <v>1.95</v>
      </c>
      <c r="M111" s="118" t="s">
        <v>301</v>
      </c>
      <c r="N111" s="110"/>
      <c r="O111" s="110"/>
      <c r="P111" s="110"/>
      <c r="Q111" s="277"/>
    </row>
    <row r="112" spans="1:18" ht="14.25" customHeight="1">
      <c r="A112" s="130"/>
      <c r="B112" s="280"/>
      <c r="C112" s="118" t="s">
        <v>399</v>
      </c>
      <c r="D112" s="110" t="s">
        <v>1156</v>
      </c>
      <c r="E112" s="110"/>
      <c r="F112" s="118" t="s">
        <v>1526</v>
      </c>
      <c r="G112" s="283">
        <f>TRUNC(1/J112,2)</f>
        <v>0.8</v>
      </c>
      <c r="H112" s="280" t="s">
        <v>303</v>
      </c>
      <c r="I112" s="118" t="s">
        <v>300</v>
      </c>
      <c r="J112" s="118">
        <f>J111</f>
        <v>1.25</v>
      </c>
      <c r="K112" s="284" t="s">
        <v>304</v>
      </c>
      <c r="L112" s="110"/>
      <c r="M112" s="110"/>
      <c r="N112" s="110"/>
      <c r="O112" s="110"/>
      <c r="P112" s="110"/>
      <c r="Q112" s="277"/>
    </row>
    <row r="113" spans="1:17" ht="14.25" customHeight="1">
      <c r="A113" s="130"/>
      <c r="B113" s="280"/>
      <c r="C113" s="118" t="s">
        <v>1703</v>
      </c>
      <c r="D113" s="110" t="s">
        <v>1207</v>
      </c>
      <c r="E113" s="110"/>
      <c r="F113" s="118" t="s">
        <v>1526</v>
      </c>
      <c r="G113" s="118">
        <v>0.9</v>
      </c>
      <c r="H113" s="280"/>
      <c r="I113" s="110"/>
      <c r="J113" s="110"/>
      <c r="K113" s="110"/>
      <c r="L113" s="110"/>
      <c r="M113" s="110"/>
      <c r="N113" s="110"/>
      <c r="O113" s="110"/>
      <c r="P113" s="110"/>
      <c r="Q113" s="277"/>
    </row>
    <row r="114" spans="1:17" ht="14.25" customHeight="1">
      <c r="A114" s="130"/>
      <c r="B114" s="280"/>
      <c r="C114" s="118" t="s">
        <v>1704</v>
      </c>
      <c r="D114" s="110" t="s">
        <v>401</v>
      </c>
      <c r="E114" s="110"/>
      <c r="F114" s="118"/>
      <c r="G114" s="840">
        <f>E132</f>
        <v>19.130000000000003</v>
      </c>
      <c r="H114" s="840"/>
      <c r="I114" s="118" t="s">
        <v>1600</v>
      </c>
      <c r="J114" s="110"/>
      <c r="K114" s="110"/>
      <c r="L114" s="110"/>
      <c r="M114" s="110"/>
      <c r="N114" s="110"/>
      <c r="O114" s="110"/>
      <c r="P114" s="110"/>
      <c r="Q114" s="277"/>
    </row>
    <row r="115" spans="1:17" ht="14.25" customHeight="1">
      <c r="A115" s="130"/>
      <c r="B115" s="280"/>
      <c r="C115" s="118" t="s">
        <v>1704</v>
      </c>
      <c r="D115" s="110" t="s">
        <v>3101</v>
      </c>
      <c r="E115" s="110"/>
      <c r="F115" s="110"/>
      <c r="G115" s="110"/>
      <c r="H115" s="280"/>
      <c r="I115" s="110"/>
      <c r="J115" s="110"/>
      <c r="K115" s="110"/>
      <c r="L115" s="110"/>
      <c r="M115" s="110"/>
      <c r="N115" s="110"/>
      <c r="O115" s="110"/>
      <c r="P115" s="110"/>
      <c r="Q115" s="277"/>
    </row>
    <row r="116" spans="1:17" ht="14.25" customHeight="1">
      <c r="A116" s="130"/>
      <c r="B116" s="110"/>
      <c r="C116" s="118" t="s">
        <v>1706</v>
      </c>
      <c r="D116" s="110" t="s">
        <v>1707</v>
      </c>
      <c r="E116" s="838">
        <f>E124</f>
        <v>5.41</v>
      </c>
      <c r="F116" s="838"/>
      <c r="G116" s="110" t="s">
        <v>402</v>
      </c>
      <c r="H116" s="285" t="s">
        <v>403</v>
      </c>
      <c r="I116" s="118"/>
      <c r="J116" s="118"/>
      <c r="K116" s="110"/>
      <c r="L116" s="118"/>
      <c r="M116" s="286"/>
      <c r="N116" s="286"/>
      <c r="O116" s="118"/>
      <c r="P116" s="110"/>
      <c r="Q116" s="277"/>
    </row>
    <row r="117" spans="1:17" ht="14.25" customHeight="1">
      <c r="A117" s="130"/>
      <c r="B117" s="110"/>
      <c r="C117" s="118"/>
      <c r="E117" s="288"/>
      <c r="F117" s="286"/>
      <c r="G117" s="110"/>
      <c r="H117" s="285"/>
      <c r="I117" s="118"/>
      <c r="J117" s="118"/>
      <c r="K117" s="110"/>
      <c r="L117" s="118"/>
      <c r="M117" s="286"/>
      <c r="N117" s="286"/>
      <c r="O117" s="118"/>
      <c r="P117" s="110"/>
      <c r="Q117" s="277"/>
    </row>
    <row r="118" spans="1:17" ht="14.25" customHeight="1">
      <c r="A118" s="130"/>
      <c r="B118" s="110"/>
      <c r="C118" s="118"/>
      <c r="D118" s="118" t="s">
        <v>404</v>
      </c>
      <c r="E118" s="846">
        <v>18</v>
      </c>
      <c r="F118" s="846"/>
      <c r="G118" s="110" t="s">
        <v>405</v>
      </c>
      <c r="H118" s="285" t="s">
        <v>406</v>
      </c>
      <c r="I118" s="118"/>
      <c r="J118" s="109"/>
      <c r="K118" s="110"/>
      <c r="L118" s="109"/>
      <c r="M118" s="286"/>
      <c r="N118" s="286"/>
      <c r="O118" s="118"/>
      <c r="P118" s="110"/>
      <c r="Q118" s="277"/>
    </row>
    <row r="119" spans="1:17" ht="14.25" customHeight="1">
      <c r="A119" s="130"/>
      <c r="B119" s="110"/>
      <c r="C119" s="118"/>
      <c r="D119" s="280"/>
      <c r="E119" s="288"/>
      <c r="F119" s="286"/>
      <c r="G119" s="110"/>
      <c r="H119" s="285"/>
      <c r="I119" s="307"/>
      <c r="K119" s="110"/>
      <c r="L119" s="118"/>
      <c r="M119" s="286"/>
      <c r="N119" s="286"/>
      <c r="O119" s="118"/>
      <c r="P119" s="110"/>
      <c r="Q119" s="277"/>
    </row>
    <row r="120" spans="1:17" ht="14.25" customHeight="1">
      <c r="A120" s="130"/>
      <c r="B120" s="110"/>
      <c r="C120" s="118"/>
      <c r="D120" s="110" t="s">
        <v>407</v>
      </c>
      <c r="E120" s="288" t="s">
        <v>408</v>
      </c>
      <c r="F120" s="286"/>
      <c r="G120" s="110"/>
      <c r="H120" s="308" t="s">
        <v>409</v>
      </c>
      <c r="I120" s="118">
        <v>0.9</v>
      </c>
      <c r="J120" s="118"/>
      <c r="K120" s="110"/>
      <c r="L120" s="118"/>
      <c r="M120" s="286"/>
      <c r="N120" s="286"/>
      <c r="O120" s="118"/>
      <c r="P120" s="110"/>
      <c r="Q120" s="277"/>
    </row>
    <row r="121" spans="1:17" ht="14.25" customHeight="1">
      <c r="A121" s="130"/>
      <c r="B121" s="110"/>
      <c r="C121" s="118"/>
      <c r="D121" s="110" t="s">
        <v>410</v>
      </c>
      <c r="E121" s="838">
        <f>L111</f>
        <v>1.95</v>
      </c>
      <c r="F121" s="838"/>
      <c r="G121" s="118" t="s">
        <v>411</v>
      </c>
      <c r="H121" s="285">
        <f>L99</f>
        <v>0.2</v>
      </c>
      <c r="I121" s="118" t="s">
        <v>86</v>
      </c>
      <c r="J121" s="118">
        <f>I120</f>
        <v>0.9</v>
      </c>
      <c r="K121" s="110" t="s">
        <v>412</v>
      </c>
      <c r="L121" s="118">
        <f>TRUNC(E121/(H121*J121),2)</f>
        <v>10.83</v>
      </c>
      <c r="M121" s="286" t="s">
        <v>969</v>
      </c>
      <c r="N121" s="286"/>
      <c r="O121" s="118"/>
      <c r="P121" s="110"/>
      <c r="Q121" s="277"/>
    </row>
    <row r="122" spans="1:17" ht="14.25" customHeight="1">
      <c r="A122" s="130"/>
      <c r="B122" s="110"/>
      <c r="C122" s="118"/>
      <c r="D122" s="110" t="s">
        <v>413</v>
      </c>
      <c r="E122" s="838">
        <v>0.6</v>
      </c>
      <c r="F122" s="838"/>
      <c r="G122" s="118"/>
      <c r="H122" s="285"/>
      <c r="I122" s="118"/>
      <c r="J122" s="118"/>
      <c r="K122" s="110"/>
      <c r="L122" s="118"/>
      <c r="M122" s="286"/>
      <c r="N122" s="286"/>
      <c r="O122" s="118"/>
      <c r="P122" s="110"/>
      <c r="Q122" s="277"/>
    </row>
    <row r="123" spans="1:17" ht="14.25" customHeight="1">
      <c r="A123" s="130"/>
      <c r="B123" s="110"/>
      <c r="C123" s="118" t="s">
        <v>1601</v>
      </c>
      <c r="D123" s="110" t="s">
        <v>1709</v>
      </c>
      <c r="E123" s="845">
        <f>E118</f>
        <v>18</v>
      </c>
      <c r="F123" s="845"/>
      <c r="G123" s="118" t="s">
        <v>972</v>
      </c>
      <c r="H123" s="285">
        <f>L121</f>
        <v>10.83</v>
      </c>
      <c r="I123" s="118" t="s">
        <v>414</v>
      </c>
      <c r="J123" s="118">
        <v>60</v>
      </c>
      <c r="K123" s="118" t="s">
        <v>972</v>
      </c>
      <c r="L123" s="282">
        <f>E122</f>
        <v>0.6</v>
      </c>
      <c r="M123" s="288" t="s">
        <v>2112</v>
      </c>
      <c r="N123" s="286"/>
      <c r="O123" s="118"/>
      <c r="P123" s="110"/>
      <c r="Q123" s="277"/>
    </row>
    <row r="124" spans="1:17" ht="14.25" customHeight="1">
      <c r="A124" s="130"/>
      <c r="B124" s="110"/>
      <c r="C124" s="118"/>
      <c r="D124" s="110" t="s">
        <v>410</v>
      </c>
      <c r="E124" s="838">
        <f>TRUNC((E123*H123)/(J123*L123),2)</f>
        <v>5.41</v>
      </c>
      <c r="F124" s="838"/>
      <c r="G124" s="110" t="s">
        <v>415</v>
      </c>
      <c r="H124" s="287"/>
      <c r="I124" s="118"/>
      <c r="J124" s="118"/>
      <c r="K124" s="118"/>
      <c r="L124" s="118"/>
      <c r="M124" s="286"/>
      <c r="N124" s="286"/>
      <c r="O124" s="118"/>
      <c r="P124" s="110"/>
      <c r="Q124" s="277"/>
    </row>
    <row r="125" spans="1:17" ht="14.25" customHeight="1">
      <c r="A125" s="130"/>
      <c r="B125" s="110"/>
      <c r="C125" s="118" t="s">
        <v>2110</v>
      </c>
      <c r="D125" s="110" t="s">
        <v>381</v>
      </c>
      <c r="E125" s="791">
        <f>J128</f>
        <v>12</v>
      </c>
      <c r="F125" s="791"/>
      <c r="G125" s="110" t="s">
        <v>382</v>
      </c>
      <c r="H125" s="118"/>
      <c r="I125" s="110"/>
      <c r="J125" s="110"/>
      <c r="K125" s="110"/>
      <c r="L125" s="118"/>
      <c r="M125" s="118"/>
      <c r="N125" s="118"/>
      <c r="O125" s="110"/>
      <c r="P125" s="110"/>
      <c r="Q125" s="277"/>
    </row>
    <row r="126" spans="1:17" ht="14.25" customHeight="1">
      <c r="A126" s="130"/>
      <c r="B126" s="110"/>
      <c r="C126" s="280" t="s">
        <v>2111</v>
      </c>
      <c r="D126" s="118">
        <f>H103</f>
        <v>1</v>
      </c>
      <c r="E126" s="118" t="s">
        <v>300</v>
      </c>
      <c r="F126" s="118">
        <f>K103</f>
        <v>10</v>
      </c>
      <c r="G126" s="110" t="s">
        <v>383</v>
      </c>
      <c r="H126" s="118">
        <f>H103</f>
        <v>1</v>
      </c>
      <c r="I126" s="118" t="s">
        <v>300</v>
      </c>
      <c r="J126" s="118">
        <f>O103</f>
        <v>10</v>
      </c>
      <c r="K126" s="118" t="s">
        <v>304</v>
      </c>
      <c r="L126" s="118"/>
      <c r="M126" s="118"/>
      <c r="N126" s="118"/>
      <c r="O126" s="118"/>
      <c r="P126" s="110"/>
      <c r="Q126" s="277"/>
    </row>
    <row r="127" spans="1:17" ht="14.25" customHeight="1">
      <c r="A127" s="130"/>
      <c r="B127" s="110"/>
      <c r="C127" s="309"/>
      <c r="D127" s="118"/>
      <c r="E127" s="118"/>
      <c r="F127" s="118"/>
      <c r="G127" s="110"/>
      <c r="H127" s="118"/>
      <c r="I127" s="118"/>
      <c r="J127" s="118"/>
      <c r="K127" s="118"/>
      <c r="L127" s="118"/>
      <c r="M127" s="118"/>
      <c r="N127" s="118"/>
      <c r="O127" s="118"/>
      <c r="P127" s="110"/>
      <c r="Q127" s="277"/>
    </row>
    <row r="128" spans="1:17" ht="14.25" customHeight="1">
      <c r="A128" s="130"/>
      <c r="B128" s="110"/>
      <c r="C128" s="118"/>
      <c r="D128" s="280" t="s">
        <v>1582</v>
      </c>
      <c r="E128" s="791">
        <f>(D126/F126)+(H126/J126)</f>
        <v>0.2</v>
      </c>
      <c r="F128" s="791"/>
      <c r="G128" s="110" t="s">
        <v>384</v>
      </c>
      <c r="H128" s="118">
        <v>60</v>
      </c>
      <c r="I128" s="118" t="s">
        <v>1582</v>
      </c>
      <c r="J128" s="283">
        <f>TRUNC(E128*H128,2)</f>
        <v>12</v>
      </c>
      <c r="K128" s="286" t="s">
        <v>1600</v>
      </c>
      <c r="L128" s="110"/>
      <c r="M128" s="110"/>
      <c r="N128" s="118"/>
      <c r="O128" s="110"/>
      <c r="P128" s="110"/>
      <c r="Q128" s="277"/>
    </row>
    <row r="129" spans="1:18" ht="14.25" customHeight="1">
      <c r="A129" s="130"/>
      <c r="B129" s="110"/>
      <c r="C129" s="118" t="s">
        <v>2113</v>
      </c>
      <c r="D129" s="110" t="s">
        <v>385</v>
      </c>
      <c r="E129" s="840">
        <v>0.8</v>
      </c>
      <c r="F129" s="840"/>
      <c r="G129" s="110" t="s">
        <v>1600</v>
      </c>
      <c r="H129" s="118"/>
      <c r="I129" s="110"/>
      <c r="J129" s="118"/>
      <c r="K129" s="110"/>
      <c r="L129" s="110"/>
      <c r="M129" s="110"/>
      <c r="N129" s="110"/>
      <c r="O129" s="110"/>
      <c r="P129" s="110"/>
      <c r="Q129" s="277"/>
    </row>
    <row r="130" spans="1:18" ht="14.25" customHeight="1">
      <c r="A130" s="130"/>
      <c r="B130" s="110"/>
      <c r="C130" s="118" t="s">
        <v>2114</v>
      </c>
      <c r="D130" s="110" t="s">
        <v>387</v>
      </c>
      <c r="E130" s="791">
        <v>0.42</v>
      </c>
      <c r="F130" s="791"/>
      <c r="G130" s="110" t="s">
        <v>388</v>
      </c>
      <c r="H130" s="118"/>
      <c r="I130" s="110"/>
      <c r="J130" s="110"/>
      <c r="K130" s="110"/>
      <c r="L130" s="110"/>
      <c r="M130" s="118"/>
      <c r="N130" s="118"/>
      <c r="O130" s="110"/>
      <c r="P130" s="110"/>
      <c r="Q130" s="277"/>
    </row>
    <row r="131" spans="1:18" ht="14.25" customHeight="1">
      <c r="A131" s="130"/>
      <c r="B131" s="110"/>
      <c r="C131" s="118" t="s">
        <v>3102</v>
      </c>
      <c r="D131" s="110" t="s">
        <v>389</v>
      </c>
      <c r="E131" s="791">
        <v>0.5</v>
      </c>
      <c r="F131" s="791"/>
      <c r="G131" s="110" t="s">
        <v>390</v>
      </c>
      <c r="H131" s="110"/>
      <c r="I131" s="110"/>
      <c r="J131" s="110"/>
      <c r="K131" s="110"/>
      <c r="L131" s="110"/>
      <c r="M131" s="110"/>
      <c r="N131" s="110"/>
      <c r="O131" s="110"/>
      <c r="P131" s="110"/>
      <c r="Q131" s="277"/>
    </row>
    <row r="132" spans="1:18" ht="14.25" customHeight="1">
      <c r="A132" s="130"/>
      <c r="B132" s="110"/>
      <c r="C132" s="118"/>
      <c r="D132" s="118" t="s">
        <v>1454</v>
      </c>
      <c r="E132" s="840">
        <f>E116+E125+E129+E130+E131</f>
        <v>19.130000000000003</v>
      </c>
      <c r="F132" s="840"/>
      <c r="G132" s="110" t="s">
        <v>1600</v>
      </c>
      <c r="H132" s="110"/>
      <c r="I132" s="110"/>
      <c r="J132" s="110"/>
      <c r="K132" s="110"/>
      <c r="L132" s="110"/>
      <c r="M132" s="110"/>
      <c r="N132" s="110"/>
      <c r="O132" s="110"/>
      <c r="P132" s="110"/>
      <c r="Q132" s="277"/>
    </row>
    <row r="133" spans="1:18" ht="14.25" customHeight="1">
      <c r="A133" s="130"/>
      <c r="B133" s="118"/>
      <c r="C133" s="118"/>
      <c r="D133" s="110"/>
      <c r="E133" s="118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277"/>
    </row>
    <row r="134" spans="1:18" ht="14.25" customHeight="1">
      <c r="A134" s="130" t="s">
        <v>391</v>
      </c>
      <c r="B134" s="110" t="s">
        <v>392</v>
      </c>
      <c r="C134" s="118"/>
      <c r="D134" s="110"/>
      <c r="E134" s="118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277"/>
    </row>
    <row r="135" spans="1:18" ht="14.25" customHeight="1">
      <c r="A135" s="130"/>
      <c r="B135" s="28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277"/>
    </row>
    <row r="136" spans="1:18" ht="14.25" customHeight="1">
      <c r="A136" s="841"/>
      <c r="B136" s="791" t="s">
        <v>1111</v>
      </c>
      <c r="C136" s="791" t="s">
        <v>1582</v>
      </c>
      <c r="D136" s="280" t="s">
        <v>393</v>
      </c>
      <c r="E136" s="286">
        <f>G112</f>
        <v>0.8</v>
      </c>
      <c r="F136" s="118" t="s">
        <v>972</v>
      </c>
      <c r="G136" s="282">
        <f>L111</f>
        <v>1.95</v>
      </c>
      <c r="H136" s="118" t="s">
        <v>972</v>
      </c>
      <c r="I136" s="118">
        <f>G113</f>
        <v>0.9</v>
      </c>
      <c r="J136" s="791" t="s">
        <v>1582</v>
      </c>
      <c r="K136" s="837">
        <f>TRUNC(E136*G136*I136*60,3)</f>
        <v>84.24</v>
      </c>
      <c r="L136" s="837"/>
      <c r="M136" s="791" t="s">
        <v>1582</v>
      </c>
      <c r="N136" s="838">
        <f>TRUNC(K136/K137,2)</f>
        <v>4.4000000000000004</v>
      </c>
      <c r="O136" s="838"/>
      <c r="P136" s="110" t="s">
        <v>301</v>
      </c>
      <c r="Q136" s="277"/>
    </row>
    <row r="137" spans="1:18" ht="14.25" customHeight="1">
      <c r="A137" s="841"/>
      <c r="B137" s="791"/>
      <c r="C137" s="791"/>
      <c r="D137" s="850">
        <f>G114</f>
        <v>19.130000000000003</v>
      </c>
      <c r="E137" s="850"/>
      <c r="F137" s="850"/>
      <c r="G137" s="850"/>
      <c r="H137" s="850"/>
      <c r="I137" s="850"/>
      <c r="J137" s="791"/>
      <c r="K137" s="839">
        <f>D137</f>
        <v>19.130000000000003</v>
      </c>
      <c r="L137" s="839"/>
      <c r="M137" s="791"/>
      <c r="N137" s="838"/>
      <c r="O137" s="838"/>
      <c r="P137" s="110"/>
      <c r="Q137" s="277" t="s">
        <v>394</v>
      </c>
    </row>
    <row r="138" spans="1:18" ht="14.25" customHeight="1">
      <c r="A138" s="13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277"/>
    </row>
    <row r="139" spans="1:18" ht="14.25" customHeight="1">
      <c r="A139" s="130"/>
      <c r="B139" s="110"/>
      <c r="C139" s="110"/>
      <c r="D139" s="110" t="s">
        <v>395</v>
      </c>
      <c r="E139" s="110"/>
      <c r="F139" s="835">
        <f>중기사용료!$M$473</f>
        <v>4461</v>
      </c>
      <c r="G139" s="835"/>
      <c r="H139" s="286" t="s">
        <v>975</v>
      </c>
      <c r="I139" s="118" t="s">
        <v>300</v>
      </c>
      <c r="J139" s="285">
        <f>N136</f>
        <v>4.4000000000000004</v>
      </c>
      <c r="K139" s="282" t="s">
        <v>1582</v>
      </c>
      <c r="L139" s="121">
        <f>TRUNC(F139/J139)</f>
        <v>1013</v>
      </c>
      <c r="M139" s="118" t="s">
        <v>975</v>
      </c>
      <c r="N139" s="303" t="s">
        <v>416</v>
      </c>
      <c r="O139" s="110"/>
      <c r="P139" s="110"/>
      <c r="Q139" s="277"/>
    </row>
    <row r="140" spans="1:18" ht="14.25" customHeight="1">
      <c r="A140" s="130"/>
      <c r="B140" s="110"/>
      <c r="C140" s="118"/>
      <c r="D140" s="110"/>
      <c r="E140" s="290"/>
      <c r="F140" s="291"/>
      <c r="G140" s="291"/>
      <c r="H140" s="118"/>
      <c r="I140" s="110"/>
      <c r="J140" s="110"/>
      <c r="K140" s="285"/>
      <c r="L140" s="121"/>
      <c r="M140" s="118"/>
      <c r="N140" s="303"/>
      <c r="O140" s="110"/>
      <c r="P140" s="110"/>
      <c r="Q140" s="277"/>
    </row>
    <row r="141" spans="1:18" ht="14.25" customHeight="1">
      <c r="A141" s="130"/>
      <c r="B141" s="110"/>
      <c r="C141" s="110"/>
      <c r="D141" s="110" t="s">
        <v>396</v>
      </c>
      <c r="E141" s="110"/>
      <c r="F141" s="835">
        <f>중기사용료!$M$467</f>
        <v>24483</v>
      </c>
      <c r="G141" s="835"/>
      <c r="H141" s="286" t="s">
        <v>975</v>
      </c>
      <c r="I141" s="118" t="s">
        <v>300</v>
      </c>
      <c r="J141" s="285">
        <f>N136</f>
        <v>4.4000000000000004</v>
      </c>
      <c r="K141" s="282" t="s">
        <v>1582</v>
      </c>
      <c r="L141" s="121">
        <f>TRUNC(F141/J141)</f>
        <v>5564</v>
      </c>
      <c r="M141" s="118" t="s">
        <v>975</v>
      </c>
      <c r="N141" s="303" t="s">
        <v>416</v>
      </c>
      <c r="O141" s="110"/>
      <c r="P141" s="110"/>
      <c r="Q141" s="277"/>
    </row>
    <row r="142" spans="1:18" ht="14.25" customHeight="1">
      <c r="A142" s="130"/>
      <c r="B142" s="110"/>
      <c r="C142" s="118"/>
      <c r="D142" s="110"/>
      <c r="E142" s="290"/>
      <c r="F142" s="291"/>
      <c r="G142" s="291"/>
      <c r="H142" s="118"/>
      <c r="I142" s="110"/>
      <c r="J142" s="110"/>
      <c r="K142" s="285"/>
      <c r="L142" s="121"/>
      <c r="M142" s="118"/>
      <c r="N142" s="303"/>
      <c r="O142" s="110"/>
      <c r="P142" s="110"/>
      <c r="Q142" s="277"/>
      <c r="R142" s="272" t="s">
        <v>1436</v>
      </c>
    </row>
    <row r="143" spans="1:18" ht="14.25" customHeight="1">
      <c r="A143" s="130"/>
      <c r="B143" s="110"/>
      <c r="C143" s="110"/>
      <c r="D143" s="110" t="s">
        <v>398</v>
      </c>
      <c r="E143" s="110"/>
      <c r="F143" s="835">
        <f>중기사용료!$M$461</f>
        <v>5567</v>
      </c>
      <c r="G143" s="835"/>
      <c r="H143" s="118" t="s">
        <v>975</v>
      </c>
      <c r="I143" s="118" t="s">
        <v>300</v>
      </c>
      <c r="J143" s="285">
        <f>N136</f>
        <v>4.4000000000000004</v>
      </c>
      <c r="K143" s="282" t="s">
        <v>1582</v>
      </c>
      <c r="L143" s="121">
        <f>TRUNC(F143/J143)</f>
        <v>1265</v>
      </c>
      <c r="M143" s="121" t="s">
        <v>975</v>
      </c>
      <c r="N143" s="303" t="s">
        <v>416</v>
      </c>
      <c r="O143" s="110"/>
      <c r="P143" s="110"/>
      <c r="Q143" s="277"/>
    </row>
    <row r="144" spans="1:18" ht="14.25" customHeight="1">
      <c r="A144" s="130"/>
      <c r="B144" s="110"/>
      <c r="C144" s="118"/>
      <c r="D144" s="110"/>
      <c r="E144" s="110"/>
      <c r="F144" s="110"/>
      <c r="G144" s="110"/>
      <c r="H144" s="110"/>
      <c r="I144" s="110"/>
      <c r="J144" s="110"/>
      <c r="K144" s="110"/>
      <c r="L144" s="110"/>
      <c r="M144" s="118"/>
      <c r="N144" s="303"/>
      <c r="O144" s="110"/>
      <c r="P144" s="110"/>
      <c r="Q144" s="277"/>
    </row>
    <row r="145" spans="1:18" s="302" customFormat="1" ht="14.25" customHeight="1">
      <c r="A145" s="162"/>
      <c r="B145" s="164"/>
      <c r="C145" s="164"/>
      <c r="D145" s="164"/>
      <c r="E145" s="164"/>
      <c r="F145" s="299"/>
      <c r="G145" s="299"/>
      <c r="H145" s="299"/>
      <c r="I145" s="165"/>
      <c r="J145" s="164"/>
      <c r="K145" s="165" t="s">
        <v>1454</v>
      </c>
      <c r="L145" s="292">
        <f>SUM(L139,L141,L143)</f>
        <v>7842</v>
      </c>
      <c r="M145" s="164" t="s">
        <v>975</v>
      </c>
      <c r="N145" s="310" t="s">
        <v>416</v>
      </c>
      <c r="O145" s="300"/>
      <c r="P145" s="164"/>
      <c r="Q145" s="301"/>
      <c r="R145" s="272"/>
    </row>
    <row r="146" spans="1:18" ht="14.25" customHeight="1">
      <c r="A146" s="135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293"/>
    </row>
    <row r="147" spans="1:18" ht="14.25" customHeight="1">
      <c r="C147" s="177"/>
      <c r="E147" s="304"/>
      <c r="H147" s="177"/>
      <c r="I147" s="177"/>
      <c r="K147" s="305"/>
      <c r="L147" s="177"/>
      <c r="M147" s="161"/>
      <c r="N147" s="161"/>
      <c r="O147" s="177"/>
    </row>
    <row r="148" spans="1:18" s="265" customFormat="1" ht="14.25" customHeight="1">
      <c r="A148" s="306"/>
      <c r="B148" s="262" t="s">
        <v>1147</v>
      </c>
      <c r="C148" s="262"/>
      <c r="D148" s="262"/>
      <c r="E148" s="262"/>
      <c r="F148" s="262"/>
      <c r="G148" s="262"/>
      <c r="H148" s="263" t="s">
        <v>1418</v>
      </c>
      <c r="I148" s="263">
        <v>4.5</v>
      </c>
      <c r="J148" s="262" t="s">
        <v>1419</v>
      </c>
      <c r="K148" s="262"/>
      <c r="L148" s="263">
        <v>0.2</v>
      </c>
      <c r="M148" s="262" t="s">
        <v>1420</v>
      </c>
      <c r="N148" s="262"/>
      <c r="O148" s="261"/>
      <c r="P148" s="261"/>
      <c r="Q148" s="264"/>
      <c r="R148" s="265" t="s">
        <v>3299</v>
      </c>
    </row>
    <row r="149" spans="1:18" ht="14.25" customHeight="1">
      <c r="A149" s="266"/>
      <c r="B149" s="126"/>
      <c r="C149" s="126"/>
      <c r="D149" s="126"/>
      <c r="E149" s="267"/>
      <c r="F149" s="267"/>
      <c r="G149" s="268"/>
      <c r="H149" s="267"/>
      <c r="I149" s="267"/>
      <c r="J149" s="267"/>
      <c r="K149" s="267"/>
      <c r="L149" s="269"/>
      <c r="M149" s="270"/>
      <c r="N149" s="270"/>
      <c r="O149" s="126"/>
      <c r="P149" s="126"/>
      <c r="Q149" s="271"/>
    </row>
    <row r="150" spans="1:18" ht="14.25" customHeight="1">
      <c r="A150" s="273"/>
      <c r="B150" s="110" t="s">
        <v>1592</v>
      </c>
      <c r="C150" s="33" t="s">
        <v>1593</v>
      </c>
      <c r="D150" s="274"/>
      <c r="E150" s="275"/>
      <c r="F150" s="275"/>
      <c r="G150" s="121"/>
      <c r="H150" s="275"/>
      <c r="I150" s="275"/>
      <c r="J150" s="275"/>
      <c r="K150" s="275"/>
      <c r="L150" s="33"/>
      <c r="M150" s="276"/>
      <c r="N150" s="276"/>
      <c r="O150" s="110"/>
      <c r="P150" s="110"/>
      <c r="Q150" s="277"/>
    </row>
    <row r="151" spans="1:18" ht="14.25" customHeight="1">
      <c r="A151" s="273"/>
      <c r="Q151" s="277"/>
    </row>
    <row r="152" spans="1:18" ht="14.25" customHeight="1">
      <c r="A152" s="273"/>
      <c r="B152" s="118" t="s">
        <v>2267</v>
      </c>
      <c r="C152" s="110" t="s">
        <v>1422</v>
      </c>
      <c r="D152" s="110"/>
      <c r="E152" s="110"/>
      <c r="F152" s="110"/>
      <c r="G152" s="275" t="s">
        <v>1594</v>
      </c>
      <c r="H152" s="275">
        <v>1</v>
      </c>
      <c r="I152" s="275" t="s">
        <v>1595</v>
      </c>
      <c r="J152" s="274" t="s">
        <v>1596</v>
      </c>
      <c r="K152" s="110">
        <v>10</v>
      </c>
      <c r="L152" s="110" t="s">
        <v>1595</v>
      </c>
      <c r="M152" s="33" t="s">
        <v>1597</v>
      </c>
      <c r="N152" s="118"/>
      <c r="O152" s="110">
        <v>10</v>
      </c>
      <c r="P152" s="275" t="s">
        <v>1595</v>
      </c>
      <c r="Q152" s="277"/>
    </row>
    <row r="153" spans="1:18" ht="14.25" customHeight="1">
      <c r="A153" s="273"/>
      <c r="B153" s="118"/>
      <c r="C153" s="110"/>
      <c r="D153" s="110"/>
      <c r="E153" s="110"/>
      <c r="F153" s="110"/>
      <c r="G153" s="275"/>
      <c r="H153" s="275"/>
      <c r="I153" s="275"/>
      <c r="J153" s="274"/>
      <c r="K153" s="110"/>
      <c r="L153" s="110"/>
      <c r="M153" s="33"/>
      <c r="N153" s="118"/>
      <c r="O153" s="110"/>
      <c r="P153" s="275"/>
      <c r="Q153" s="277"/>
    </row>
    <row r="154" spans="1:18" ht="14.25" customHeight="1">
      <c r="A154" s="273"/>
      <c r="B154" s="110"/>
      <c r="C154" s="274"/>
      <c r="D154" s="274"/>
      <c r="E154" s="275"/>
      <c r="F154" s="275"/>
      <c r="G154" s="121"/>
      <c r="H154" s="275"/>
      <c r="I154" s="275"/>
      <c r="J154" s="275"/>
      <c r="K154" s="275"/>
      <c r="L154" s="33"/>
      <c r="M154" s="276"/>
      <c r="N154" s="276"/>
      <c r="O154" s="110"/>
      <c r="P154" s="110"/>
      <c r="Q154" s="277"/>
    </row>
    <row r="155" spans="1:18" ht="14.25" customHeight="1">
      <c r="A155" s="130"/>
      <c r="B155" s="110" t="s">
        <v>1592</v>
      </c>
      <c r="C155" s="110" t="s">
        <v>1198</v>
      </c>
      <c r="D155" s="110"/>
      <c r="E155" s="110"/>
      <c r="F155" s="110"/>
      <c r="G155" s="110"/>
      <c r="H155" s="110"/>
      <c r="I155" s="110"/>
      <c r="J155" s="110" t="s">
        <v>400</v>
      </c>
      <c r="K155" s="110"/>
      <c r="L155" s="118">
        <v>1.6</v>
      </c>
      <c r="M155" s="110" t="s">
        <v>1805</v>
      </c>
      <c r="N155" s="110"/>
      <c r="O155" s="110"/>
      <c r="P155" s="110"/>
      <c r="Q155" s="277"/>
    </row>
    <row r="156" spans="1:18" ht="14.25" customHeight="1">
      <c r="A156" s="130"/>
      <c r="B156" s="118"/>
      <c r="C156" s="791" t="s">
        <v>1806</v>
      </c>
      <c r="D156" s="791" t="s">
        <v>1807</v>
      </c>
      <c r="E156" s="791"/>
      <c r="F156" s="791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277"/>
    </row>
    <row r="157" spans="1:18" ht="14.25" customHeight="1">
      <c r="A157" s="130"/>
      <c r="B157" s="118"/>
      <c r="C157" s="791"/>
      <c r="D157" s="843" t="s">
        <v>1583</v>
      </c>
      <c r="E157" s="843"/>
      <c r="F157" s="843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277"/>
    </row>
    <row r="158" spans="1:18" ht="14.25" customHeight="1">
      <c r="A158" s="13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277"/>
    </row>
    <row r="159" spans="1:18" ht="14.25" customHeight="1">
      <c r="A159" s="130"/>
      <c r="B159" s="280"/>
      <c r="C159" s="118" t="s">
        <v>1808</v>
      </c>
      <c r="D159" s="110" t="s">
        <v>1809</v>
      </c>
      <c r="E159" s="110"/>
      <c r="F159" s="110"/>
      <c r="G159" s="118"/>
      <c r="H159" s="280"/>
      <c r="I159" s="118"/>
      <c r="J159" s="110"/>
      <c r="K159" s="110"/>
      <c r="L159" s="110"/>
      <c r="M159" s="110"/>
      <c r="N159" s="110"/>
      <c r="O159" s="110"/>
      <c r="P159" s="110"/>
      <c r="Q159" s="277"/>
    </row>
    <row r="160" spans="1:18" ht="14.25" customHeight="1">
      <c r="A160" s="130"/>
      <c r="B160" s="280"/>
      <c r="C160" s="118" t="s">
        <v>298</v>
      </c>
      <c r="D160" s="110" t="s">
        <v>299</v>
      </c>
      <c r="E160" s="118" t="s">
        <v>1526</v>
      </c>
      <c r="F160" s="281">
        <f>I148</f>
        <v>4.5</v>
      </c>
      <c r="G160" s="118" t="s">
        <v>300</v>
      </c>
      <c r="H160" s="118">
        <f>L155</f>
        <v>1.6</v>
      </c>
      <c r="I160" s="118" t="s">
        <v>972</v>
      </c>
      <c r="J160" s="118">
        <v>1.25</v>
      </c>
      <c r="K160" s="118" t="s">
        <v>1582</v>
      </c>
      <c r="L160" s="282">
        <f>TRUNC(F160/H160*J160,2)</f>
        <v>3.51</v>
      </c>
      <c r="M160" s="118" t="s">
        <v>301</v>
      </c>
      <c r="N160" s="110"/>
      <c r="O160" s="110"/>
      <c r="P160" s="110"/>
      <c r="Q160" s="277"/>
    </row>
    <row r="161" spans="1:17" ht="14.25" customHeight="1">
      <c r="A161" s="130"/>
      <c r="B161" s="280"/>
      <c r="C161" s="118" t="s">
        <v>399</v>
      </c>
      <c r="D161" s="110" t="s">
        <v>1156</v>
      </c>
      <c r="E161" s="110"/>
      <c r="F161" s="118" t="s">
        <v>1526</v>
      </c>
      <c r="G161" s="283">
        <f>TRUNC(1/J161,2)</f>
        <v>0.8</v>
      </c>
      <c r="H161" s="280" t="s">
        <v>303</v>
      </c>
      <c r="I161" s="118" t="s">
        <v>300</v>
      </c>
      <c r="J161" s="118">
        <f>J160</f>
        <v>1.25</v>
      </c>
      <c r="K161" s="284" t="s">
        <v>304</v>
      </c>
      <c r="L161" s="110"/>
      <c r="M161" s="110"/>
      <c r="N161" s="110"/>
      <c r="O161" s="110"/>
      <c r="P161" s="110"/>
      <c r="Q161" s="277"/>
    </row>
    <row r="162" spans="1:17" ht="14.25" customHeight="1">
      <c r="A162" s="130"/>
      <c r="B162" s="280"/>
      <c r="C162" s="118" t="s">
        <v>1703</v>
      </c>
      <c r="D162" s="110" t="s">
        <v>1207</v>
      </c>
      <c r="E162" s="110"/>
      <c r="F162" s="118" t="s">
        <v>1526</v>
      </c>
      <c r="G162" s="118">
        <v>0.9</v>
      </c>
      <c r="H162" s="280"/>
      <c r="I162" s="110"/>
      <c r="J162" s="110"/>
      <c r="K162" s="110"/>
      <c r="L162" s="110"/>
      <c r="M162" s="110"/>
      <c r="N162" s="110"/>
      <c r="O162" s="110"/>
      <c r="P162" s="110"/>
      <c r="Q162" s="277"/>
    </row>
    <row r="163" spans="1:17" ht="14.25" customHeight="1">
      <c r="A163" s="130"/>
      <c r="B163" s="280"/>
      <c r="C163" s="118" t="s">
        <v>1704</v>
      </c>
      <c r="D163" s="110" t="s">
        <v>401</v>
      </c>
      <c r="E163" s="110"/>
      <c r="F163" s="118"/>
      <c r="G163" s="840">
        <f>E181</f>
        <v>22.070000000000004</v>
      </c>
      <c r="H163" s="840"/>
      <c r="I163" s="118" t="s">
        <v>1600</v>
      </c>
      <c r="J163" s="110"/>
      <c r="K163" s="110"/>
      <c r="L163" s="110"/>
      <c r="M163" s="110"/>
      <c r="N163" s="110"/>
      <c r="O163" s="110"/>
      <c r="P163" s="110"/>
      <c r="Q163" s="277"/>
    </row>
    <row r="164" spans="1:17" ht="14.25" customHeight="1">
      <c r="A164" s="130"/>
      <c r="B164" s="280"/>
      <c r="C164" s="118" t="s">
        <v>1704</v>
      </c>
      <c r="D164" s="110" t="s">
        <v>1746</v>
      </c>
      <c r="E164" s="110"/>
      <c r="F164" s="110"/>
      <c r="G164" s="110"/>
      <c r="H164" s="280"/>
      <c r="I164" s="110"/>
      <c r="J164" s="110"/>
      <c r="K164" s="110"/>
      <c r="L164" s="110"/>
      <c r="M164" s="110"/>
      <c r="N164" s="110"/>
      <c r="O164" s="110"/>
      <c r="P164" s="110"/>
      <c r="Q164" s="277"/>
    </row>
    <row r="165" spans="1:17" ht="14.25" customHeight="1">
      <c r="A165" s="130"/>
      <c r="B165" s="110"/>
      <c r="C165" s="118" t="s">
        <v>1706</v>
      </c>
      <c r="D165" s="110" t="s">
        <v>1707</v>
      </c>
      <c r="E165" s="838">
        <f>E173</f>
        <v>8.35</v>
      </c>
      <c r="F165" s="838"/>
      <c r="G165" s="110" t="s">
        <v>402</v>
      </c>
      <c r="H165" s="285" t="s">
        <v>403</v>
      </c>
      <c r="I165" s="118"/>
      <c r="J165" s="118"/>
      <c r="K165" s="110"/>
      <c r="L165" s="118"/>
      <c r="M165" s="286"/>
      <c r="N165" s="286"/>
      <c r="O165" s="118"/>
      <c r="P165" s="110"/>
      <c r="Q165" s="277"/>
    </row>
    <row r="166" spans="1:17" ht="14.25" customHeight="1">
      <c r="A166" s="130"/>
      <c r="B166" s="110"/>
      <c r="C166" s="118"/>
      <c r="E166" s="288"/>
      <c r="F166" s="286"/>
      <c r="G166" s="110"/>
      <c r="H166" s="285"/>
      <c r="I166" s="118"/>
      <c r="J166" s="118"/>
      <c r="K166" s="110"/>
      <c r="L166" s="118"/>
      <c r="M166" s="286"/>
      <c r="N166" s="286"/>
      <c r="O166" s="118"/>
      <c r="P166" s="110"/>
      <c r="Q166" s="277"/>
    </row>
    <row r="167" spans="1:17" ht="14.25" customHeight="1">
      <c r="A167" s="130"/>
      <c r="B167" s="110"/>
      <c r="C167" s="118"/>
      <c r="D167" s="118" t="s">
        <v>404</v>
      </c>
      <c r="E167" s="846">
        <v>18</v>
      </c>
      <c r="F167" s="846"/>
      <c r="G167" s="110" t="s">
        <v>405</v>
      </c>
      <c r="H167" s="285" t="s">
        <v>406</v>
      </c>
      <c r="I167" s="118"/>
      <c r="J167" s="109"/>
      <c r="K167" s="110"/>
      <c r="L167" s="109"/>
      <c r="M167" s="286"/>
      <c r="N167" s="286"/>
      <c r="O167" s="118"/>
      <c r="P167" s="110"/>
      <c r="Q167" s="277"/>
    </row>
    <row r="168" spans="1:17" ht="14.25" customHeight="1">
      <c r="A168" s="130"/>
      <c r="B168" s="110"/>
      <c r="C168" s="118"/>
      <c r="D168" s="280"/>
      <c r="E168" s="288"/>
      <c r="F168" s="286"/>
      <c r="G168" s="110"/>
      <c r="H168" s="285"/>
      <c r="I168" s="307"/>
      <c r="K168" s="110"/>
      <c r="L168" s="118"/>
      <c r="M168" s="286"/>
      <c r="N168" s="286"/>
      <c r="O168" s="118"/>
      <c r="P168" s="110"/>
      <c r="Q168" s="277"/>
    </row>
    <row r="169" spans="1:17" ht="14.25" customHeight="1">
      <c r="A169" s="130"/>
      <c r="B169" s="110"/>
      <c r="C169" s="118"/>
      <c r="D169" s="110" t="s">
        <v>407</v>
      </c>
      <c r="E169" s="288" t="s">
        <v>408</v>
      </c>
      <c r="F169" s="286"/>
      <c r="G169" s="110"/>
      <c r="H169" s="308" t="s">
        <v>409</v>
      </c>
      <c r="I169" s="118">
        <v>0.9</v>
      </c>
      <c r="J169" s="118"/>
      <c r="K169" s="110"/>
      <c r="L169" s="118"/>
      <c r="M169" s="286"/>
      <c r="N169" s="286"/>
      <c r="O169" s="118"/>
      <c r="P169" s="110"/>
      <c r="Q169" s="277"/>
    </row>
    <row r="170" spans="1:17" ht="14.25" customHeight="1">
      <c r="A170" s="130"/>
      <c r="B170" s="110"/>
      <c r="C170" s="118"/>
      <c r="D170" s="110" t="s">
        <v>410</v>
      </c>
      <c r="E170" s="838">
        <f>L160</f>
        <v>3.51</v>
      </c>
      <c r="F170" s="838"/>
      <c r="G170" s="118" t="s">
        <v>411</v>
      </c>
      <c r="H170" s="285">
        <f>L148</f>
        <v>0.2</v>
      </c>
      <c r="I170" s="118" t="s">
        <v>86</v>
      </c>
      <c r="J170" s="118">
        <f>I169</f>
        <v>0.9</v>
      </c>
      <c r="K170" s="110" t="s">
        <v>412</v>
      </c>
      <c r="L170" s="118">
        <f>TRUNC(E170/(H170*J170),2)</f>
        <v>19.5</v>
      </c>
      <c r="M170" s="286" t="s">
        <v>969</v>
      </c>
      <c r="N170" s="286"/>
      <c r="O170" s="118"/>
      <c r="P170" s="110"/>
      <c r="Q170" s="277"/>
    </row>
    <row r="171" spans="1:17" ht="14.25" customHeight="1">
      <c r="A171" s="130"/>
      <c r="B171" s="110"/>
      <c r="C171" s="118"/>
      <c r="D171" s="110" t="s">
        <v>413</v>
      </c>
      <c r="E171" s="838">
        <v>0.7</v>
      </c>
      <c r="F171" s="838"/>
      <c r="G171" s="118"/>
      <c r="H171" s="285"/>
      <c r="I171" s="118"/>
      <c r="J171" s="118"/>
      <c r="K171" s="110"/>
      <c r="L171" s="118"/>
      <c r="M171" s="286"/>
      <c r="N171" s="286"/>
      <c r="O171" s="118"/>
      <c r="P171" s="110"/>
      <c r="Q171" s="277"/>
    </row>
    <row r="172" spans="1:17" ht="14.25" customHeight="1">
      <c r="A172" s="130"/>
      <c r="B172" s="110"/>
      <c r="C172" s="118" t="s">
        <v>1601</v>
      </c>
      <c r="D172" s="110" t="s">
        <v>1709</v>
      </c>
      <c r="E172" s="845">
        <f>E167</f>
        <v>18</v>
      </c>
      <c r="F172" s="845"/>
      <c r="G172" s="118" t="s">
        <v>972</v>
      </c>
      <c r="H172" s="285">
        <f>L170</f>
        <v>19.5</v>
      </c>
      <c r="I172" s="118" t="s">
        <v>414</v>
      </c>
      <c r="J172" s="118">
        <v>60</v>
      </c>
      <c r="K172" s="118" t="s">
        <v>972</v>
      </c>
      <c r="L172" s="282">
        <f>E171</f>
        <v>0.7</v>
      </c>
      <c r="M172" s="288" t="s">
        <v>2112</v>
      </c>
      <c r="N172" s="286"/>
      <c r="O172" s="118"/>
      <c r="P172" s="110"/>
      <c r="Q172" s="277"/>
    </row>
    <row r="173" spans="1:17" ht="14.25" customHeight="1">
      <c r="A173" s="130"/>
      <c r="B173" s="110"/>
      <c r="C173" s="118"/>
      <c r="D173" s="110" t="s">
        <v>410</v>
      </c>
      <c r="E173" s="838">
        <f>TRUNC((E172*H172)/(J172*L172),2)</f>
        <v>8.35</v>
      </c>
      <c r="F173" s="838"/>
      <c r="G173" s="110" t="s">
        <v>415</v>
      </c>
      <c r="H173" s="287"/>
      <c r="I173" s="118"/>
      <c r="J173" s="118"/>
      <c r="K173" s="118"/>
      <c r="L173" s="118"/>
      <c r="M173" s="286"/>
      <c r="N173" s="286"/>
      <c r="O173" s="118"/>
      <c r="P173" s="110"/>
      <c r="Q173" s="277"/>
    </row>
    <row r="174" spans="1:17" ht="14.25" customHeight="1">
      <c r="A174" s="130"/>
      <c r="B174" s="110"/>
      <c r="C174" s="118" t="s">
        <v>2110</v>
      </c>
      <c r="D174" s="110" t="s">
        <v>381</v>
      </c>
      <c r="E174" s="791">
        <f>J177</f>
        <v>12</v>
      </c>
      <c r="F174" s="791"/>
      <c r="G174" s="110" t="s">
        <v>382</v>
      </c>
      <c r="H174" s="118"/>
      <c r="I174" s="110"/>
      <c r="J174" s="110"/>
      <c r="K174" s="110"/>
      <c r="L174" s="118"/>
      <c r="M174" s="118"/>
      <c r="N174" s="118"/>
      <c r="O174" s="110"/>
      <c r="P174" s="110"/>
      <c r="Q174" s="277"/>
    </row>
    <row r="175" spans="1:17" ht="14.25" customHeight="1">
      <c r="A175" s="130"/>
      <c r="B175" s="110"/>
      <c r="C175" s="280" t="s">
        <v>2111</v>
      </c>
      <c r="D175" s="118">
        <f>H152</f>
        <v>1</v>
      </c>
      <c r="E175" s="118" t="s">
        <v>300</v>
      </c>
      <c r="F175" s="118">
        <f>K152</f>
        <v>10</v>
      </c>
      <c r="G175" s="110" t="s">
        <v>383</v>
      </c>
      <c r="H175" s="118">
        <f>H152</f>
        <v>1</v>
      </c>
      <c r="I175" s="118" t="s">
        <v>300</v>
      </c>
      <c r="J175" s="118">
        <f>O152</f>
        <v>10</v>
      </c>
      <c r="K175" s="118" t="s">
        <v>304</v>
      </c>
      <c r="L175" s="118"/>
      <c r="M175" s="118"/>
      <c r="N175" s="118"/>
      <c r="O175" s="118"/>
      <c r="P175" s="110"/>
      <c r="Q175" s="277"/>
    </row>
    <row r="176" spans="1:17" ht="14.25" customHeight="1">
      <c r="A176" s="130"/>
      <c r="B176" s="110"/>
      <c r="C176" s="309"/>
      <c r="D176" s="118"/>
      <c r="E176" s="118"/>
      <c r="F176" s="118"/>
      <c r="G176" s="110"/>
      <c r="H176" s="118"/>
      <c r="I176" s="118"/>
      <c r="J176" s="118"/>
      <c r="K176" s="118"/>
      <c r="L176" s="118"/>
      <c r="M176" s="118"/>
      <c r="N176" s="118"/>
      <c r="O176" s="118"/>
      <c r="P176" s="110"/>
      <c r="Q176" s="277"/>
    </row>
    <row r="177" spans="1:18" ht="14.25" customHeight="1">
      <c r="A177" s="130"/>
      <c r="B177" s="110"/>
      <c r="C177" s="118"/>
      <c r="D177" s="280" t="s">
        <v>1582</v>
      </c>
      <c r="E177" s="791">
        <f>(D175/F175)+(H175/J175)</f>
        <v>0.2</v>
      </c>
      <c r="F177" s="791"/>
      <c r="G177" s="110" t="s">
        <v>384</v>
      </c>
      <c r="H177" s="118">
        <v>60</v>
      </c>
      <c r="I177" s="118" t="s">
        <v>1582</v>
      </c>
      <c r="J177" s="283">
        <f>TRUNC(E177*H177,2)</f>
        <v>12</v>
      </c>
      <c r="K177" s="286" t="s">
        <v>1600</v>
      </c>
      <c r="L177" s="110"/>
      <c r="M177" s="110"/>
      <c r="N177" s="118"/>
      <c r="O177" s="110"/>
      <c r="P177" s="110"/>
      <c r="Q177" s="277"/>
    </row>
    <row r="178" spans="1:18" ht="14.25" customHeight="1">
      <c r="A178" s="130"/>
      <c r="B178" s="110"/>
      <c r="C178" s="118" t="s">
        <v>2113</v>
      </c>
      <c r="D178" s="110" t="s">
        <v>385</v>
      </c>
      <c r="E178" s="840">
        <v>0.8</v>
      </c>
      <c r="F178" s="840"/>
      <c r="G178" s="110" t="s">
        <v>1600</v>
      </c>
      <c r="H178" s="118"/>
      <c r="I178" s="110"/>
      <c r="J178" s="118"/>
      <c r="K178" s="110"/>
      <c r="L178" s="110"/>
      <c r="M178" s="110"/>
      <c r="N178" s="110"/>
      <c r="O178" s="110"/>
      <c r="P178" s="110"/>
      <c r="Q178" s="277"/>
    </row>
    <row r="179" spans="1:18" ht="14.25" customHeight="1">
      <c r="A179" s="130"/>
      <c r="B179" s="110"/>
      <c r="C179" s="118" t="s">
        <v>2114</v>
      </c>
      <c r="D179" s="110" t="s">
        <v>387</v>
      </c>
      <c r="E179" s="791">
        <v>0.42</v>
      </c>
      <c r="F179" s="791"/>
      <c r="G179" s="110" t="s">
        <v>388</v>
      </c>
      <c r="H179" s="118"/>
      <c r="I179" s="110"/>
      <c r="J179" s="110"/>
      <c r="K179" s="110"/>
      <c r="L179" s="110"/>
      <c r="M179" s="118"/>
      <c r="N179" s="118"/>
      <c r="O179" s="110"/>
      <c r="P179" s="110"/>
      <c r="Q179" s="277"/>
    </row>
    <row r="180" spans="1:18" ht="14.25" customHeight="1">
      <c r="A180" s="130"/>
      <c r="B180" s="110"/>
      <c r="C180" s="118" t="s">
        <v>3102</v>
      </c>
      <c r="D180" s="110" t="s">
        <v>389</v>
      </c>
      <c r="E180" s="791">
        <v>0.5</v>
      </c>
      <c r="F180" s="791"/>
      <c r="G180" s="110" t="s">
        <v>390</v>
      </c>
      <c r="H180" s="110"/>
      <c r="I180" s="110"/>
      <c r="J180" s="110"/>
      <c r="K180" s="110"/>
      <c r="L180" s="110"/>
      <c r="M180" s="110"/>
      <c r="N180" s="110"/>
      <c r="O180" s="110"/>
      <c r="P180" s="110"/>
      <c r="Q180" s="277"/>
    </row>
    <row r="181" spans="1:18" ht="14.25" customHeight="1">
      <c r="A181" s="130"/>
      <c r="B181" s="110"/>
      <c r="C181" s="118"/>
      <c r="D181" s="118" t="s">
        <v>1454</v>
      </c>
      <c r="E181" s="840">
        <f>E165+E174+E178+E179+E180</f>
        <v>22.070000000000004</v>
      </c>
      <c r="F181" s="840"/>
      <c r="G181" s="110" t="s">
        <v>1600</v>
      </c>
      <c r="H181" s="110"/>
      <c r="I181" s="110"/>
      <c r="J181" s="110"/>
      <c r="K181" s="110"/>
      <c r="L181" s="110"/>
      <c r="M181" s="110"/>
      <c r="N181" s="110"/>
      <c r="O181" s="110"/>
      <c r="P181" s="110"/>
      <c r="Q181" s="277"/>
    </row>
    <row r="182" spans="1:18" ht="14.25" customHeight="1">
      <c r="A182" s="130"/>
      <c r="B182" s="118"/>
      <c r="C182" s="118"/>
      <c r="D182" s="110"/>
      <c r="E182" s="118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277"/>
    </row>
    <row r="183" spans="1:18" ht="14.25" customHeight="1">
      <c r="A183" s="130" t="s">
        <v>391</v>
      </c>
      <c r="B183" s="110" t="s">
        <v>392</v>
      </c>
      <c r="C183" s="118"/>
      <c r="D183" s="110"/>
      <c r="E183" s="118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277"/>
    </row>
    <row r="184" spans="1:18" ht="14.25" customHeight="1">
      <c r="A184" s="130"/>
      <c r="B184" s="28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277"/>
    </row>
    <row r="185" spans="1:18" ht="14.25" customHeight="1">
      <c r="A185" s="841"/>
      <c r="B185" s="791" t="s">
        <v>1111</v>
      </c>
      <c r="C185" s="791" t="s">
        <v>1582</v>
      </c>
      <c r="D185" s="280" t="s">
        <v>393</v>
      </c>
      <c r="E185" s="286">
        <f>G161</f>
        <v>0.8</v>
      </c>
      <c r="F185" s="118" t="s">
        <v>972</v>
      </c>
      <c r="G185" s="282">
        <f>L160</f>
        <v>3.51</v>
      </c>
      <c r="H185" s="118" t="s">
        <v>972</v>
      </c>
      <c r="I185" s="118">
        <f>G162</f>
        <v>0.9</v>
      </c>
      <c r="J185" s="791" t="s">
        <v>1582</v>
      </c>
      <c r="K185" s="837">
        <f>TRUNC(E185*G185*I185*60,3)</f>
        <v>151.63200000000001</v>
      </c>
      <c r="L185" s="837"/>
      <c r="M185" s="791" t="s">
        <v>1582</v>
      </c>
      <c r="N185" s="838">
        <f>TRUNC(K185/K186,2)</f>
        <v>6.87</v>
      </c>
      <c r="O185" s="838"/>
      <c r="P185" s="110" t="s">
        <v>301</v>
      </c>
      <c r="Q185" s="277"/>
    </row>
    <row r="186" spans="1:18" ht="14.25" customHeight="1">
      <c r="A186" s="841"/>
      <c r="B186" s="791"/>
      <c r="C186" s="791"/>
      <c r="D186" s="850">
        <f>G163</f>
        <v>22.070000000000004</v>
      </c>
      <c r="E186" s="850"/>
      <c r="F186" s="850"/>
      <c r="G186" s="850"/>
      <c r="H186" s="850"/>
      <c r="I186" s="850"/>
      <c r="J186" s="791"/>
      <c r="K186" s="839">
        <f>D186</f>
        <v>22.070000000000004</v>
      </c>
      <c r="L186" s="839"/>
      <c r="M186" s="791"/>
      <c r="N186" s="838"/>
      <c r="O186" s="838"/>
      <c r="P186" s="110"/>
      <c r="Q186" s="277" t="s">
        <v>394</v>
      </c>
    </row>
    <row r="187" spans="1:18" ht="14.25" customHeight="1">
      <c r="A187" s="13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277"/>
    </row>
    <row r="188" spans="1:18" ht="14.25" customHeight="1">
      <c r="A188" s="130"/>
      <c r="B188" s="110"/>
      <c r="C188" s="110"/>
      <c r="D188" s="110" t="s">
        <v>395</v>
      </c>
      <c r="E188" s="110"/>
      <c r="F188" s="835">
        <f>중기사용료!$M$492</f>
        <v>7692</v>
      </c>
      <c r="G188" s="835"/>
      <c r="H188" s="286" t="s">
        <v>975</v>
      </c>
      <c r="I188" s="118" t="s">
        <v>300</v>
      </c>
      <c r="J188" s="285">
        <f>N185</f>
        <v>6.87</v>
      </c>
      <c r="K188" s="282" t="s">
        <v>1582</v>
      </c>
      <c r="L188" s="121">
        <f>TRUNC(F188/J188)</f>
        <v>1119</v>
      </c>
      <c r="M188" s="118" t="s">
        <v>975</v>
      </c>
      <c r="N188" s="303" t="s">
        <v>416</v>
      </c>
      <c r="O188" s="110"/>
      <c r="P188" s="110"/>
      <c r="Q188" s="277"/>
    </row>
    <row r="189" spans="1:18" ht="14.25" customHeight="1">
      <c r="A189" s="130"/>
      <c r="B189" s="110"/>
      <c r="C189" s="118"/>
      <c r="D189" s="110"/>
      <c r="E189" s="290"/>
      <c r="F189" s="291"/>
      <c r="G189" s="291"/>
      <c r="H189" s="118"/>
      <c r="I189" s="110"/>
      <c r="J189" s="110"/>
      <c r="K189" s="285"/>
      <c r="L189" s="121"/>
      <c r="M189" s="118"/>
      <c r="N189" s="303"/>
      <c r="O189" s="110"/>
      <c r="P189" s="110"/>
      <c r="Q189" s="277"/>
    </row>
    <row r="190" spans="1:18" ht="14.25" customHeight="1">
      <c r="A190" s="130"/>
      <c r="B190" s="110"/>
      <c r="C190" s="110"/>
      <c r="D190" s="110" t="s">
        <v>396</v>
      </c>
      <c r="E190" s="110"/>
      <c r="F190" s="835">
        <f>중기사용료!$M$486</f>
        <v>24483</v>
      </c>
      <c r="G190" s="835"/>
      <c r="H190" s="286" t="s">
        <v>975</v>
      </c>
      <c r="I190" s="118" t="s">
        <v>300</v>
      </c>
      <c r="J190" s="285">
        <f>N185</f>
        <v>6.87</v>
      </c>
      <c r="K190" s="282" t="s">
        <v>1582</v>
      </c>
      <c r="L190" s="121">
        <f>TRUNC(F190/J190)</f>
        <v>3563</v>
      </c>
      <c r="M190" s="118" t="s">
        <v>975</v>
      </c>
      <c r="N190" s="303" t="s">
        <v>416</v>
      </c>
      <c r="O190" s="110"/>
      <c r="P190" s="110"/>
      <c r="Q190" s="277"/>
    </row>
    <row r="191" spans="1:18" ht="14.25" customHeight="1">
      <c r="A191" s="130"/>
      <c r="B191" s="110"/>
      <c r="C191" s="118"/>
      <c r="D191" s="110"/>
      <c r="E191" s="290"/>
      <c r="F191" s="291"/>
      <c r="G191" s="291"/>
      <c r="H191" s="118"/>
      <c r="I191" s="110"/>
      <c r="J191" s="110"/>
      <c r="K191" s="285"/>
      <c r="L191" s="121"/>
      <c r="M191" s="118"/>
      <c r="N191" s="303"/>
      <c r="O191" s="110"/>
      <c r="P191" s="110"/>
      <c r="Q191" s="277"/>
      <c r="R191" s="272" t="s">
        <v>1436</v>
      </c>
    </row>
    <row r="192" spans="1:18" ht="14.25" customHeight="1">
      <c r="A192" s="130"/>
      <c r="B192" s="110"/>
      <c r="C192" s="110"/>
      <c r="D192" s="110" t="s">
        <v>398</v>
      </c>
      <c r="E192" s="110"/>
      <c r="F192" s="835">
        <f>중기사용료!$M$480</f>
        <v>6499</v>
      </c>
      <c r="G192" s="835"/>
      <c r="H192" s="118" t="s">
        <v>975</v>
      </c>
      <c r="I192" s="118" t="s">
        <v>300</v>
      </c>
      <c r="J192" s="285">
        <f>N185</f>
        <v>6.87</v>
      </c>
      <c r="K192" s="282" t="s">
        <v>1582</v>
      </c>
      <c r="L192" s="121">
        <f>TRUNC(F192/J192)</f>
        <v>945</v>
      </c>
      <c r="M192" s="121" t="s">
        <v>975</v>
      </c>
      <c r="N192" s="303" t="s">
        <v>416</v>
      </c>
      <c r="O192" s="110"/>
      <c r="P192" s="110"/>
      <c r="Q192" s="277"/>
    </row>
    <row r="193" spans="1:18" ht="14.25" customHeight="1">
      <c r="A193" s="130"/>
      <c r="B193" s="110"/>
      <c r="C193" s="118"/>
      <c r="D193" s="110"/>
      <c r="E193" s="110"/>
      <c r="F193" s="110"/>
      <c r="G193" s="110"/>
      <c r="H193" s="110"/>
      <c r="I193" s="110"/>
      <c r="J193" s="110"/>
      <c r="K193" s="110"/>
      <c r="L193" s="110"/>
      <c r="M193" s="118"/>
      <c r="N193" s="303"/>
      <c r="O193" s="110"/>
      <c r="P193" s="110"/>
      <c r="Q193" s="277"/>
    </row>
    <row r="194" spans="1:18" s="302" customFormat="1" ht="14.25" customHeight="1">
      <c r="A194" s="162"/>
      <c r="B194" s="164"/>
      <c r="C194" s="164"/>
      <c r="D194" s="164"/>
      <c r="E194" s="164"/>
      <c r="F194" s="299"/>
      <c r="G194" s="299"/>
      <c r="H194" s="299"/>
      <c r="I194" s="165"/>
      <c r="J194" s="164"/>
      <c r="K194" s="165" t="s">
        <v>1454</v>
      </c>
      <c r="L194" s="292">
        <f>SUM(L188,L190,L192)</f>
        <v>5627</v>
      </c>
      <c r="M194" s="164" t="s">
        <v>975</v>
      </c>
      <c r="N194" s="310" t="s">
        <v>416</v>
      </c>
      <c r="O194" s="300"/>
      <c r="P194" s="164"/>
      <c r="Q194" s="301"/>
      <c r="R194" s="272"/>
    </row>
    <row r="195" spans="1:18" ht="14.25" customHeight="1">
      <c r="A195" s="135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293"/>
    </row>
    <row r="196" spans="1:18" ht="14.25" customHeight="1">
      <c r="C196" s="177"/>
      <c r="E196" s="304"/>
      <c r="H196" s="177"/>
      <c r="I196" s="177"/>
      <c r="K196" s="305"/>
      <c r="L196" s="177"/>
      <c r="M196" s="161"/>
      <c r="N196" s="161"/>
      <c r="O196" s="177"/>
    </row>
    <row r="197" spans="1:18" s="265" customFormat="1" ht="14.25" customHeight="1">
      <c r="A197" s="306"/>
      <c r="B197" s="262" t="s">
        <v>1147</v>
      </c>
      <c r="C197" s="262"/>
      <c r="D197" s="262"/>
      <c r="E197" s="262"/>
      <c r="F197" s="262"/>
      <c r="G197" s="262"/>
      <c r="H197" s="263" t="s">
        <v>1421</v>
      </c>
      <c r="I197" s="263">
        <v>4.5</v>
      </c>
      <c r="J197" s="262" t="s">
        <v>1419</v>
      </c>
      <c r="K197" s="262"/>
      <c r="L197" s="263">
        <v>0.4</v>
      </c>
      <c r="M197" s="262" t="s">
        <v>1420</v>
      </c>
      <c r="N197" s="262"/>
      <c r="O197" s="261"/>
      <c r="P197" s="261"/>
      <c r="Q197" s="264"/>
      <c r="R197" s="265" t="s">
        <v>3299</v>
      </c>
    </row>
    <row r="198" spans="1:18" ht="14.25" customHeight="1">
      <c r="A198" s="266"/>
      <c r="B198" s="126"/>
      <c r="C198" s="126"/>
      <c r="D198" s="126"/>
      <c r="E198" s="267"/>
      <c r="F198" s="267"/>
      <c r="G198" s="268"/>
      <c r="H198" s="267"/>
      <c r="I198" s="267"/>
      <c r="J198" s="267"/>
      <c r="K198" s="267"/>
      <c r="L198" s="269"/>
      <c r="M198" s="270"/>
      <c r="N198" s="270"/>
      <c r="O198" s="126"/>
      <c r="P198" s="126"/>
      <c r="Q198" s="271"/>
    </row>
    <row r="199" spans="1:18" ht="14.25" customHeight="1">
      <c r="A199" s="273"/>
      <c r="B199" s="110" t="s">
        <v>1592</v>
      </c>
      <c r="C199" s="33" t="s">
        <v>1593</v>
      </c>
      <c r="D199" s="274"/>
      <c r="E199" s="275"/>
      <c r="F199" s="275"/>
      <c r="G199" s="121"/>
      <c r="H199" s="275"/>
      <c r="I199" s="275"/>
      <c r="J199" s="275"/>
      <c r="K199" s="275"/>
      <c r="L199" s="33"/>
      <c r="M199" s="276"/>
      <c r="N199" s="276"/>
      <c r="O199" s="110"/>
      <c r="P199" s="110"/>
      <c r="Q199" s="277"/>
    </row>
    <row r="200" spans="1:18" ht="14.25" customHeight="1">
      <c r="A200" s="273"/>
      <c r="Q200" s="277"/>
    </row>
    <row r="201" spans="1:18" ht="14.25" customHeight="1">
      <c r="A201" s="273"/>
      <c r="B201" s="118" t="s">
        <v>2267</v>
      </c>
      <c r="C201" s="110" t="s">
        <v>1422</v>
      </c>
      <c r="D201" s="110"/>
      <c r="E201" s="110"/>
      <c r="F201" s="110"/>
      <c r="G201" s="275" t="s">
        <v>1594</v>
      </c>
      <c r="H201" s="275">
        <v>1</v>
      </c>
      <c r="I201" s="275" t="s">
        <v>1595</v>
      </c>
      <c r="J201" s="274" t="s">
        <v>1596</v>
      </c>
      <c r="K201" s="110">
        <v>10</v>
      </c>
      <c r="L201" s="110" t="s">
        <v>1595</v>
      </c>
      <c r="M201" s="33" t="s">
        <v>1597</v>
      </c>
      <c r="N201" s="118"/>
      <c r="O201" s="110">
        <v>10</v>
      </c>
      <c r="P201" s="275" t="s">
        <v>1595</v>
      </c>
      <c r="Q201" s="277"/>
    </row>
    <row r="202" spans="1:18" ht="14.25" customHeight="1">
      <c r="A202" s="273"/>
      <c r="B202" s="118"/>
      <c r="C202" s="110"/>
      <c r="D202" s="110"/>
      <c r="E202" s="110"/>
      <c r="F202" s="110"/>
      <c r="G202" s="275"/>
      <c r="H202" s="275"/>
      <c r="I202" s="275"/>
      <c r="J202" s="274"/>
      <c r="K202" s="110"/>
      <c r="L202" s="110"/>
      <c r="M202" s="33"/>
      <c r="N202" s="118"/>
      <c r="O202" s="110"/>
      <c r="P202" s="275"/>
      <c r="Q202" s="277"/>
    </row>
    <row r="203" spans="1:18" ht="14.25" customHeight="1">
      <c r="A203" s="273"/>
      <c r="B203" s="110"/>
      <c r="C203" s="274"/>
      <c r="D203" s="274"/>
      <c r="E203" s="275"/>
      <c r="F203" s="275"/>
      <c r="G203" s="121"/>
      <c r="H203" s="275"/>
      <c r="I203" s="275"/>
      <c r="J203" s="275"/>
      <c r="K203" s="275"/>
      <c r="L203" s="33"/>
      <c r="M203" s="276"/>
      <c r="N203" s="276"/>
      <c r="O203" s="110"/>
      <c r="P203" s="110"/>
      <c r="Q203" s="277"/>
    </row>
    <row r="204" spans="1:18" ht="14.25" customHeight="1">
      <c r="A204" s="130"/>
      <c r="B204" s="110" t="s">
        <v>1592</v>
      </c>
      <c r="C204" s="110" t="s">
        <v>1198</v>
      </c>
      <c r="D204" s="110"/>
      <c r="E204" s="110"/>
      <c r="F204" s="110"/>
      <c r="G204" s="110"/>
      <c r="H204" s="110"/>
      <c r="I204" s="110"/>
      <c r="J204" s="110" t="s">
        <v>400</v>
      </c>
      <c r="K204" s="110"/>
      <c r="L204" s="118">
        <v>1.6</v>
      </c>
      <c r="M204" s="110" t="s">
        <v>1805</v>
      </c>
      <c r="N204" s="110"/>
      <c r="O204" s="110"/>
      <c r="P204" s="110"/>
      <c r="Q204" s="277"/>
    </row>
    <row r="205" spans="1:18" ht="14.25" customHeight="1">
      <c r="A205" s="130"/>
      <c r="B205" s="118"/>
      <c r="C205" s="791" t="s">
        <v>1806</v>
      </c>
      <c r="D205" s="791" t="s">
        <v>1807</v>
      </c>
      <c r="E205" s="791"/>
      <c r="F205" s="791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277"/>
    </row>
    <row r="206" spans="1:18" ht="14.25" customHeight="1">
      <c r="A206" s="130"/>
      <c r="B206" s="118"/>
      <c r="C206" s="791"/>
      <c r="D206" s="843" t="s">
        <v>1583</v>
      </c>
      <c r="E206" s="843"/>
      <c r="F206" s="843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277"/>
    </row>
    <row r="207" spans="1:18" ht="14.25" customHeight="1">
      <c r="A207" s="13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277"/>
    </row>
    <row r="208" spans="1:18" ht="14.25" customHeight="1">
      <c r="A208" s="130"/>
      <c r="B208" s="280"/>
      <c r="C208" s="118" t="s">
        <v>1808</v>
      </c>
      <c r="D208" s="110" t="s">
        <v>1809</v>
      </c>
      <c r="E208" s="110"/>
      <c r="F208" s="110"/>
      <c r="G208" s="118"/>
      <c r="H208" s="280"/>
      <c r="I208" s="118"/>
      <c r="J208" s="110"/>
      <c r="K208" s="110"/>
      <c r="L208" s="110"/>
      <c r="M208" s="110"/>
      <c r="N208" s="110"/>
      <c r="O208" s="110"/>
      <c r="P208" s="110"/>
      <c r="Q208" s="277"/>
    </row>
    <row r="209" spans="1:17" ht="14.25" customHeight="1">
      <c r="A209" s="130"/>
      <c r="B209" s="280"/>
      <c r="C209" s="118" t="s">
        <v>298</v>
      </c>
      <c r="D209" s="110" t="s">
        <v>299</v>
      </c>
      <c r="E209" s="118" t="s">
        <v>1526</v>
      </c>
      <c r="F209" s="281">
        <f>I197</f>
        <v>4.5</v>
      </c>
      <c r="G209" s="118" t="s">
        <v>300</v>
      </c>
      <c r="H209" s="118">
        <f>L204</f>
        <v>1.6</v>
      </c>
      <c r="I209" s="118" t="s">
        <v>972</v>
      </c>
      <c r="J209" s="118">
        <v>1.25</v>
      </c>
      <c r="K209" s="118" t="s">
        <v>1582</v>
      </c>
      <c r="L209" s="282">
        <f>TRUNC(F209/H209*J209,2)</f>
        <v>3.51</v>
      </c>
      <c r="M209" s="118" t="s">
        <v>301</v>
      </c>
      <c r="N209" s="110"/>
      <c r="O209" s="110"/>
      <c r="P209" s="110"/>
      <c r="Q209" s="277"/>
    </row>
    <row r="210" spans="1:17" ht="14.25" customHeight="1">
      <c r="A210" s="130"/>
      <c r="B210" s="280"/>
      <c r="C210" s="118" t="s">
        <v>399</v>
      </c>
      <c r="D210" s="110" t="s">
        <v>1156</v>
      </c>
      <c r="E210" s="110"/>
      <c r="F210" s="118" t="s">
        <v>1526</v>
      </c>
      <c r="G210" s="283">
        <f>TRUNC(1/J210,2)</f>
        <v>0.8</v>
      </c>
      <c r="H210" s="280" t="s">
        <v>303</v>
      </c>
      <c r="I210" s="118" t="s">
        <v>300</v>
      </c>
      <c r="J210" s="118">
        <f>J209</f>
        <v>1.25</v>
      </c>
      <c r="K210" s="284" t="s">
        <v>304</v>
      </c>
      <c r="L210" s="110"/>
      <c r="M210" s="110"/>
      <c r="N210" s="110"/>
      <c r="O210" s="110"/>
      <c r="P210" s="110"/>
      <c r="Q210" s="277"/>
    </row>
    <row r="211" spans="1:17" ht="14.25" customHeight="1">
      <c r="A211" s="130"/>
      <c r="B211" s="280"/>
      <c r="C211" s="118" t="s">
        <v>1703</v>
      </c>
      <c r="D211" s="110" t="s">
        <v>1207</v>
      </c>
      <c r="E211" s="110"/>
      <c r="F211" s="118" t="s">
        <v>1526</v>
      </c>
      <c r="G211" s="118">
        <v>0.9</v>
      </c>
      <c r="H211" s="280"/>
      <c r="I211" s="110"/>
      <c r="J211" s="110"/>
      <c r="K211" s="110"/>
      <c r="L211" s="110"/>
      <c r="M211" s="110"/>
      <c r="N211" s="110"/>
      <c r="O211" s="110"/>
      <c r="P211" s="110"/>
      <c r="Q211" s="277"/>
    </row>
    <row r="212" spans="1:17" ht="14.25" customHeight="1">
      <c r="A212" s="130"/>
      <c r="B212" s="280"/>
      <c r="C212" s="118" t="s">
        <v>1704</v>
      </c>
      <c r="D212" s="110" t="s">
        <v>401</v>
      </c>
      <c r="E212" s="110"/>
      <c r="F212" s="118"/>
      <c r="G212" s="840">
        <f>TRUNC(E230,2)</f>
        <v>17.89</v>
      </c>
      <c r="H212" s="840"/>
      <c r="I212" s="118" t="s">
        <v>1600</v>
      </c>
      <c r="J212" s="110"/>
      <c r="K212" s="110"/>
      <c r="L212" s="110"/>
      <c r="M212" s="110"/>
      <c r="N212" s="110"/>
      <c r="O212" s="110"/>
      <c r="P212" s="110"/>
      <c r="Q212" s="277"/>
    </row>
    <row r="213" spans="1:17" ht="14.25" customHeight="1">
      <c r="A213" s="130"/>
      <c r="B213" s="280"/>
      <c r="C213" s="118" t="s">
        <v>1704</v>
      </c>
      <c r="D213" s="110" t="s">
        <v>3101</v>
      </c>
      <c r="E213" s="110"/>
      <c r="F213" s="110"/>
      <c r="G213" s="110"/>
      <c r="H213" s="280"/>
      <c r="I213" s="110"/>
      <c r="J213" s="110"/>
      <c r="K213" s="110"/>
      <c r="L213" s="110"/>
      <c r="M213" s="110"/>
      <c r="N213" s="110"/>
      <c r="O213" s="110"/>
      <c r="P213" s="110"/>
      <c r="Q213" s="277"/>
    </row>
    <row r="214" spans="1:17" ht="14.25" customHeight="1">
      <c r="A214" s="130"/>
      <c r="B214" s="110"/>
      <c r="C214" s="118" t="s">
        <v>1706</v>
      </c>
      <c r="D214" s="110" t="s">
        <v>1707</v>
      </c>
      <c r="E214" s="838">
        <f>E222</f>
        <v>4.17</v>
      </c>
      <c r="F214" s="838"/>
      <c r="G214" s="110" t="s">
        <v>402</v>
      </c>
      <c r="H214" s="285" t="s">
        <v>403</v>
      </c>
      <c r="I214" s="118"/>
      <c r="J214" s="118"/>
      <c r="K214" s="110"/>
      <c r="L214" s="118"/>
      <c r="M214" s="286"/>
      <c r="N214" s="286"/>
      <c r="O214" s="118"/>
      <c r="P214" s="110"/>
      <c r="Q214" s="277"/>
    </row>
    <row r="215" spans="1:17" ht="14.25" customHeight="1">
      <c r="A215" s="130"/>
      <c r="B215" s="110"/>
      <c r="C215" s="118"/>
      <c r="E215" s="288"/>
      <c r="F215" s="286"/>
      <c r="G215" s="110"/>
      <c r="H215" s="285"/>
      <c r="I215" s="118"/>
      <c r="J215" s="118"/>
      <c r="K215" s="110"/>
      <c r="L215" s="118"/>
      <c r="M215" s="286"/>
      <c r="N215" s="286"/>
      <c r="O215" s="118"/>
      <c r="P215" s="110"/>
      <c r="Q215" s="277"/>
    </row>
    <row r="216" spans="1:17" ht="14.25" customHeight="1">
      <c r="A216" s="130"/>
      <c r="B216" s="110"/>
      <c r="C216" s="118"/>
      <c r="D216" s="118" t="s">
        <v>404</v>
      </c>
      <c r="E216" s="846">
        <v>18</v>
      </c>
      <c r="F216" s="846"/>
      <c r="G216" s="110" t="s">
        <v>405</v>
      </c>
      <c r="H216" s="285" t="s">
        <v>1747</v>
      </c>
      <c r="I216" s="118"/>
      <c r="J216" s="109"/>
      <c r="K216" s="110"/>
      <c r="L216" s="109"/>
      <c r="M216" s="286"/>
      <c r="N216" s="286"/>
      <c r="O216" s="118"/>
      <c r="P216" s="110"/>
      <c r="Q216" s="277"/>
    </row>
    <row r="217" spans="1:17" ht="14.25" customHeight="1">
      <c r="A217" s="130"/>
      <c r="B217" s="110"/>
      <c r="C217" s="118"/>
      <c r="D217" s="280"/>
      <c r="E217" s="288"/>
      <c r="F217" s="286"/>
      <c r="G217" s="110"/>
      <c r="H217" s="285"/>
      <c r="I217" s="307"/>
      <c r="K217" s="110"/>
      <c r="L217" s="118"/>
      <c r="M217" s="286"/>
      <c r="N217" s="286"/>
      <c r="O217" s="118"/>
      <c r="P217" s="110"/>
      <c r="Q217" s="277"/>
    </row>
    <row r="218" spans="1:17" ht="14.25" customHeight="1">
      <c r="A218" s="130"/>
      <c r="B218" s="110"/>
      <c r="C218" s="118"/>
      <c r="D218" s="110" t="s">
        <v>407</v>
      </c>
      <c r="E218" s="288" t="s">
        <v>408</v>
      </c>
      <c r="F218" s="286"/>
      <c r="G218" s="110"/>
      <c r="H218" s="285"/>
      <c r="I218" s="118" t="s">
        <v>1748</v>
      </c>
      <c r="J218" s="118">
        <v>0.9</v>
      </c>
      <c r="K218" s="110"/>
      <c r="L218" s="118"/>
      <c r="M218" s="286"/>
      <c r="N218" s="286"/>
      <c r="O218" s="118"/>
      <c r="P218" s="110"/>
      <c r="Q218" s="277"/>
    </row>
    <row r="219" spans="1:17" ht="14.25" customHeight="1">
      <c r="A219" s="130"/>
      <c r="B219" s="110"/>
      <c r="C219" s="118"/>
      <c r="D219" s="110" t="s">
        <v>410</v>
      </c>
      <c r="E219" s="838">
        <f>L209</f>
        <v>3.51</v>
      </c>
      <c r="F219" s="838"/>
      <c r="G219" s="118" t="s">
        <v>411</v>
      </c>
      <c r="H219" s="285">
        <f>L197</f>
        <v>0.4</v>
      </c>
      <c r="I219" s="118" t="s">
        <v>86</v>
      </c>
      <c r="J219" s="118">
        <f>J218</f>
        <v>0.9</v>
      </c>
      <c r="K219" s="110" t="s">
        <v>412</v>
      </c>
      <c r="L219" s="118">
        <f>TRUNC(E219/(H219*J219),2)</f>
        <v>9.75</v>
      </c>
      <c r="M219" s="286" t="s">
        <v>969</v>
      </c>
      <c r="N219" s="286"/>
      <c r="O219" s="118"/>
      <c r="P219" s="110"/>
      <c r="Q219" s="277"/>
    </row>
    <row r="220" spans="1:17" ht="14.25" customHeight="1">
      <c r="A220" s="130"/>
      <c r="B220" s="110"/>
      <c r="C220" s="118"/>
      <c r="D220" s="110" t="s">
        <v>413</v>
      </c>
      <c r="E220" s="838">
        <v>0.7</v>
      </c>
      <c r="F220" s="838"/>
      <c r="G220" s="118"/>
      <c r="H220" s="285"/>
      <c r="I220" s="118"/>
      <c r="J220" s="118"/>
      <c r="K220" s="110"/>
      <c r="L220" s="118"/>
      <c r="M220" s="286"/>
      <c r="N220" s="286"/>
      <c r="O220" s="118"/>
      <c r="P220" s="110"/>
      <c r="Q220" s="277"/>
    </row>
    <row r="221" spans="1:17" ht="14.25" customHeight="1">
      <c r="A221" s="130"/>
      <c r="B221" s="110"/>
      <c r="C221" s="118" t="s">
        <v>1601</v>
      </c>
      <c r="D221" s="110" t="s">
        <v>1709</v>
      </c>
      <c r="E221" s="845">
        <f>E216</f>
        <v>18</v>
      </c>
      <c r="F221" s="845"/>
      <c r="G221" s="118" t="s">
        <v>972</v>
      </c>
      <c r="H221" s="285">
        <f>L219</f>
        <v>9.75</v>
      </c>
      <c r="I221" s="118" t="s">
        <v>414</v>
      </c>
      <c r="J221" s="118">
        <v>60</v>
      </c>
      <c r="K221" s="118" t="s">
        <v>972</v>
      </c>
      <c r="L221" s="282">
        <f>E220</f>
        <v>0.7</v>
      </c>
      <c r="M221" s="288" t="s">
        <v>2112</v>
      </c>
      <c r="N221" s="286"/>
      <c r="O221" s="118"/>
      <c r="P221" s="110"/>
      <c r="Q221" s="277"/>
    </row>
    <row r="222" spans="1:17" ht="14.25" customHeight="1">
      <c r="A222" s="130"/>
      <c r="B222" s="110"/>
      <c r="C222" s="118"/>
      <c r="D222" s="110" t="s">
        <v>410</v>
      </c>
      <c r="E222" s="838">
        <f>TRUNC((E221*H221)/(J221*L221),2)</f>
        <v>4.17</v>
      </c>
      <c r="F222" s="838"/>
      <c r="G222" s="110" t="s">
        <v>415</v>
      </c>
      <c r="H222" s="287"/>
      <c r="I222" s="118"/>
      <c r="J222" s="118"/>
      <c r="K222" s="118"/>
      <c r="L222" s="118"/>
      <c r="M222" s="286"/>
      <c r="N222" s="286"/>
      <c r="O222" s="118"/>
      <c r="P222" s="110"/>
      <c r="Q222" s="277"/>
    </row>
    <row r="223" spans="1:17" ht="14.25" customHeight="1">
      <c r="A223" s="130"/>
      <c r="B223" s="110"/>
      <c r="C223" s="118" t="s">
        <v>2110</v>
      </c>
      <c r="D223" s="110" t="s">
        <v>381</v>
      </c>
      <c r="E223" s="791">
        <f>J225</f>
        <v>12</v>
      </c>
      <c r="F223" s="791"/>
      <c r="G223" s="110" t="s">
        <v>382</v>
      </c>
      <c r="H223" s="118"/>
      <c r="I223" s="110"/>
      <c r="J223" s="110"/>
      <c r="K223" s="110"/>
      <c r="L223" s="118"/>
      <c r="M223" s="118"/>
      <c r="N223" s="118"/>
      <c r="O223" s="110"/>
      <c r="P223" s="110"/>
      <c r="Q223" s="277"/>
    </row>
    <row r="224" spans="1:17" ht="14.25" customHeight="1">
      <c r="A224" s="130"/>
      <c r="B224" s="110"/>
      <c r="C224" s="280" t="s">
        <v>2111</v>
      </c>
      <c r="D224" s="118">
        <f>H201</f>
        <v>1</v>
      </c>
      <c r="E224" s="118" t="s">
        <v>300</v>
      </c>
      <c r="F224" s="118">
        <f>K201</f>
        <v>10</v>
      </c>
      <c r="G224" s="110" t="s">
        <v>383</v>
      </c>
      <c r="H224" s="118">
        <f>H201</f>
        <v>1</v>
      </c>
      <c r="I224" s="118" t="s">
        <v>300</v>
      </c>
      <c r="J224" s="118">
        <f>O201</f>
        <v>10</v>
      </c>
      <c r="K224" s="118" t="s">
        <v>304</v>
      </c>
      <c r="L224" s="118"/>
      <c r="M224" s="118"/>
      <c r="N224" s="118"/>
      <c r="O224" s="118"/>
      <c r="P224" s="110"/>
      <c r="Q224" s="277"/>
    </row>
    <row r="225" spans="1:18" ht="14.25" customHeight="1">
      <c r="A225" s="130"/>
      <c r="B225" s="110"/>
      <c r="C225" s="280"/>
      <c r="D225" s="280" t="s">
        <v>1582</v>
      </c>
      <c r="E225" s="791">
        <f>(D224/F224)+(H224/J224)</f>
        <v>0.2</v>
      </c>
      <c r="F225" s="791"/>
      <c r="G225" s="110" t="s">
        <v>384</v>
      </c>
      <c r="H225" s="118">
        <v>60</v>
      </c>
      <c r="I225" s="118" t="s">
        <v>1582</v>
      </c>
      <c r="J225" s="283">
        <f>TRUNC(E225*H225,2)</f>
        <v>12</v>
      </c>
      <c r="K225" s="286" t="s">
        <v>1600</v>
      </c>
      <c r="L225" s="118"/>
      <c r="M225" s="118"/>
      <c r="N225" s="118"/>
      <c r="O225" s="118"/>
      <c r="P225" s="110"/>
      <c r="Q225" s="277"/>
    </row>
    <row r="226" spans="1:18" ht="14.25" customHeight="1">
      <c r="A226" s="130"/>
      <c r="B226" s="110"/>
      <c r="C226" s="118"/>
      <c r="L226" s="110"/>
      <c r="M226" s="110"/>
      <c r="N226" s="118"/>
      <c r="O226" s="110"/>
      <c r="P226" s="110"/>
      <c r="Q226" s="277"/>
    </row>
    <row r="227" spans="1:18" ht="14.25" customHeight="1">
      <c r="A227" s="130"/>
      <c r="B227" s="110"/>
      <c r="C227" s="118" t="s">
        <v>2113</v>
      </c>
      <c r="D227" s="110" t="s">
        <v>385</v>
      </c>
      <c r="E227" s="840">
        <v>0.8</v>
      </c>
      <c r="F227" s="840"/>
      <c r="G227" s="110" t="s">
        <v>1600</v>
      </c>
      <c r="H227" s="118"/>
      <c r="I227" s="110"/>
      <c r="J227" s="118"/>
      <c r="K227" s="110"/>
      <c r="L227" s="110"/>
      <c r="M227" s="110"/>
      <c r="N227" s="110"/>
      <c r="O227" s="110"/>
      <c r="P227" s="110"/>
      <c r="Q227" s="277"/>
    </row>
    <row r="228" spans="1:18" ht="14.25" customHeight="1">
      <c r="A228" s="130"/>
      <c r="B228" s="110"/>
      <c r="C228" s="118" t="s">
        <v>2114</v>
      </c>
      <c r="D228" s="110" t="s">
        <v>387</v>
      </c>
      <c r="E228" s="791">
        <v>0.42</v>
      </c>
      <c r="F228" s="791"/>
      <c r="G228" s="110" t="s">
        <v>388</v>
      </c>
      <c r="H228" s="118"/>
      <c r="I228" s="110"/>
      <c r="J228" s="110"/>
      <c r="K228" s="110"/>
      <c r="L228" s="110"/>
      <c r="M228" s="118"/>
      <c r="N228" s="118"/>
      <c r="O228" s="110"/>
      <c r="P228" s="110"/>
      <c r="Q228" s="277"/>
    </row>
    <row r="229" spans="1:18" ht="14.25" customHeight="1">
      <c r="A229" s="130"/>
      <c r="B229" s="110"/>
      <c r="C229" s="118" t="s">
        <v>3102</v>
      </c>
      <c r="D229" s="110" t="s">
        <v>389</v>
      </c>
      <c r="E229" s="791">
        <v>0.5</v>
      </c>
      <c r="F229" s="791"/>
      <c r="G229" s="110" t="s">
        <v>390</v>
      </c>
      <c r="H229" s="110"/>
      <c r="I229" s="110"/>
      <c r="J229" s="110"/>
      <c r="K229" s="110"/>
      <c r="L229" s="110"/>
      <c r="M229" s="110"/>
      <c r="N229" s="110"/>
      <c r="O229" s="110"/>
      <c r="P229" s="110"/>
      <c r="Q229" s="277"/>
    </row>
    <row r="230" spans="1:18" ht="14.25" customHeight="1">
      <c r="A230" s="130"/>
      <c r="B230" s="110"/>
      <c r="C230" s="118"/>
      <c r="D230" s="118" t="s">
        <v>1454</v>
      </c>
      <c r="E230" s="840">
        <f>E214+E223+E227+E228+E229</f>
        <v>17.890000000000004</v>
      </c>
      <c r="F230" s="840"/>
      <c r="G230" s="110" t="s">
        <v>1600</v>
      </c>
      <c r="H230" s="110"/>
      <c r="I230" s="110"/>
      <c r="J230" s="110"/>
      <c r="K230" s="110"/>
      <c r="L230" s="110"/>
      <c r="M230" s="110"/>
      <c r="N230" s="110"/>
      <c r="O230" s="110"/>
      <c r="P230" s="110"/>
      <c r="Q230" s="277"/>
    </row>
    <row r="231" spans="1:18" ht="14.25" customHeight="1">
      <c r="A231" s="130"/>
      <c r="B231" s="118"/>
      <c r="C231" s="118"/>
      <c r="D231" s="110"/>
      <c r="E231" s="118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277"/>
    </row>
    <row r="232" spans="1:18" ht="14.25" customHeight="1">
      <c r="A232" s="130" t="s">
        <v>391</v>
      </c>
      <c r="B232" s="110" t="s">
        <v>392</v>
      </c>
      <c r="C232" s="118"/>
      <c r="D232" s="110"/>
      <c r="E232" s="118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277"/>
    </row>
    <row r="233" spans="1:18" ht="14.25" customHeight="1">
      <c r="A233" s="130"/>
      <c r="B233" s="28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277"/>
    </row>
    <row r="234" spans="1:18" ht="14.25" customHeight="1">
      <c r="A234" s="841"/>
      <c r="B234" s="791" t="s">
        <v>1111</v>
      </c>
      <c r="C234" s="791" t="s">
        <v>1582</v>
      </c>
      <c r="D234" s="280" t="s">
        <v>393</v>
      </c>
      <c r="E234" s="286">
        <f>G210</f>
        <v>0.8</v>
      </c>
      <c r="F234" s="118" t="s">
        <v>972</v>
      </c>
      <c r="G234" s="282">
        <f>L209</f>
        <v>3.51</v>
      </c>
      <c r="H234" s="118" t="s">
        <v>972</v>
      </c>
      <c r="I234" s="118">
        <f>G211</f>
        <v>0.9</v>
      </c>
      <c r="J234" s="791" t="s">
        <v>1582</v>
      </c>
      <c r="K234" s="837">
        <f>E234*G234*I234*60</f>
        <v>151.63200000000001</v>
      </c>
      <c r="L234" s="837"/>
      <c r="M234" s="791" t="s">
        <v>1582</v>
      </c>
      <c r="N234" s="838">
        <f>TRUNC(K234/K235,2)</f>
        <v>8.4700000000000006</v>
      </c>
      <c r="O234" s="838"/>
      <c r="P234" s="110" t="s">
        <v>301</v>
      </c>
      <c r="Q234" s="277"/>
    </row>
    <row r="235" spans="1:18" ht="14.25" customHeight="1">
      <c r="A235" s="841"/>
      <c r="B235" s="791"/>
      <c r="C235" s="791"/>
      <c r="D235" s="850">
        <f>G212</f>
        <v>17.89</v>
      </c>
      <c r="E235" s="850"/>
      <c r="F235" s="850"/>
      <c r="G235" s="850"/>
      <c r="H235" s="850"/>
      <c r="I235" s="850"/>
      <c r="J235" s="791"/>
      <c r="K235" s="850">
        <f>D235</f>
        <v>17.89</v>
      </c>
      <c r="L235" s="850"/>
      <c r="M235" s="791"/>
      <c r="N235" s="838"/>
      <c r="O235" s="838"/>
      <c r="P235" s="110"/>
      <c r="Q235" s="277" t="s">
        <v>394</v>
      </c>
    </row>
    <row r="236" spans="1:18" ht="14.25" customHeight="1">
      <c r="A236" s="130"/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277"/>
    </row>
    <row r="237" spans="1:18" ht="14.25" customHeight="1">
      <c r="A237" s="130"/>
      <c r="B237" s="110"/>
      <c r="C237" s="110"/>
      <c r="D237" s="110" t="s">
        <v>395</v>
      </c>
      <c r="E237" s="110"/>
      <c r="F237" s="835">
        <f>중기사용료!$M$492</f>
        <v>7692</v>
      </c>
      <c r="G237" s="835"/>
      <c r="H237" s="286" t="s">
        <v>975</v>
      </c>
      <c r="I237" s="118" t="s">
        <v>300</v>
      </c>
      <c r="J237" s="282">
        <f>N234</f>
        <v>8.4700000000000006</v>
      </c>
      <c r="K237" s="282" t="s">
        <v>1582</v>
      </c>
      <c r="L237" s="121">
        <f>TRUNC(F237/J237)</f>
        <v>908</v>
      </c>
      <c r="M237" s="118" t="s">
        <v>975</v>
      </c>
      <c r="N237" s="303" t="s">
        <v>416</v>
      </c>
      <c r="O237" s="110"/>
      <c r="P237" s="110"/>
      <c r="Q237" s="277"/>
    </row>
    <row r="238" spans="1:18" ht="14.25" customHeight="1">
      <c r="A238" s="130"/>
      <c r="B238" s="110"/>
      <c r="C238" s="118"/>
      <c r="D238" s="110"/>
      <c r="E238" s="290"/>
      <c r="F238" s="291"/>
      <c r="G238" s="291"/>
      <c r="H238" s="118"/>
      <c r="I238" s="110"/>
      <c r="J238" s="118"/>
      <c r="K238" s="285"/>
      <c r="L238" s="121"/>
      <c r="M238" s="118"/>
      <c r="N238" s="303"/>
      <c r="O238" s="110"/>
      <c r="P238" s="110"/>
      <c r="Q238" s="277"/>
    </row>
    <row r="239" spans="1:18" ht="14.25" customHeight="1">
      <c r="A239" s="130"/>
      <c r="B239" s="110"/>
      <c r="C239" s="110"/>
      <c r="D239" s="110" t="s">
        <v>396</v>
      </c>
      <c r="E239" s="110"/>
      <c r="F239" s="835">
        <f>중기사용료!$M$486</f>
        <v>24483</v>
      </c>
      <c r="G239" s="835"/>
      <c r="H239" s="286" t="s">
        <v>975</v>
      </c>
      <c r="I239" s="118" t="s">
        <v>300</v>
      </c>
      <c r="J239" s="282">
        <f>N234</f>
        <v>8.4700000000000006</v>
      </c>
      <c r="K239" s="282" t="s">
        <v>1582</v>
      </c>
      <c r="L239" s="121">
        <f>TRUNC(F239/J239)</f>
        <v>2890</v>
      </c>
      <c r="M239" s="118" t="s">
        <v>975</v>
      </c>
      <c r="N239" s="303" t="s">
        <v>416</v>
      </c>
      <c r="O239" s="110"/>
      <c r="P239" s="110"/>
      <c r="Q239" s="277"/>
    </row>
    <row r="240" spans="1:18" ht="14.25" customHeight="1">
      <c r="A240" s="130"/>
      <c r="B240" s="110"/>
      <c r="C240" s="118"/>
      <c r="D240" s="110"/>
      <c r="E240" s="290"/>
      <c r="F240" s="291"/>
      <c r="G240" s="291"/>
      <c r="H240" s="118"/>
      <c r="I240" s="110"/>
      <c r="J240" s="118"/>
      <c r="K240" s="285"/>
      <c r="L240" s="121"/>
      <c r="M240" s="118"/>
      <c r="N240" s="303"/>
      <c r="O240" s="110"/>
      <c r="P240" s="110"/>
      <c r="Q240" s="277"/>
      <c r="R240" s="272" t="s">
        <v>1436</v>
      </c>
    </row>
    <row r="241" spans="1:18" ht="14.25" customHeight="1">
      <c r="A241" s="130"/>
      <c r="B241" s="110"/>
      <c r="C241" s="110"/>
      <c r="D241" s="110" t="s">
        <v>398</v>
      </c>
      <c r="E241" s="110"/>
      <c r="F241" s="835">
        <f>중기사용료!$M$480</f>
        <v>6499</v>
      </c>
      <c r="G241" s="835"/>
      <c r="H241" s="118" t="s">
        <v>975</v>
      </c>
      <c r="I241" s="118" t="s">
        <v>300</v>
      </c>
      <c r="J241" s="282">
        <f>N234</f>
        <v>8.4700000000000006</v>
      </c>
      <c r="K241" s="282" t="s">
        <v>1582</v>
      </c>
      <c r="L241" s="121">
        <f>TRUNC(F241/J241)</f>
        <v>767</v>
      </c>
      <c r="M241" s="121" t="s">
        <v>975</v>
      </c>
      <c r="N241" s="303" t="s">
        <v>416</v>
      </c>
      <c r="O241" s="110"/>
      <c r="P241" s="110"/>
      <c r="Q241" s="277"/>
    </row>
    <row r="242" spans="1:18" ht="14.25" customHeight="1">
      <c r="A242" s="130"/>
      <c r="B242" s="110"/>
      <c r="C242" s="118"/>
      <c r="D242" s="110"/>
      <c r="E242" s="110"/>
      <c r="F242" s="110"/>
      <c r="G242" s="110"/>
      <c r="H242" s="110"/>
      <c r="I242" s="110"/>
      <c r="J242" s="110"/>
      <c r="K242" s="110"/>
      <c r="L242" s="110"/>
      <c r="M242" s="118"/>
      <c r="N242" s="303"/>
      <c r="O242" s="110"/>
      <c r="P242" s="110"/>
      <c r="Q242" s="277"/>
    </row>
    <row r="243" spans="1:18" s="302" customFormat="1" ht="14.25" customHeight="1">
      <c r="A243" s="162"/>
      <c r="B243" s="164"/>
      <c r="C243" s="164"/>
      <c r="D243" s="164"/>
      <c r="E243" s="164"/>
      <c r="F243" s="299"/>
      <c r="G243" s="299"/>
      <c r="H243" s="299"/>
      <c r="I243" s="165"/>
      <c r="J243" s="164"/>
      <c r="K243" s="165" t="s">
        <v>1454</v>
      </c>
      <c r="L243" s="292">
        <f>SUM(L237,L239,L241)</f>
        <v>4565</v>
      </c>
      <c r="M243" s="164" t="s">
        <v>975</v>
      </c>
      <c r="N243" s="310" t="s">
        <v>416</v>
      </c>
      <c r="O243" s="300"/>
      <c r="P243" s="164"/>
      <c r="Q243" s="301"/>
      <c r="R243" s="272"/>
    </row>
    <row r="244" spans="1:18" ht="14.25" customHeight="1">
      <c r="A244" s="135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293"/>
    </row>
    <row r="245" spans="1:18" ht="14.25" customHeight="1">
      <c r="C245" s="177"/>
      <c r="E245" s="304"/>
      <c r="H245" s="177"/>
      <c r="I245" s="177"/>
      <c r="K245" s="305"/>
      <c r="L245" s="177"/>
      <c r="M245" s="161"/>
      <c r="N245" s="161"/>
      <c r="O245" s="177"/>
    </row>
    <row r="246" spans="1:18" s="265" customFormat="1" ht="14.25" customHeight="1">
      <c r="A246" s="306"/>
      <c r="B246" s="262" t="s">
        <v>1148</v>
      </c>
      <c r="C246" s="262"/>
      <c r="D246" s="262"/>
      <c r="E246" s="262"/>
      <c r="F246" s="262"/>
      <c r="G246" s="262"/>
      <c r="H246" s="263" t="s">
        <v>1421</v>
      </c>
      <c r="I246" s="311">
        <v>15</v>
      </c>
      <c r="J246" s="262" t="s">
        <v>1419</v>
      </c>
      <c r="K246" s="262"/>
      <c r="L246" s="263">
        <v>0.7</v>
      </c>
      <c r="M246" s="262" t="s">
        <v>1420</v>
      </c>
      <c r="N246" s="262"/>
      <c r="O246" s="261"/>
      <c r="P246" s="261"/>
      <c r="Q246" s="264"/>
      <c r="R246" s="265" t="s">
        <v>3299</v>
      </c>
    </row>
    <row r="247" spans="1:18" ht="14.25" customHeight="1">
      <c r="A247" s="266"/>
      <c r="B247" s="126"/>
      <c r="C247" s="126"/>
      <c r="D247" s="126"/>
      <c r="E247" s="267"/>
      <c r="F247" s="267"/>
      <c r="G247" s="268"/>
      <c r="H247" s="267"/>
      <c r="I247" s="267"/>
      <c r="J247" s="267"/>
      <c r="K247" s="267"/>
      <c r="L247" s="269"/>
      <c r="M247" s="270"/>
      <c r="N247" s="270"/>
      <c r="O247" s="126"/>
      <c r="P247" s="126"/>
      <c r="Q247" s="271"/>
    </row>
    <row r="248" spans="1:18" ht="14.25" customHeight="1">
      <c r="A248" s="273"/>
      <c r="B248" s="110" t="s">
        <v>1592</v>
      </c>
      <c r="C248" s="33" t="s">
        <v>1593</v>
      </c>
      <c r="D248" s="274"/>
      <c r="E248" s="275"/>
      <c r="F248" s="275"/>
      <c r="G248" s="121"/>
      <c r="H248" s="275"/>
      <c r="I248" s="275"/>
      <c r="J248" s="275" t="s">
        <v>1749</v>
      </c>
      <c r="K248" s="275"/>
      <c r="L248" s="33"/>
      <c r="M248" s="276" t="s">
        <v>1750</v>
      </c>
      <c r="N248" s="276"/>
      <c r="O248" s="110"/>
      <c r="P248" s="110"/>
      <c r="Q248" s="277"/>
    </row>
    <row r="249" spans="1:18" ht="14.25" customHeight="1">
      <c r="A249" s="273"/>
      <c r="B249" s="118" t="s">
        <v>2267</v>
      </c>
      <c r="C249" s="110" t="s">
        <v>1751</v>
      </c>
      <c r="D249" s="110"/>
      <c r="E249" s="110"/>
      <c r="F249" s="110"/>
      <c r="G249" s="275" t="s">
        <v>3103</v>
      </c>
      <c r="H249" s="275">
        <v>5.6</v>
      </c>
      <c r="I249" s="275" t="s">
        <v>1595</v>
      </c>
      <c r="J249" s="121" t="s">
        <v>3104</v>
      </c>
      <c r="K249" s="110">
        <v>20</v>
      </c>
      <c r="L249" s="110" t="s">
        <v>1595</v>
      </c>
      <c r="M249" s="836" t="s">
        <v>3104</v>
      </c>
      <c r="N249" s="836"/>
      <c r="O249" s="110">
        <v>25</v>
      </c>
      <c r="P249" s="110" t="s">
        <v>1595</v>
      </c>
      <c r="Q249" s="277"/>
    </row>
    <row r="250" spans="1:18" ht="14.25" customHeight="1">
      <c r="A250" s="273"/>
      <c r="B250" s="118" t="s">
        <v>2267</v>
      </c>
      <c r="C250" s="110" t="s">
        <v>1752</v>
      </c>
      <c r="D250" s="110"/>
      <c r="E250" s="110"/>
      <c r="F250" s="110"/>
      <c r="G250" s="275" t="s">
        <v>3105</v>
      </c>
      <c r="H250" s="275">
        <v>17.8</v>
      </c>
      <c r="I250" s="275" t="s">
        <v>1595</v>
      </c>
      <c r="J250" s="121" t="s">
        <v>3106</v>
      </c>
      <c r="K250" s="110">
        <v>35</v>
      </c>
      <c r="L250" s="110" t="s">
        <v>1595</v>
      </c>
      <c r="M250" s="836" t="s">
        <v>3106</v>
      </c>
      <c r="N250" s="836"/>
      <c r="O250" s="110">
        <v>35</v>
      </c>
      <c r="P250" s="110" t="s">
        <v>1595</v>
      </c>
      <c r="Q250" s="277"/>
    </row>
    <row r="251" spans="1:18" ht="14.25" customHeight="1">
      <c r="A251" s="273"/>
      <c r="B251" s="118" t="s">
        <v>2267</v>
      </c>
      <c r="C251" s="110" t="s">
        <v>1753</v>
      </c>
      <c r="D251" s="110"/>
      <c r="E251" s="110"/>
      <c r="F251" s="110"/>
      <c r="G251" s="275" t="s">
        <v>3107</v>
      </c>
      <c r="H251" s="275">
        <v>28.2</v>
      </c>
      <c r="I251" s="275" t="s">
        <v>1595</v>
      </c>
      <c r="J251" s="121" t="s">
        <v>3108</v>
      </c>
      <c r="K251" s="110">
        <v>35</v>
      </c>
      <c r="L251" s="110" t="s">
        <v>1595</v>
      </c>
      <c r="M251" s="836" t="s">
        <v>3108</v>
      </c>
      <c r="N251" s="836"/>
      <c r="O251" s="110">
        <v>35</v>
      </c>
      <c r="P251" s="110" t="s">
        <v>1595</v>
      </c>
      <c r="Q251" s="277"/>
    </row>
    <row r="252" spans="1:18" ht="14.25" customHeight="1">
      <c r="A252" s="273"/>
      <c r="B252" s="118" t="s">
        <v>2267</v>
      </c>
      <c r="C252" s="110" t="s">
        <v>1754</v>
      </c>
      <c r="D252" s="274"/>
      <c r="E252" s="275"/>
      <c r="F252" s="275"/>
      <c r="G252" s="275" t="s">
        <v>3109</v>
      </c>
      <c r="H252" s="275">
        <v>2</v>
      </c>
      <c r="I252" s="275" t="s">
        <v>1595</v>
      </c>
      <c r="J252" s="121" t="s">
        <v>3110</v>
      </c>
      <c r="K252" s="110">
        <v>20</v>
      </c>
      <c r="L252" s="110" t="s">
        <v>1595</v>
      </c>
      <c r="M252" s="836" t="s">
        <v>3110</v>
      </c>
      <c r="N252" s="836"/>
      <c r="O252" s="110">
        <v>25</v>
      </c>
      <c r="P252" s="110" t="s">
        <v>1595</v>
      </c>
      <c r="Q252" s="277"/>
    </row>
    <row r="253" spans="1:18" ht="14.25" customHeight="1">
      <c r="A253" s="130"/>
      <c r="B253" s="110" t="s">
        <v>1592</v>
      </c>
      <c r="C253" s="110" t="s">
        <v>1198</v>
      </c>
      <c r="D253" s="110"/>
      <c r="E253" s="110"/>
      <c r="F253" s="110"/>
      <c r="G253" s="110"/>
      <c r="H253" s="110"/>
      <c r="I253" s="110"/>
      <c r="J253" s="110" t="s">
        <v>400</v>
      </c>
      <c r="K253" s="110"/>
      <c r="L253" s="118">
        <v>1.6</v>
      </c>
      <c r="M253" s="110" t="s">
        <v>1805</v>
      </c>
      <c r="N253" s="110"/>
      <c r="O253" s="110"/>
      <c r="P253" s="110"/>
      <c r="Q253" s="277"/>
    </row>
    <row r="254" spans="1:18" ht="14.25" customHeight="1">
      <c r="A254" s="130"/>
      <c r="B254" s="118"/>
      <c r="C254" s="791" t="s">
        <v>1806</v>
      </c>
      <c r="D254" s="791" t="s">
        <v>1807</v>
      </c>
      <c r="E254" s="791"/>
      <c r="F254" s="791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277"/>
    </row>
    <row r="255" spans="1:18" ht="14.25" customHeight="1">
      <c r="A255" s="130"/>
      <c r="B255" s="118"/>
      <c r="C255" s="791"/>
      <c r="D255" s="843" t="s">
        <v>1583</v>
      </c>
      <c r="E255" s="843"/>
      <c r="F255" s="843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277"/>
    </row>
    <row r="256" spans="1:18" ht="14.25" customHeight="1">
      <c r="A256" s="130"/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277"/>
    </row>
    <row r="257" spans="1:17" ht="14.25" customHeight="1">
      <c r="A257" s="130"/>
      <c r="B257" s="280"/>
      <c r="C257" s="118" t="s">
        <v>1808</v>
      </c>
      <c r="D257" s="110" t="s">
        <v>1809</v>
      </c>
      <c r="E257" s="110"/>
      <c r="F257" s="110"/>
      <c r="G257" s="118"/>
      <c r="H257" s="280"/>
      <c r="I257" s="118"/>
      <c r="J257" s="110"/>
      <c r="K257" s="110"/>
      <c r="L257" s="110"/>
      <c r="M257" s="110"/>
      <c r="N257" s="110"/>
      <c r="O257" s="110"/>
      <c r="P257" s="110"/>
      <c r="Q257" s="277"/>
    </row>
    <row r="258" spans="1:17" ht="14.25" customHeight="1">
      <c r="A258" s="130"/>
      <c r="B258" s="280"/>
      <c r="C258" s="118" t="s">
        <v>298</v>
      </c>
      <c r="D258" s="110" t="s">
        <v>1755</v>
      </c>
      <c r="E258" s="845">
        <f>I246</f>
        <v>15</v>
      </c>
      <c r="F258" s="845"/>
      <c r="G258" s="118" t="s">
        <v>300</v>
      </c>
      <c r="H258" s="118">
        <f>L253</f>
        <v>1.6</v>
      </c>
      <c r="I258" s="118" t="s">
        <v>972</v>
      </c>
      <c r="J258" s="118">
        <v>1.25</v>
      </c>
      <c r="K258" s="118" t="s">
        <v>1582</v>
      </c>
      <c r="L258" s="282">
        <f>TRUNC(E258/H258*J258,2)</f>
        <v>11.71</v>
      </c>
      <c r="M258" s="118" t="s">
        <v>301</v>
      </c>
      <c r="N258" s="110"/>
      <c r="O258" s="110"/>
      <c r="P258" s="110"/>
      <c r="Q258" s="277"/>
    </row>
    <row r="259" spans="1:17" ht="14.25" customHeight="1">
      <c r="A259" s="130"/>
      <c r="B259" s="280"/>
      <c r="C259" s="118" t="s">
        <v>302</v>
      </c>
      <c r="D259" s="110" t="s">
        <v>1156</v>
      </c>
      <c r="E259" s="110"/>
      <c r="F259" s="118" t="s">
        <v>1526</v>
      </c>
      <c r="G259" s="283">
        <f>TRUNC(1/J259,2)</f>
        <v>0.8</v>
      </c>
      <c r="H259" s="280" t="s">
        <v>303</v>
      </c>
      <c r="I259" s="118" t="s">
        <v>300</v>
      </c>
      <c r="J259" s="118">
        <f>J258</f>
        <v>1.25</v>
      </c>
      <c r="K259" s="284" t="s">
        <v>304</v>
      </c>
      <c r="L259" s="110"/>
      <c r="M259" s="110"/>
      <c r="N259" s="110"/>
      <c r="O259" s="110"/>
      <c r="P259" s="110"/>
      <c r="Q259" s="277"/>
    </row>
    <row r="260" spans="1:17" ht="14.25" customHeight="1">
      <c r="A260" s="130"/>
      <c r="B260" s="280"/>
      <c r="C260" s="118" t="s">
        <v>1703</v>
      </c>
      <c r="D260" s="110" t="s">
        <v>1207</v>
      </c>
      <c r="E260" s="110"/>
      <c r="F260" s="118" t="s">
        <v>1526</v>
      </c>
      <c r="G260" s="118">
        <v>0.9</v>
      </c>
      <c r="H260" s="280"/>
      <c r="I260" s="110"/>
      <c r="J260" s="110"/>
      <c r="K260" s="110"/>
      <c r="L260" s="110"/>
      <c r="M260" s="110"/>
      <c r="N260" s="110"/>
      <c r="O260" s="110"/>
      <c r="P260" s="110"/>
      <c r="Q260" s="277"/>
    </row>
    <row r="261" spans="1:17" ht="14.25" customHeight="1">
      <c r="A261" s="130"/>
      <c r="B261" s="280"/>
      <c r="C261" s="118" t="s">
        <v>1704</v>
      </c>
      <c r="D261" s="110" t="s">
        <v>401</v>
      </c>
      <c r="E261" s="110"/>
      <c r="F261" s="118"/>
      <c r="G261" s="840">
        <f>TRUNC(E279,2)</f>
        <v>209.31</v>
      </c>
      <c r="H261" s="840"/>
      <c r="I261" s="118" t="s">
        <v>1600</v>
      </c>
      <c r="J261" s="110"/>
      <c r="K261" s="110"/>
      <c r="L261" s="110"/>
      <c r="M261" s="110"/>
      <c r="N261" s="110"/>
      <c r="O261" s="110"/>
      <c r="P261" s="110"/>
      <c r="Q261" s="277"/>
    </row>
    <row r="262" spans="1:17" ht="14.25" customHeight="1">
      <c r="A262" s="130"/>
      <c r="B262" s="280"/>
      <c r="C262" s="118" t="s">
        <v>1704</v>
      </c>
      <c r="D262" s="110" t="s">
        <v>3101</v>
      </c>
      <c r="E262" s="110"/>
      <c r="F262" s="110"/>
      <c r="G262" s="110"/>
      <c r="H262" s="280"/>
      <c r="I262" s="110"/>
      <c r="J262" s="110"/>
      <c r="K262" s="110"/>
      <c r="L262" s="110"/>
      <c r="M262" s="110"/>
      <c r="N262" s="110"/>
      <c r="O262" s="110"/>
      <c r="P262" s="110"/>
      <c r="Q262" s="277"/>
    </row>
    <row r="263" spans="1:17" ht="14.25" customHeight="1">
      <c r="A263" s="130"/>
      <c r="B263" s="110"/>
      <c r="C263" s="118" t="s">
        <v>1706</v>
      </c>
      <c r="D263" s="110" t="s">
        <v>1707</v>
      </c>
      <c r="E263" s="838">
        <f>E270</f>
        <v>8.84</v>
      </c>
      <c r="F263" s="838"/>
      <c r="G263" s="110" t="s">
        <v>402</v>
      </c>
      <c r="H263" s="285" t="s">
        <v>403</v>
      </c>
      <c r="I263" s="118"/>
      <c r="J263" s="118"/>
      <c r="K263" s="110"/>
      <c r="L263" s="118"/>
      <c r="M263" s="286"/>
      <c r="N263" s="286"/>
      <c r="O263" s="118"/>
      <c r="P263" s="110"/>
      <c r="Q263" s="277"/>
    </row>
    <row r="264" spans="1:17" ht="14.25" customHeight="1">
      <c r="A264" s="130"/>
      <c r="B264" s="110"/>
      <c r="C264" s="118"/>
      <c r="E264" s="288"/>
      <c r="F264" s="286"/>
      <c r="G264" s="110"/>
      <c r="H264" s="285"/>
      <c r="I264" s="118"/>
      <c r="J264" s="118"/>
      <c r="K264" s="110"/>
      <c r="L264" s="118"/>
      <c r="M264" s="286"/>
      <c r="N264" s="286"/>
      <c r="O264" s="118"/>
      <c r="P264" s="110"/>
      <c r="Q264" s="277"/>
    </row>
    <row r="265" spans="1:17" ht="14.25" customHeight="1">
      <c r="A265" s="130"/>
      <c r="B265" s="110"/>
      <c r="C265" s="118"/>
      <c r="D265" s="118" t="s">
        <v>404</v>
      </c>
      <c r="E265" s="846">
        <v>20</v>
      </c>
      <c r="F265" s="846"/>
      <c r="G265" s="110" t="s">
        <v>405</v>
      </c>
      <c r="H265" s="285" t="s">
        <v>1756</v>
      </c>
      <c r="I265" s="118"/>
      <c r="J265" s="109"/>
      <c r="K265" s="110"/>
      <c r="L265" s="109"/>
      <c r="M265" s="286"/>
      <c r="N265" s="286"/>
      <c r="O265" s="118"/>
      <c r="P265" s="110"/>
      <c r="Q265" s="277"/>
    </row>
    <row r="266" spans="1:17" ht="14.25" customHeight="1">
      <c r="A266" s="130"/>
      <c r="B266" s="110"/>
      <c r="C266" s="118"/>
      <c r="D266" s="110" t="s">
        <v>407</v>
      </c>
      <c r="E266" s="288" t="s">
        <v>408</v>
      </c>
      <c r="F266" s="286"/>
      <c r="G266" s="110"/>
      <c r="H266" s="285"/>
      <c r="I266" s="118" t="s">
        <v>1748</v>
      </c>
      <c r="J266" s="118">
        <v>0.9</v>
      </c>
      <c r="K266" s="110"/>
      <c r="L266" s="118"/>
      <c r="M266" s="286"/>
      <c r="N266" s="286"/>
      <c r="O266" s="118"/>
      <c r="P266" s="110"/>
      <c r="Q266" s="277"/>
    </row>
    <row r="267" spans="1:17" ht="14.25" customHeight="1">
      <c r="A267" s="130"/>
      <c r="B267" s="110"/>
      <c r="C267" s="118"/>
      <c r="D267" s="110" t="s">
        <v>410</v>
      </c>
      <c r="E267" s="838">
        <f>L258</f>
        <v>11.71</v>
      </c>
      <c r="F267" s="838"/>
      <c r="G267" s="118" t="s">
        <v>411</v>
      </c>
      <c r="H267" s="285">
        <f>L246</f>
        <v>0.7</v>
      </c>
      <c r="I267" s="118" t="s">
        <v>86</v>
      </c>
      <c r="J267" s="118">
        <f>J266</f>
        <v>0.9</v>
      </c>
      <c r="K267" s="110" t="s">
        <v>412</v>
      </c>
      <c r="L267" s="118">
        <f>TRUNC(E267/(H267*J267),2)</f>
        <v>18.579999999999998</v>
      </c>
      <c r="M267" s="286" t="s">
        <v>969</v>
      </c>
      <c r="N267" s="286"/>
      <c r="O267" s="118"/>
      <c r="P267" s="110"/>
      <c r="Q267" s="277"/>
    </row>
    <row r="268" spans="1:17" ht="14.25" customHeight="1">
      <c r="A268" s="130"/>
      <c r="B268" s="110"/>
      <c r="C268" s="118"/>
      <c r="D268" s="110" t="s">
        <v>413</v>
      </c>
      <c r="E268" s="838">
        <v>0.7</v>
      </c>
      <c r="F268" s="838"/>
      <c r="G268" s="118"/>
      <c r="H268" s="285"/>
      <c r="I268" s="118"/>
      <c r="J268" s="118"/>
      <c r="K268" s="110"/>
      <c r="L268" s="118"/>
      <c r="M268" s="286"/>
      <c r="N268" s="286"/>
      <c r="O268" s="118"/>
      <c r="P268" s="110"/>
      <c r="Q268" s="277"/>
    </row>
    <row r="269" spans="1:17" ht="14.25" customHeight="1">
      <c r="A269" s="130"/>
      <c r="B269" s="110"/>
      <c r="C269" s="118" t="s">
        <v>1601</v>
      </c>
      <c r="D269" s="110" t="s">
        <v>1709</v>
      </c>
      <c r="E269" s="845">
        <f>E265</f>
        <v>20</v>
      </c>
      <c r="F269" s="845"/>
      <c r="G269" s="118" t="s">
        <v>972</v>
      </c>
      <c r="H269" s="285">
        <f>L267</f>
        <v>18.579999999999998</v>
      </c>
      <c r="I269" s="118" t="s">
        <v>414</v>
      </c>
      <c r="J269" s="118">
        <v>60</v>
      </c>
      <c r="K269" s="118" t="s">
        <v>972</v>
      </c>
      <c r="L269" s="282">
        <f>E268</f>
        <v>0.7</v>
      </c>
      <c r="M269" s="288" t="s">
        <v>2112</v>
      </c>
      <c r="N269" s="286"/>
      <c r="O269" s="118"/>
      <c r="P269" s="110"/>
      <c r="Q269" s="277"/>
    </row>
    <row r="270" spans="1:17" ht="14.25" customHeight="1">
      <c r="A270" s="130"/>
      <c r="B270" s="110"/>
      <c r="C270" s="118"/>
      <c r="D270" s="110" t="s">
        <v>410</v>
      </c>
      <c r="E270" s="838">
        <f>TRUNC((E269*H269)/(J269*L269),2)</f>
        <v>8.84</v>
      </c>
      <c r="F270" s="838"/>
      <c r="G270" s="110" t="s">
        <v>415</v>
      </c>
      <c r="H270" s="287"/>
      <c r="I270" s="118"/>
      <c r="J270" s="118"/>
      <c r="K270" s="118"/>
      <c r="L270" s="118"/>
      <c r="M270" s="286"/>
      <c r="N270" s="286"/>
      <c r="O270" s="118"/>
      <c r="P270" s="110"/>
      <c r="Q270" s="277"/>
    </row>
    <row r="271" spans="1:17" ht="14.25" customHeight="1">
      <c r="A271" s="130"/>
      <c r="B271" s="110"/>
      <c r="C271" s="118" t="s">
        <v>2110</v>
      </c>
      <c r="D271" s="110" t="s">
        <v>381</v>
      </c>
      <c r="E271" s="791">
        <f>J275</f>
        <v>198.75</v>
      </c>
      <c r="F271" s="791"/>
      <c r="G271" s="110" t="s">
        <v>382</v>
      </c>
      <c r="H271" s="118"/>
      <c r="I271" s="110"/>
      <c r="J271" s="110"/>
      <c r="K271" s="110"/>
      <c r="L271" s="118"/>
      <c r="M271" s="118"/>
      <c r="N271" s="118"/>
      <c r="O271" s="110"/>
      <c r="P271" s="110"/>
      <c r="Q271" s="277"/>
    </row>
    <row r="272" spans="1:17" ht="14.25" customHeight="1">
      <c r="A272" s="130"/>
      <c r="B272" s="110"/>
      <c r="C272" s="280" t="s">
        <v>2111</v>
      </c>
      <c r="D272" s="118">
        <f>H249</f>
        <v>5.6</v>
      </c>
      <c r="E272" s="118" t="s">
        <v>300</v>
      </c>
      <c r="F272" s="118">
        <f>K249</f>
        <v>20</v>
      </c>
      <c r="G272" s="110" t="s">
        <v>383</v>
      </c>
      <c r="H272" s="118">
        <f>H249</f>
        <v>5.6</v>
      </c>
      <c r="I272" s="118" t="s">
        <v>300</v>
      </c>
      <c r="J272" s="118">
        <f>O249</f>
        <v>25</v>
      </c>
      <c r="K272" s="118" t="s">
        <v>1757</v>
      </c>
      <c r="L272" s="118">
        <f>H250</f>
        <v>17.8</v>
      </c>
      <c r="M272" s="118" t="s">
        <v>300</v>
      </c>
      <c r="N272" s="791">
        <f>K250</f>
        <v>35</v>
      </c>
      <c r="O272" s="791"/>
      <c r="P272" s="110" t="s">
        <v>2112</v>
      </c>
      <c r="Q272" s="277"/>
    </row>
    <row r="273" spans="1:17" ht="14.25" customHeight="1">
      <c r="A273" s="130"/>
      <c r="B273" s="110"/>
      <c r="C273" s="309" t="s">
        <v>1758</v>
      </c>
      <c r="D273" s="118">
        <f>H250</f>
        <v>17.8</v>
      </c>
      <c r="E273" s="118" t="s">
        <v>300</v>
      </c>
      <c r="F273" s="118">
        <f>O250</f>
        <v>35</v>
      </c>
      <c r="G273" s="110" t="s">
        <v>383</v>
      </c>
      <c r="H273" s="118">
        <f>H251</f>
        <v>28.2</v>
      </c>
      <c r="I273" s="118" t="s">
        <v>300</v>
      </c>
      <c r="J273" s="118">
        <f>K251</f>
        <v>35</v>
      </c>
      <c r="K273" s="118" t="s">
        <v>1757</v>
      </c>
      <c r="L273" s="118">
        <f>H251</f>
        <v>28.2</v>
      </c>
      <c r="M273" s="118" t="s">
        <v>300</v>
      </c>
      <c r="N273" s="791">
        <f>O251</f>
        <v>35</v>
      </c>
      <c r="O273" s="791"/>
      <c r="P273" s="110" t="s">
        <v>2112</v>
      </c>
      <c r="Q273" s="277"/>
    </row>
    <row r="274" spans="1:17" ht="14.25" customHeight="1">
      <c r="A274" s="130"/>
      <c r="B274" s="110"/>
      <c r="C274" s="309" t="s">
        <v>1758</v>
      </c>
      <c r="D274" s="118">
        <f>H252</f>
        <v>2</v>
      </c>
      <c r="E274" s="118" t="s">
        <v>300</v>
      </c>
      <c r="F274" s="118">
        <f>K252</f>
        <v>20</v>
      </c>
      <c r="G274" s="110" t="s">
        <v>383</v>
      </c>
      <c r="H274" s="118">
        <f>H252</f>
        <v>2</v>
      </c>
      <c r="I274" s="118" t="s">
        <v>300</v>
      </c>
      <c r="J274" s="118">
        <f>O252</f>
        <v>25</v>
      </c>
      <c r="K274" s="109" t="s">
        <v>2112</v>
      </c>
      <c r="L274" s="118"/>
      <c r="M274" s="118"/>
      <c r="N274" s="791"/>
      <c r="O274" s="791"/>
      <c r="P274" s="110"/>
      <c r="Q274" s="277"/>
    </row>
    <row r="275" spans="1:17" ht="14.25" customHeight="1">
      <c r="A275" s="130"/>
      <c r="B275" s="110"/>
      <c r="C275" s="118"/>
      <c r="D275" s="280" t="s">
        <v>1582</v>
      </c>
      <c r="E275" s="791">
        <f>(D272/F272)+(H272/J272)+(L272/N272)+(D273/F273)+(H273/J273)+(L273/N273)+(D274/F274)+(H274/J274)</f>
        <v>3.3125714285714283</v>
      </c>
      <c r="F275" s="791"/>
      <c r="G275" s="110" t="s">
        <v>384</v>
      </c>
      <c r="H275" s="118">
        <v>60</v>
      </c>
      <c r="I275" s="118" t="s">
        <v>1582</v>
      </c>
      <c r="J275" s="283">
        <f>TRUNC(E275*H275,2)</f>
        <v>198.75</v>
      </c>
      <c r="K275" s="286" t="s">
        <v>1600</v>
      </c>
      <c r="L275" s="110"/>
      <c r="M275" s="110"/>
      <c r="N275" s="118"/>
      <c r="O275" s="110"/>
      <c r="P275" s="110"/>
      <c r="Q275" s="277"/>
    </row>
    <row r="276" spans="1:17" ht="14.25" customHeight="1">
      <c r="A276" s="130"/>
      <c r="B276" s="110"/>
      <c r="C276" s="118" t="s">
        <v>2113</v>
      </c>
      <c r="D276" s="110" t="s">
        <v>385</v>
      </c>
      <c r="E276" s="840">
        <v>0.8</v>
      </c>
      <c r="F276" s="840"/>
      <c r="G276" s="110" t="s">
        <v>1600</v>
      </c>
      <c r="H276" s="118"/>
      <c r="I276" s="110"/>
      <c r="J276" s="118"/>
      <c r="K276" s="110"/>
      <c r="L276" s="110"/>
      <c r="M276" s="110"/>
      <c r="N276" s="110"/>
      <c r="O276" s="110"/>
      <c r="P276" s="110"/>
      <c r="Q276" s="277"/>
    </row>
    <row r="277" spans="1:17" ht="14.25" customHeight="1">
      <c r="A277" s="130"/>
      <c r="B277" s="110"/>
      <c r="C277" s="118" t="s">
        <v>2114</v>
      </c>
      <c r="D277" s="110" t="s">
        <v>387</v>
      </c>
      <c r="E277" s="791">
        <v>0.42</v>
      </c>
      <c r="F277" s="791"/>
      <c r="G277" s="110" t="s">
        <v>1759</v>
      </c>
      <c r="H277" s="118"/>
      <c r="I277" s="110"/>
      <c r="J277" s="110"/>
      <c r="K277" s="110"/>
      <c r="L277" s="110"/>
      <c r="M277" s="118"/>
      <c r="N277" s="118"/>
      <c r="O277" s="110"/>
      <c r="P277" s="110"/>
      <c r="Q277" s="277"/>
    </row>
    <row r="278" spans="1:17" ht="14.25" customHeight="1">
      <c r="A278" s="130"/>
      <c r="B278" s="110"/>
      <c r="C278" s="118" t="s">
        <v>3102</v>
      </c>
      <c r="D278" s="110" t="s">
        <v>389</v>
      </c>
      <c r="E278" s="791">
        <v>0.5</v>
      </c>
      <c r="F278" s="791"/>
      <c r="G278" s="110" t="s">
        <v>390</v>
      </c>
      <c r="H278" s="110"/>
      <c r="I278" s="110"/>
      <c r="J278" s="110"/>
      <c r="K278" s="110"/>
      <c r="L278" s="110"/>
      <c r="M278" s="110"/>
      <c r="N278" s="110"/>
      <c r="O278" s="110"/>
      <c r="P278" s="110"/>
      <c r="Q278" s="277"/>
    </row>
    <row r="279" spans="1:17" ht="14.25" customHeight="1">
      <c r="A279" s="130"/>
      <c r="B279" s="110"/>
      <c r="C279" s="118"/>
      <c r="D279" s="118" t="s">
        <v>1454</v>
      </c>
      <c r="E279" s="840">
        <f>E263+E271+E276+E277+E278</f>
        <v>209.31</v>
      </c>
      <c r="F279" s="840"/>
      <c r="G279" s="110" t="s">
        <v>1600</v>
      </c>
      <c r="H279" s="110"/>
      <c r="I279" s="110"/>
      <c r="J279" s="110"/>
      <c r="K279" s="110"/>
      <c r="L279" s="110"/>
      <c r="M279" s="110"/>
      <c r="N279" s="110"/>
      <c r="O279" s="110"/>
      <c r="P279" s="110"/>
      <c r="Q279" s="277"/>
    </row>
    <row r="280" spans="1:17" ht="14.25" customHeight="1">
      <c r="A280" s="130"/>
      <c r="B280" s="118"/>
      <c r="C280" s="118"/>
      <c r="D280" s="110"/>
      <c r="E280" s="118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277"/>
    </row>
    <row r="281" spans="1:17" ht="14.25" customHeight="1">
      <c r="A281" s="130" t="s">
        <v>391</v>
      </c>
      <c r="B281" s="110" t="s">
        <v>392</v>
      </c>
      <c r="C281" s="118"/>
      <c r="D281" s="110"/>
      <c r="E281" s="118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277"/>
    </row>
    <row r="282" spans="1:17" ht="14.25" customHeight="1">
      <c r="A282" s="130"/>
      <c r="B282" s="28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277"/>
    </row>
    <row r="283" spans="1:17" ht="14.25" customHeight="1">
      <c r="A283" s="841"/>
      <c r="B283" s="791" t="s">
        <v>1111</v>
      </c>
      <c r="C283" s="791" t="s">
        <v>1582</v>
      </c>
      <c r="D283" s="280" t="s">
        <v>393</v>
      </c>
      <c r="E283" s="286">
        <f>G259</f>
        <v>0.8</v>
      </c>
      <c r="F283" s="118" t="s">
        <v>972</v>
      </c>
      <c r="G283" s="282">
        <f>L258</f>
        <v>11.71</v>
      </c>
      <c r="H283" s="118" t="s">
        <v>972</v>
      </c>
      <c r="I283" s="118">
        <f>G260</f>
        <v>0.9</v>
      </c>
      <c r="J283" s="791" t="s">
        <v>1582</v>
      </c>
      <c r="K283" s="837">
        <f>TRUNC(E283*G283*I283*60,2)</f>
        <v>505.87</v>
      </c>
      <c r="L283" s="837"/>
      <c r="M283" s="791" t="s">
        <v>1582</v>
      </c>
      <c r="N283" s="838">
        <f>TRUNC(K283/K284,2)</f>
        <v>2.41</v>
      </c>
      <c r="O283" s="838"/>
      <c r="P283" s="110" t="s">
        <v>301</v>
      </c>
      <c r="Q283" s="277"/>
    </row>
    <row r="284" spans="1:17" ht="14.25" customHeight="1">
      <c r="A284" s="841"/>
      <c r="B284" s="791"/>
      <c r="C284" s="791"/>
      <c r="D284" s="850">
        <f>G261</f>
        <v>209.31</v>
      </c>
      <c r="E284" s="850"/>
      <c r="F284" s="850"/>
      <c r="G284" s="850"/>
      <c r="H284" s="850"/>
      <c r="I284" s="850"/>
      <c r="J284" s="791"/>
      <c r="K284" s="850">
        <f>D284</f>
        <v>209.31</v>
      </c>
      <c r="L284" s="850"/>
      <c r="M284" s="791"/>
      <c r="N284" s="838"/>
      <c r="O284" s="838"/>
      <c r="P284" s="110"/>
      <c r="Q284" s="277" t="s">
        <v>394</v>
      </c>
    </row>
    <row r="285" spans="1:17" ht="14.25" customHeight="1">
      <c r="A285" s="130"/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277"/>
    </row>
    <row r="286" spans="1:17" ht="14.25" customHeight="1">
      <c r="A286" s="130"/>
      <c r="B286" s="110"/>
      <c r="C286" s="110"/>
      <c r="D286" s="110" t="s">
        <v>395</v>
      </c>
      <c r="E286" s="110"/>
      <c r="F286" s="835">
        <f>중기사용료!$M$530</f>
        <v>24463</v>
      </c>
      <c r="G286" s="835"/>
      <c r="H286" s="286" t="s">
        <v>975</v>
      </c>
      <c r="I286" s="118" t="s">
        <v>300</v>
      </c>
      <c r="J286" s="282">
        <f>N283</f>
        <v>2.41</v>
      </c>
      <c r="K286" s="282" t="s">
        <v>1582</v>
      </c>
      <c r="L286" s="121">
        <f>TRUNC(F286/J286)</f>
        <v>10150</v>
      </c>
      <c r="M286" s="118" t="s">
        <v>975</v>
      </c>
      <c r="N286" s="303" t="s">
        <v>416</v>
      </c>
      <c r="O286" s="110"/>
      <c r="P286" s="110"/>
      <c r="Q286" s="277"/>
    </row>
    <row r="287" spans="1:17" ht="14.25" customHeight="1">
      <c r="A287" s="130"/>
      <c r="B287" s="110"/>
      <c r="C287" s="118"/>
      <c r="D287" s="110"/>
      <c r="E287" s="290"/>
      <c r="F287" s="291"/>
      <c r="G287" s="291"/>
      <c r="H287" s="118"/>
      <c r="I287" s="110"/>
      <c r="J287" s="118"/>
      <c r="K287" s="285"/>
      <c r="L287" s="121"/>
      <c r="M287" s="118"/>
      <c r="N287" s="303"/>
      <c r="O287" s="110"/>
      <c r="P287" s="110"/>
      <c r="Q287" s="277"/>
    </row>
    <row r="288" spans="1:17" ht="14.25" customHeight="1">
      <c r="A288" s="130"/>
      <c r="B288" s="110"/>
      <c r="C288" s="110"/>
      <c r="D288" s="110" t="s">
        <v>396</v>
      </c>
      <c r="E288" s="110"/>
      <c r="F288" s="835">
        <f>중기사용료!$M$524</f>
        <v>27168</v>
      </c>
      <c r="G288" s="835"/>
      <c r="H288" s="286" t="s">
        <v>975</v>
      </c>
      <c r="I288" s="118" t="s">
        <v>300</v>
      </c>
      <c r="J288" s="282">
        <f>N283</f>
        <v>2.41</v>
      </c>
      <c r="K288" s="282" t="s">
        <v>1582</v>
      </c>
      <c r="L288" s="121">
        <f>TRUNC(F288/J288)</f>
        <v>11273</v>
      </c>
      <c r="M288" s="118" t="s">
        <v>975</v>
      </c>
      <c r="N288" s="303" t="s">
        <v>416</v>
      </c>
      <c r="O288" s="110"/>
      <c r="P288" s="110"/>
      <c r="Q288" s="277"/>
    </row>
    <row r="289" spans="1:18" ht="14.25" customHeight="1">
      <c r="A289" s="130"/>
      <c r="B289" s="110"/>
      <c r="C289" s="118"/>
      <c r="D289" s="110"/>
      <c r="E289" s="290"/>
      <c r="F289" s="291"/>
      <c r="G289" s="291"/>
      <c r="H289" s="118"/>
      <c r="I289" s="110"/>
      <c r="J289" s="118"/>
      <c r="K289" s="285"/>
      <c r="L289" s="121"/>
      <c r="M289" s="118"/>
      <c r="N289" s="303"/>
      <c r="O289" s="110"/>
      <c r="P289" s="110"/>
      <c r="Q289" s="277"/>
      <c r="R289" s="272" t="s">
        <v>1436</v>
      </c>
    </row>
    <row r="290" spans="1:18" ht="14.25" customHeight="1">
      <c r="A290" s="130"/>
      <c r="B290" s="110"/>
      <c r="C290" s="110"/>
      <c r="D290" s="110" t="s">
        <v>398</v>
      </c>
      <c r="E290" s="110"/>
      <c r="F290" s="835">
        <f>중기사용료!$M$518</f>
        <v>17612</v>
      </c>
      <c r="G290" s="835"/>
      <c r="H290" s="118" t="s">
        <v>975</v>
      </c>
      <c r="I290" s="118" t="s">
        <v>300</v>
      </c>
      <c r="J290" s="282">
        <f>N283</f>
        <v>2.41</v>
      </c>
      <c r="K290" s="282" t="s">
        <v>1582</v>
      </c>
      <c r="L290" s="121">
        <f>TRUNC(F290/J290)</f>
        <v>7307</v>
      </c>
      <c r="M290" s="121" t="s">
        <v>975</v>
      </c>
      <c r="N290" s="303" t="s">
        <v>416</v>
      </c>
      <c r="O290" s="110"/>
      <c r="P290" s="110"/>
      <c r="Q290" s="277"/>
    </row>
    <row r="291" spans="1:18" ht="14.25" customHeight="1">
      <c r="A291" s="130"/>
      <c r="B291" s="110"/>
      <c r="C291" s="118"/>
      <c r="D291" s="110"/>
      <c r="E291" s="110"/>
      <c r="F291" s="110"/>
      <c r="G291" s="110"/>
      <c r="H291" s="110"/>
      <c r="I291" s="110"/>
      <c r="J291" s="110"/>
      <c r="K291" s="110"/>
      <c r="L291" s="110"/>
      <c r="M291" s="118"/>
      <c r="N291" s="303"/>
      <c r="O291" s="110"/>
      <c r="P291" s="110"/>
      <c r="Q291" s="277"/>
    </row>
    <row r="292" spans="1:18" s="302" customFormat="1" ht="14.25" customHeight="1">
      <c r="A292" s="162"/>
      <c r="B292" s="164"/>
      <c r="C292" s="165"/>
      <c r="D292" s="164"/>
      <c r="E292" s="164"/>
      <c r="F292" s="852">
        <f>SUM(F286:G290)</f>
        <v>69243</v>
      </c>
      <c r="G292" s="853"/>
      <c r="H292" s="164"/>
      <c r="I292" s="164"/>
      <c r="J292" s="164"/>
      <c r="K292" s="164" t="s">
        <v>1454</v>
      </c>
      <c r="L292" s="312">
        <f>SUM(L286,L288,L290)</f>
        <v>28730</v>
      </c>
      <c r="M292" s="165" t="s">
        <v>975</v>
      </c>
      <c r="N292" s="310" t="s">
        <v>416</v>
      </c>
      <c r="O292" s="164"/>
      <c r="P292" s="164"/>
      <c r="Q292" s="301"/>
      <c r="R292" s="272"/>
    </row>
    <row r="293" spans="1:18" ht="14.25" customHeight="1">
      <c r="A293" s="110"/>
      <c r="B293" s="110"/>
      <c r="C293" s="110"/>
      <c r="D293" s="110"/>
      <c r="E293" s="110"/>
      <c r="F293" s="121"/>
      <c r="G293" s="121"/>
      <c r="H293" s="121"/>
      <c r="I293" s="118"/>
      <c r="J293" s="110"/>
      <c r="K293" s="118"/>
      <c r="L293" s="33"/>
      <c r="M293" s="110"/>
      <c r="N293" s="303"/>
      <c r="O293" s="160"/>
      <c r="P293" s="110"/>
      <c r="Q293" s="293"/>
    </row>
    <row r="294" spans="1:18" ht="14.25" customHeight="1">
      <c r="A294" s="126"/>
      <c r="B294" s="126"/>
      <c r="C294" s="142"/>
      <c r="D294" s="313"/>
      <c r="E294" s="314"/>
      <c r="F294" s="315"/>
      <c r="G294" s="126"/>
      <c r="H294" s="316"/>
      <c r="I294" s="317"/>
      <c r="J294" s="126"/>
      <c r="K294" s="126"/>
      <c r="L294" s="142"/>
      <c r="M294" s="315"/>
      <c r="N294" s="315"/>
      <c r="O294" s="142"/>
      <c r="P294" s="126"/>
      <c r="Q294" s="126"/>
    </row>
    <row r="295" spans="1:18" ht="14.25" customHeight="1">
      <c r="A295" s="306"/>
      <c r="B295" s="262" t="s">
        <v>2408</v>
      </c>
      <c r="C295" s="262"/>
      <c r="D295" s="262"/>
      <c r="E295" s="262"/>
      <c r="F295" s="262"/>
      <c r="G295" s="262"/>
      <c r="H295" s="263"/>
      <c r="I295" s="263" t="s">
        <v>1421</v>
      </c>
      <c r="J295" s="263">
        <v>15</v>
      </c>
      <c r="K295" s="262" t="s">
        <v>1193</v>
      </c>
      <c r="L295" s="263">
        <v>0.4</v>
      </c>
      <c r="M295" s="262" t="s">
        <v>1420</v>
      </c>
      <c r="N295" s="262"/>
      <c r="O295" s="261"/>
      <c r="P295" s="261"/>
      <c r="Q295" s="264"/>
      <c r="R295" s="265" t="s">
        <v>3299</v>
      </c>
    </row>
    <row r="296" spans="1:18" ht="14.25" customHeight="1">
      <c r="A296" s="266"/>
      <c r="B296" s="126"/>
      <c r="C296" s="126"/>
      <c r="D296" s="126"/>
      <c r="E296" s="267"/>
      <c r="F296" s="267"/>
      <c r="G296" s="268"/>
      <c r="H296" s="267"/>
      <c r="I296" s="267"/>
      <c r="J296" s="267"/>
      <c r="K296" s="267"/>
      <c r="L296" s="269"/>
      <c r="M296" s="270"/>
      <c r="N296" s="270"/>
      <c r="O296" s="126"/>
      <c r="P296" s="126"/>
      <c r="Q296" s="271"/>
    </row>
    <row r="297" spans="1:18" ht="14.25" customHeight="1">
      <c r="A297" s="273"/>
      <c r="B297" s="110" t="s">
        <v>1592</v>
      </c>
      <c r="C297" s="33" t="s">
        <v>1593</v>
      </c>
      <c r="D297" s="274"/>
      <c r="E297" s="275"/>
      <c r="F297" s="275"/>
      <c r="G297" s="121"/>
      <c r="H297" s="275"/>
      <c r="I297" s="275"/>
      <c r="J297" s="275" t="s">
        <v>1749</v>
      </c>
      <c r="K297" s="275"/>
      <c r="L297" s="33"/>
      <c r="M297" s="276" t="s">
        <v>1750</v>
      </c>
      <c r="N297" s="276"/>
      <c r="O297" s="110"/>
      <c r="P297" s="110"/>
      <c r="Q297" s="277"/>
    </row>
    <row r="298" spans="1:18" ht="14.25" customHeight="1">
      <c r="A298" s="273"/>
      <c r="B298" s="118" t="s">
        <v>2267</v>
      </c>
      <c r="C298" s="110" t="s">
        <v>1760</v>
      </c>
      <c r="D298" s="110"/>
      <c r="E298" s="110"/>
      <c r="F298" s="110"/>
      <c r="G298" s="275" t="s">
        <v>3103</v>
      </c>
      <c r="H298" s="275">
        <v>2</v>
      </c>
      <c r="I298" s="275" t="s">
        <v>1595</v>
      </c>
      <c r="J298" s="274" t="s">
        <v>1596</v>
      </c>
      <c r="K298" s="110">
        <v>20</v>
      </c>
      <c r="L298" s="110" t="s">
        <v>1595</v>
      </c>
      <c r="M298" s="122" t="s">
        <v>1596</v>
      </c>
      <c r="N298" s="118"/>
      <c r="O298" s="110">
        <v>25</v>
      </c>
      <c r="P298" s="275" t="s">
        <v>1595</v>
      </c>
      <c r="Q298" s="277"/>
    </row>
    <row r="299" spans="1:18" ht="14.25" customHeight="1">
      <c r="A299" s="273"/>
      <c r="B299" s="118" t="s">
        <v>2267</v>
      </c>
      <c r="C299" s="110" t="s">
        <v>1761</v>
      </c>
      <c r="D299" s="110"/>
      <c r="E299" s="110"/>
      <c r="F299" s="110"/>
      <c r="G299" s="275" t="s">
        <v>3105</v>
      </c>
      <c r="H299" s="275">
        <v>28</v>
      </c>
      <c r="I299" s="275" t="s">
        <v>1595</v>
      </c>
      <c r="J299" s="274" t="s">
        <v>1597</v>
      </c>
      <c r="K299" s="110">
        <v>50</v>
      </c>
      <c r="L299" s="110" t="s">
        <v>1595</v>
      </c>
      <c r="M299" s="122" t="s">
        <v>1597</v>
      </c>
      <c r="N299" s="118"/>
      <c r="O299" s="110">
        <v>55</v>
      </c>
      <c r="P299" s="275" t="s">
        <v>1595</v>
      </c>
      <c r="Q299" s="277"/>
    </row>
    <row r="300" spans="1:18" ht="14.25" customHeight="1">
      <c r="A300" s="273"/>
      <c r="B300" s="118"/>
      <c r="C300" s="110"/>
      <c r="D300" s="110"/>
      <c r="E300" s="110"/>
      <c r="F300" s="110"/>
      <c r="G300" s="275"/>
      <c r="H300" s="275"/>
      <c r="I300" s="275"/>
      <c r="J300" s="274"/>
      <c r="K300" s="110"/>
      <c r="L300" s="110"/>
      <c r="M300" s="33"/>
      <c r="N300" s="118"/>
      <c r="O300" s="110"/>
      <c r="P300" s="275"/>
      <c r="Q300" s="277"/>
    </row>
    <row r="301" spans="1:18" ht="14.25" customHeight="1">
      <c r="A301" s="273"/>
      <c r="B301" s="110"/>
      <c r="C301" s="274"/>
      <c r="D301" s="274"/>
      <c r="E301" s="275"/>
      <c r="F301" s="275"/>
      <c r="G301" s="121"/>
      <c r="H301" s="275"/>
      <c r="I301" s="275"/>
      <c r="J301" s="275"/>
      <c r="K301" s="275"/>
      <c r="L301" s="33"/>
      <c r="M301" s="276"/>
      <c r="N301" s="276"/>
      <c r="O301" s="110"/>
      <c r="P301" s="110"/>
      <c r="Q301" s="277"/>
    </row>
    <row r="302" spans="1:18" ht="14.25" customHeight="1">
      <c r="A302" s="130"/>
      <c r="B302" s="110" t="s">
        <v>1592</v>
      </c>
      <c r="C302" s="110" t="s">
        <v>1198</v>
      </c>
      <c r="D302" s="110"/>
      <c r="E302" s="110"/>
      <c r="F302" s="110"/>
      <c r="G302" s="110"/>
      <c r="H302" s="110"/>
      <c r="I302" s="110"/>
      <c r="J302" s="110" t="s">
        <v>400</v>
      </c>
      <c r="K302" s="110"/>
      <c r="L302" s="118">
        <v>1.6</v>
      </c>
      <c r="M302" s="110" t="s">
        <v>1805</v>
      </c>
      <c r="N302" s="110"/>
      <c r="O302" s="110"/>
      <c r="P302" s="110"/>
      <c r="Q302" s="277"/>
    </row>
    <row r="303" spans="1:18" ht="14.25" customHeight="1">
      <c r="A303" s="130"/>
      <c r="B303" s="118"/>
      <c r="C303" s="791" t="s">
        <v>1806</v>
      </c>
      <c r="D303" s="791" t="s">
        <v>1807</v>
      </c>
      <c r="E303" s="791"/>
      <c r="F303" s="791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277"/>
    </row>
    <row r="304" spans="1:18" ht="14.25" customHeight="1">
      <c r="A304" s="130"/>
      <c r="B304" s="118"/>
      <c r="C304" s="791"/>
      <c r="D304" s="843" t="s">
        <v>1583</v>
      </c>
      <c r="E304" s="843"/>
      <c r="F304" s="843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277"/>
    </row>
    <row r="305" spans="1:17" ht="14.25" customHeight="1">
      <c r="A305" s="130"/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277"/>
    </row>
    <row r="306" spans="1:17" ht="14.25" customHeight="1">
      <c r="A306" s="130"/>
      <c r="B306" s="280"/>
      <c r="C306" s="118" t="s">
        <v>1808</v>
      </c>
      <c r="D306" s="110" t="s">
        <v>1809</v>
      </c>
      <c r="E306" s="110"/>
      <c r="F306" s="110"/>
      <c r="G306" s="118"/>
      <c r="H306" s="280"/>
      <c r="I306" s="118"/>
      <c r="J306" s="110"/>
      <c r="K306" s="110"/>
      <c r="L306" s="110"/>
      <c r="M306" s="110"/>
      <c r="N306" s="110"/>
      <c r="O306" s="110"/>
      <c r="P306" s="110"/>
      <c r="Q306" s="277"/>
    </row>
    <row r="307" spans="1:17" ht="14.25" customHeight="1">
      <c r="A307" s="130"/>
      <c r="B307" s="280"/>
      <c r="C307" s="118" t="s">
        <v>298</v>
      </c>
      <c r="D307" s="110" t="s">
        <v>299</v>
      </c>
      <c r="E307" s="845">
        <f>J295</f>
        <v>15</v>
      </c>
      <c r="F307" s="845"/>
      <c r="G307" s="118" t="s">
        <v>300</v>
      </c>
      <c r="H307" s="118">
        <f>L302</f>
        <v>1.6</v>
      </c>
      <c r="I307" s="118" t="s">
        <v>972</v>
      </c>
      <c r="J307" s="118">
        <v>1.25</v>
      </c>
      <c r="K307" s="118" t="s">
        <v>1582</v>
      </c>
      <c r="L307" s="282">
        <f>TRUNC(E307/H307*J307,2)</f>
        <v>11.71</v>
      </c>
      <c r="M307" s="118" t="s">
        <v>301</v>
      </c>
      <c r="N307" s="110"/>
      <c r="O307" s="110"/>
      <c r="P307" s="110"/>
      <c r="Q307" s="277"/>
    </row>
    <row r="308" spans="1:17" ht="14.25" customHeight="1">
      <c r="A308" s="130"/>
      <c r="B308" s="280"/>
      <c r="C308" s="118" t="s">
        <v>302</v>
      </c>
      <c r="D308" s="110" t="s">
        <v>1156</v>
      </c>
      <c r="E308" s="110"/>
      <c r="F308" s="118" t="s">
        <v>1526</v>
      </c>
      <c r="G308" s="283">
        <f>TRUNC(1/J308,2)</f>
        <v>0.8</v>
      </c>
      <c r="H308" s="280" t="s">
        <v>303</v>
      </c>
      <c r="I308" s="118" t="s">
        <v>300</v>
      </c>
      <c r="J308" s="118">
        <f>J307</f>
        <v>1.25</v>
      </c>
      <c r="K308" s="284" t="s">
        <v>304</v>
      </c>
      <c r="L308" s="110"/>
      <c r="M308" s="110"/>
      <c r="N308" s="110"/>
      <c r="O308" s="110"/>
      <c r="P308" s="110"/>
      <c r="Q308" s="277"/>
    </row>
    <row r="309" spans="1:17" ht="14.25" customHeight="1">
      <c r="A309" s="130"/>
      <c r="B309" s="280"/>
      <c r="C309" s="118" t="s">
        <v>1703</v>
      </c>
      <c r="D309" s="110" t="s">
        <v>1207</v>
      </c>
      <c r="E309" s="110"/>
      <c r="F309" s="118" t="s">
        <v>1526</v>
      </c>
      <c r="G309" s="118">
        <v>0.9</v>
      </c>
      <c r="H309" s="280"/>
      <c r="I309" s="110"/>
      <c r="J309" s="110"/>
      <c r="K309" s="110"/>
      <c r="L309" s="110"/>
      <c r="M309" s="110"/>
      <c r="N309" s="110"/>
      <c r="O309" s="110"/>
      <c r="P309" s="110"/>
      <c r="Q309" s="277"/>
    </row>
    <row r="310" spans="1:17" ht="14.25" customHeight="1">
      <c r="A310" s="130"/>
      <c r="B310" s="280"/>
      <c r="C310" s="118" t="s">
        <v>1704</v>
      </c>
      <c r="D310" s="110" t="s">
        <v>401</v>
      </c>
      <c r="E310" s="110"/>
      <c r="F310" s="118"/>
      <c r="G310" s="286">
        <f>E328</f>
        <v>92.92</v>
      </c>
      <c r="H310" s="118" t="s">
        <v>1600</v>
      </c>
      <c r="I310" s="110"/>
      <c r="J310" s="110"/>
      <c r="K310" s="110"/>
      <c r="L310" s="110"/>
      <c r="M310" s="110"/>
      <c r="N310" s="110"/>
      <c r="O310" s="110"/>
      <c r="P310" s="110"/>
      <c r="Q310" s="277"/>
    </row>
    <row r="311" spans="1:17" ht="14.25" customHeight="1">
      <c r="A311" s="130"/>
      <c r="B311" s="280"/>
      <c r="C311" s="118" t="s">
        <v>1704</v>
      </c>
      <c r="D311" s="110" t="s">
        <v>3111</v>
      </c>
      <c r="E311" s="110"/>
      <c r="F311" s="110"/>
      <c r="G311" s="110"/>
      <c r="H311" s="283"/>
      <c r="I311" s="118"/>
      <c r="J311" s="110"/>
      <c r="K311" s="110"/>
      <c r="L311" s="110"/>
      <c r="M311" s="110"/>
      <c r="N311" s="110"/>
      <c r="O311" s="110"/>
      <c r="P311" s="110"/>
      <c r="Q311" s="277"/>
    </row>
    <row r="312" spans="1:17" ht="14.25" customHeight="1">
      <c r="A312" s="130"/>
      <c r="B312" s="110"/>
      <c r="C312" s="118" t="s">
        <v>1706</v>
      </c>
      <c r="D312" s="110" t="s">
        <v>1707</v>
      </c>
      <c r="E312" s="838">
        <f>E320</f>
        <v>16.260000000000002</v>
      </c>
      <c r="F312" s="838"/>
      <c r="G312" s="110" t="s">
        <v>402</v>
      </c>
      <c r="H312" s="285" t="s">
        <v>403</v>
      </c>
      <c r="I312" s="118"/>
      <c r="J312" s="118"/>
      <c r="K312" s="110"/>
      <c r="L312" s="118"/>
      <c r="M312" s="286"/>
      <c r="N312" s="286"/>
      <c r="O312" s="118"/>
      <c r="P312" s="110"/>
      <c r="Q312" s="277"/>
    </row>
    <row r="313" spans="1:17" ht="14.25" customHeight="1">
      <c r="A313" s="130"/>
      <c r="B313" s="110"/>
      <c r="C313" s="118"/>
      <c r="E313" s="288"/>
      <c r="F313" s="286"/>
      <c r="G313" s="110"/>
      <c r="H313" s="285"/>
      <c r="I313" s="118"/>
      <c r="J313" s="118"/>
      <c r="K313" s="110"/>
      <c r="L313" s="118"/>
      <c r="M313" s="286"/>
      <c r="N313" s="286"/>
      <c r="O313" s="118"/>
      <c r="P313" s="110"/>
      <c r="Q313" s="277"/>
    </row>
    <row r="314" spans="1:17" ht="14.25" customHeight="1">
      <c r="A314" s="130"/>
      <c r="B314" s="110"/>
      <c r="C314" s="118"/>
      <c r="D314" s="118" t="s">
        <v>404</v>
      </c>
      <c r="E314" s="846">
        <v>18</v>
      </c>
      <c r="F314" s="846"/>
      <c r="G314" s="110" t="s">
        <v>405</v>
      </c>
      <c r="H314" s="285" t="s">
        <v>1747</v>
      </c>
      <c r="I314" s="118"/>
      <c r="J314" s="109"/>
      <c r="K314" s="110"/>
      <c r="L314" s="109"/>
      <c r="M314" s="286"/>
      <c r="N314" s="286"/>
      <c r="O314" s="118"/>
      <c r="P314" s="110"/>
      <c r="Q314" s="277"/>
    </row>
    <row r="315" spans="1:17" ht="14.25" customHeight="1">
      <c r="A315" s="130"/>
      <c r="B315" s="110"/>
      <c r="C315" s="118"/>
      <c r="D315" s="280"/>
      <c r="E315" s="288"/>
      <c r="F315" s="286"/>
      <c r="G315" s="110"/>
      <c r="H315" s="285"/>
      <c r="I315" s="307"/>
      <c r="K315" s="110"/>
      <c r="L315" s="118"/>
      <c r="M315" s="286"/>
      <c r="N315" s="286"/>
      <c r="O315" s="118"/>
      <c r="P315" s="110"/>
      <c r="Q315" s="277"/>
    </row>
    <row r="316" spans="1:17" ht="14.25" customHeight="1">
      <c r="A316" s="130"/>
      <c r="B316" s="110"/>
      <c r="C316" s="118"/>
      <c r="D316" s="110" t="s">
        <v>407</v>
      </c>
      <c r="E316" s="288" t="s">
        <v>408</v>
      </c>
      <c r="F316" s="286"/>
      <c r="G316" s="110"/>
      <c r="H316" s="285"/>
      <c r="I316" s="118" t="s">
        <v>1748</v>
      </c>
      <c r="J316" s="118">
        <v>0.9</v>
      </c>
      <c r="K316" s="110"/>
      <c r="L316" s="118"/>
      <c r="M316" s="286"/>
      <c r="N316" s="286"/>
      <c r="O316" s="118"/>
      <c r="P316" s="110"/>
      <c r="Q316" s="277"/>
    </row>
    <row r="317" spans="1:17" ht="14.25" customHeight="1">
      <c r="A317" s="130"/>
      <c r="B317" s="110"/>
      <c r="C317" s="118"/>
      <c r="D317" s="110" t="s">
        <v>410</v>
      </c>
      <c r="E317" s="838">
        <f>L307</f>
        <v>11.71</v>
      </c>
      <c r="F317" s="838"/>
      <c r="G317" s="118" t="s">
        <v>411</v>
      </c>
      <c r="H317" s="285">
        <f>L295</f>
        <v>0.4</v>
      </c>
      <c r="I317" s="118" t="s">
        <v>86</v>
      </c>
      <c r="J317" s="118">
        <f>J316</f>
        <v>0.9</v>
      </c>
      <c r="K317" s="110" t="s">
        <v>412</v>
      </c>
      <c r="L317" s="118">
        <f>TRUNC(E317/(H317*J317),2)</f>
        <v>32.520000000000003</v>
      </c>
      <c r="M317" s="286" t="s">
        <v>969</v>
      </c>
      <c r="N317" s="286"/>
      <c r="O317" s="118"/>
      <c r="P317" s="110"/>
      <c r="Q317" s="277"/>
    </row>
    <row r="318" spans="1:17" ht="14.25" customHeight="1">
      <c r="A318" s="130"/>
      <c r="B318" s="110"/>
      <c r="C318" s="118"/>
      <c r="D318" s="110" t="s">
        <v>413</v>
      </c>
      <c r="E318" s="838">
        <v>0.6</v>
      </c>
      <c r="F318" s="838"/>
      <c r="G318" s="118"/>
      <c r="H318" s="285"/>
      <c r="I318" s="118"/>
      <c r="J318" s="118"/>
      <c r="K318" s="110"/>
      <c r="L318" s="118"/>
      <c r="M318" s="286"/>
      <c r="N318" s="286"/>
      <c r="O318" s="118"/>
      <c r="P318" s="110"/>
      <c r="Q318" s="277"/>
    </row>
    <row r="319" spans="1:17" ht="14.25" customHeight="1">
      <c r="A319" s="130"/>
      <c r="B319" s="110"/>
      <c r="C319" s="118" t="s">
        <v>1601</v>
      </c>
      <c r="D319" s="110" t="s">
        <v>1709</v>
      </c>
      <c r="E319" s="845">
        <f>E314</f>
        <v>18</v>
      </c>
      <c r="F319" s="845"/>
      <c r="G319" s="118" t="s">
        <v>972</v>
      </c>
      <c r="H319" s="285">
        <f>L317</f>
        <v>32.520000000000003</v>
      </c>
      <c r="I319" s="118" t="s">
        <v>414</v>
      </c>
      <c r="J319" s="118">
        <v>60</v>
      </c>
      <c r="K319" s="118" t="s">
        <v>972</v>
      </c>
      <c r="L319" s="282">
        <f>E318</f>
        <v>0.6</v>
      </c>
      <c r="M319" s="288" t="s">
        <v>2112</v>
      </c>
      <c r="N319" s="286"/>
      <c r="O319" s="118"/>
      <c r="P319" s="110"/>
      <c r="Q319" s="277"/>
    </row>
    <row r="320" spans="1:17" ht="14.25" customHeight="1">
      <c r="A320" s="130"/>
      <c r="B320" s="110"/>
      <c r="C320" s="118"/>
      <c r="D320" s="110" t="s">
        <v>410</v>
      </c>
      <c r="E320" s="838">
        <f>TRUNC((E319*H319)/(J319*L319),2)</f>
        <v>16.260000000000002</v>
      </c>
      <c r="F320" s="838"/>
      <c r="G320" s="110" t="s">
        <v>415</v>
      </c>
      <c r="H320" s="287"/>
      <c r="I320" s="118"/>
      <c r="J320" s="118"/>
      <c r="K320" s="118"/>
      <c r="L320" s="118"/>
      <c r="M320" s="286"/>
      <c r="N320" s="286"/>
      <c r="O320" s="118"/>
      <c r="P320" s="110"/>
      <c r="Q320" s="277"/>
    </row>
    <row r="321" spans="1:17" ht="14.25" customHeight="1">
      <c r="A321" s="130"/>
      <c r="B321" s="110"/>
      <c r="C321" s="118" t="s">
        <v>2110</v>
      </c>
      <c r="D321" s="110" t="s">
        <v>381</v>
      </c>
      <c r="E321" s="791">
        <f>J324</f>
        <v>74.94</v>
      </c>
      <c r="F321" s="791"/>
      <c r="G321" s="110" t="s">
        <v>382</v>
      </c>
      <c r="H321" s="118"/>
      <c r="I321" s="110"/>
      <c r="J321" s="110"/>
      <c r="K321" s="110"/>
      <c r="L321" s="118"/>
      <c r="M321" s="118"/>
      <c r="N321" s="118"/>
      <c r="O321" s="110"/>
      <c r="P321" s="110"/>
      <c r="Q321" s="277"/>
    </row>
    <row r="322" spans="1:17" ht="14.25" customHeight="1">
      <c r="A322" s="130"/>
      <c r="B322" s="110"/>
      <c r="C322" s="280" t="s">
        <v>2111</v>
      </c>
      <c r="D322" s="118">
        <f>H298</f>
        <v>2</v>
      </c>
      <c r="E322" s="118" t="s">
        <v>300</v>
      </c>
      <c r="F322" s="118">
        <f>K298</f>
        <v>20</v>
      </c>
      <c r="G322" s="110" t="s">
        <v>383</v>
      </c>
      <c r="H322" s="118">
        <f>H298</f>
        <v>2</v>
      </c>
      <c r="I322" s="118" t="s">
        <v>300</v>
      </c>
      <c r="J322" s="118">
        <f>O298</f>
        <v>25</v>
      </c>
      <c r="K322" s="118" t="s">
        <v>1757</v>
      </c>
      <c r="L322" s="118">
        <f>H299</f>
        <v>28</v>
      </c>
      <c r="M322" s="118" t="s">
        <v>300</v>
      </c>
      <c r="N322" s="791">
        <f>K299</f>
        <v>50</v>
      </c>
      <c r="O322" s="791"/>
      <c r="P322" s="110" t="s">
        <v>2112</v>
      </c>
      <c r="Q322" s="277"/>
    </row>
    <row r="323" spans="1:17" ht="14.25" customHeight="1">
      <c r="A323" s="130"/>
      <c r="B323" s="110"/>
      <c r="C323" s="309" t="s">
        <v>1758</v>
      </c>
      <c r="D323" s="118">
        <f>H299</f>
        <v>28</v>
      </c>
      <c r="E323" s="118" t="s">
        <v>300</v>
      </c>
      <c r="F323" s="118">
        <f>O299</f>
        <v>55</v>
      </c>
      <c r="G323" s="110" t="s">
        <v>1762</v>
      </c>
      <c r="H323" s="118"/>
      <c r="I323" s="118"/>
      <c r="J323" s="118"/>
      <c r="K323" s="118"/>
      <c r="L323" s="118"/>
      <c r="M323" s="118"/>
      <c r="N323" s="791"/>
      <c r="O323" s="791"/>
      <c r="P323" s="110"/>
      <c r="Q323" s="277"/>
    </row>
    <row r="324" spans="1:17" ht="14.25" customHeight="1">
      <c r="A324" s="130"/>
      <c r="B324" s="110"/>
      <c r="C324" s="118"/>
      <c r="D324" s="280" t="s">
        <v>1582</v>
      </c>
      <c r="E324" s="791">
        <f>(D322/F322)+(H322/J322)+(L322/N322)+(D323/F323)</f>
        <v>1.249090909090909</v>
      </c>
      <c r="F324" s="791"/>
      <c r="G324" s="110" t="s">
        <v>384</v>
      </c>
      <c r="H324" s="118">
        <v>60</v>
      </c>
      <c r="I324" s="118" t="s">
        <v>1582</v>
      </c>
      <c r="J324" s="283">
        <f>TRUNC(E324*H324,2)</f>
        <v>74.94</v>
      </c>
      <c r="K324" s="286" t="s">
        <v>1600</v>
      </c>
      <c r="L324" s="110"/>
      <c r="M324" s="110"/>
      <c r="N324" s="118"/>
      <c r="O324" s="110"/>
      <c r="P324" s="110"/>
      <c r="Q324" s="277"/>
    </row>
    <row r="325" spans="1:17" ht="14.25" customHeight="1">
      <c r="A325" s="130"/>
      <c r="B325" s="110"/>
      <c r="C325" s="118" t="s">
        <v>2113</v>
      </c>
      <c r="D325" s="110" t="s">
        <v>385</v>
      </c>
      <c r="E325" s="846">
        <v>0.8</v>
      </c>
      <c r="F325" s="846"/>
      <c r="G325" s="110" t="s">
        <v>1600</v>
      </c>
      <c r="H325" s="118"/>
      <c r="I325" s="110"/>
      <c r="J325" s="118"/>
      <c r="K325" s="110"/>
      <c r="L325" s="110"/>
      <c r="M325" s="110"/>
      <c r="N325" s="110"/>
      <c r="O325" s="110"/>
      <c r="P325" s="110"/>
      <c r="Q325" s="277"/>
    </row>
    <row r="326" spans="1:17" ht="14.25" customHeight="1">
      <c r="A326" s="130"/>
      <c r="B326" s="110"/>
      <c r="C326" s="118" t="s">
        <v>2114</v>
      </c>
      <c r="D326" s="110" t="s">
        <v>387</v>
      </c>
      <c r="E326" s="791">
        <v>0.42</v>
      </c>
      <c r="F326" s="791"/>
      <c r="G326" s="110" t="s">
        <v>1759</v>
      </c>
      <c r="H326" s="118"/>
      <c r="I326" s="110"/>
      <c r="J326" s="110"/>
      <c r="K326" s="110"/>
      <c r="L326" s="110"/>
      <c r="M326" s="118"/>
      <c r="N326" s="118"/>
      <c r="O326" s="110"/>
      <c r="P326" s="110"/>
      <c r="Q326" s="277"/>
    </row>
    <row r="327" spans="1:17" ht="14.25" customHeight="1">
      <c r="A327" s="130"/>
      <c r="B327" s="110"/>
      <c r="C327" s="118" t="s">
        <v>3112</v>
      </c>
      <c r="D327" s="110" t="s">
        <v>389</v>
      </c>
      <c r="E327" s="791">
        <v>0.5</v>
      </c>
      <c r="F327" s="791"/>
      <c r="G327" s="110" t="s">
        <v>390</v>
      </c>
      <c r="H327" s="110"/>
      <c r="I327" s="110"/>
      <c r="J327" s="110"/>
      <c r="K327" s="110"/>
      <c r="L327" s="110"/>
      <c r="M327" s="110"/>
      <c r="N327" s="110"/>
      <c r="O327" s="110"/>
      <c r="P327" s="110"/>
      <c r="Q327" s="277"/>
    </row>
    <row r="328" spans="1:17" ht="14.25" customHeight="1">
      <c r="A328" s="130"/>
      <c r="B328" s="110"/>
      <c r="C328" s="118"/>
      <c r="D328" s="118" t="s">
        <v>1454</v>
      </c>
      <c r="E328" s="840">
        <f>E312+E321+E325+E326+E327</f>
        <v>92.92</v>
      </c>
      <c r="F328" s="840"/>
      <c r="G328" s="110" t="s">
        <v>1600</v>
      </c>
      <c r="H328" s="110"/>
      <c r="I328" s="110"/>
      <c r="J328" s="110"/>
      <c r="K328" s="110"/>
      <c r="L328" s="110"/>
      <c r="M328" s="110"/>
      <c r="N328" s="110"/>
      <c r="O328" s="110"/>
      <c r="P328" s="110"/>
      <c r="Q328" s="277"/>
    </row>
    <row r="329" spans="1:17" ht="14.25" customHeight="1">
      <c r="A329" s="130"/>
      <c r="B329" s="118"/>
      <c r="C329" s="118"/>
      <c r="D329" s="110"/>
      <c r="E329" s="118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277"/>
    </row>
    <row r="330" spans="1:17" ht="14.25" customHeight="1">
      <c r="A330" s="130" t="s">
        <v>391</v>
      </c>
      <c r="B330" s="110" t="s">
        <v>392</v>
      </c>
      <c r="C330" s="118"/>
      <c r="D330" s="110"/>
      <c r="E330" s="118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277"/>
    </row>
    <row r="331" spans="1:17" ht="14.25" customHeight="1">
      <c r="A331" s="130"/>
      <c r="B331" s="28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277"/>
    </row>
    <row r="332" spans="1:17" ht="14.25" customHeight="1">
      <c r="A332" s="841"/>
      <c r="B332" s="791" t="s">
        <v>1111</v>
      </c>
      <c r="C332" s="791" t="s">
        <v>1582</v>
      </c>
      <c r="D332" s="280" t="s">
        <v>393</v>
      </c>
      <c r="E332" s="286">
        <f>G308</f>
        <v>0.8</v>
      </c>
      <c r="F332" s="118" t="s">
        <v>972</v>
      </c>
      <c r="G332" s="282">
        <f>L307</f>
        <v>11.71</v>
      </c>
      <c r="H332" s="118" t="s">
        <v>972</v>
      </c>
      <c r="I332" s="118">
        <f>G309</f>
        <v>0.9</v>
      </c>
      <c r="J332" s="791" t="s">
        <v>1582</v>
      </c>
      <c r="K332" s="847">
        <f>TRUNC(E332*G332*I332*60,3)</f>
        <v>505.87200000000001</v>
      </c>
      <c r="L332" s="847"/>
      <c r="M332" s="791" t="s">
        <v>1582</v>
      </c>
      <c r="N332" s="838">
        <f>TRUNC(K332/K333,2)</f>
        <v>5.44</v>
      </c>
      <c r="O332" s="838"/>
      <c r="P332" s="110" t="s">
        <v>301</v>
      </c>
      <c r="Q332" s="277"/>
    </row>
    <row r="333" spans="1:17" ht="14.25" customHeight="1">
      <c r="A333" s="841"/>
      <c r="B333" s="791"/>
      <c r="C333" s="791"/>
      <c r="D333" s="848">
        <f>G310</f>
        <v>92.92</v>
      </c>
      <c r="E333" s="848"/>
      <c r="F333" s="848"/>
      <c r="G333" s="848"/>
      <c r="H333" s="848"/>
      <c r="I333" s="848"/>
      <c r="J333" s="791"/>
      <c r="K333" s="839">
        <f>D333</f>
        <v>92.92</v>
      </c>
      <c r="L333" s="839"/>
      <c r="M333" s="791"/>
      <c r="N333" s="838"/>
      <c r="O333" s="838"/>
      <c r="P333" s="110"/>
      <c r="Q333" s="277" t="s">
        <v>394</v>
      </c>
    </row>
    <row r="334" spans="1:17" ht="14.25" customHeight="1">
      <c r="A334" s="13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277"/>
    </row>
    <row r="335" spans="1:17" ht="14.25" customHeight="1">
      <c r="A335" s="130"/>
      <c r="B335" s="110"/>
      <c r="C335" s="110"/>
      <c r="D335" s="110" t="s">
        <v>395</v>
      </c>
      <c r="E335" s="110"/>
      <c r="F335" s="835">
        <f>중기사용료!$M$530</f>
        <v>24463</v>
      </c>
      <c r="G335" s="835"/>
      <c r="H335" s="286" t="s">
        <v>975</v>
      </c>
      <c r="I335" s="118" t="s">
        <v>300</v>
      </c>
      <c r="J335" s="285">
        <f>N332</f>
        <v>5.44</v>
      </c>
      <c r="K335" s="282" t="s">
        <v>1582</v>
      </c>
      <c r="L335" s="121">
        <f>TRUNC(F335/J335)</f>
        <v>4496</v>
      </c>
      <c r="M335" s="118" t="s">
        <v>975</v>
      </c>
      <c r="N335" s="303" t="s">
        <v>416</v>
      </c>
      <c r="O335" s="110"/>
      <c r="P335" s="110"/>
      <c r="Q335" s="277"/>
    </row>
    <row r="336" spans="1:17" ht="14.25" customHeight="1">
      <c r="A336" s="130"/>
      <c r="B336" s="110"/>
      <c r="C336" s="118"/>
      <c r="D336" s="110"/>
      <c r="E336" s="290"/>
      <c r="F336" s="291"/>
      <c r="G336" s="291"/>
      <c r="H336" s="118"/>
      <c r="I336" s="110"/>
      <c r="J336" s="110"/>
      <c r="K336" s="285"/>
      <c r="L336" s="121"/>
      <c r="M336" s="118"/>
      <c r="N336" s="303"/>
      <c r="O336" s="110"/>
      <c r="P336" s="110"/>
      <c r="Q336" s="277"/>
    </row>
    <row r="337" spans="1:18" ht="14.25" customHeight="1">
      <c r="A337" s="130"/>
      <c r="B337" s="110"/>
      <c r="C337" s="110"/>
      <c r="D337" s="110" t="s">
        <v>396</v>
      </c>
      <c r="E337" s="110"/>
      <c r="F337" s="835">
        <f>중기사용료!$M$524</f>
        <v>27168</v>
      </c>
      <c r="G337" s="835"/>
      <c r="H337" s="286" t="s">
        <v>975</v>
      </c>
      <c r="I337" s="118" t="s">
        <v>300</v>
      </c>
      <c r="J337" s="285">
        <f>N332</f>
        <v>5.44</v>
      </c>
      <c r="K337" s="282" t="s">
        <v>1582</v>
      </c>
      <c r="L337" s="121">
        <f>TRUNC(F337/J337)</f>
        <v>4994</v>
      </c>
      <c r="M337" s="118" t="s">
        <v>975</v>
      </c>
      <c r="N337" s="303" t="s">
        <v>416</v>
      </c>
      <c r="O337" s="110"/>
      <c r="P337" s="110"/>
      <c r="Q337" s="277"/>
    </row>
    <row r="338" spans="1:18" ht="14.25" customHeight="1">
      <c r="A338" s="130"/>
      <c r="B338" s="110"/>
      <c r="C338" s="118"/>
      <c r="D338" s="110"/>
      <c r="E338" s="290"/>
      <c r="F338" s="291"/>
      <c r="G338" s="291"/>
      <c r="H338" s="118"/>
      <c r="I338" s="110"/>
      <c r="J338" s="110"/>
      <c r="K338" s="285"/>
      <c r="L338" s="121"/>
      <c r="M338" s="118"/>
      <c r="N338" s="303"/>
      <c r="O338" s="110"/>
      <c r="P338" s="110"/>
      <c r="Q338" s="277"/>
      <c r="R338" s="272" t="s">
        <v>1436</v>
      </c>
    </row>
    <row r="339" spans="1:18" ht="14.25" customHeight="1">
      <c r="A339" s="130"/>
      <c r="B339" s="110"/>
      <c r="C339" s="110"/>
      <c r="D339" s="110" t="s">
        <v>398</v>
      </c>
      <c r="E339" s="110"/>
      <c r="F339" s="835">
        <f>중기사용료!$M$518</f>
        <v>17612</v>
      </c>
      <c r="G339" s="835"/>
      <c r="H339" s="118" t="s">
        <v>975</v>
      </c>
      <c r="I339" s="118" t="s">
        <v>300</v>
      </c>
      <c r="J339" s="285">
        <f>N332</f>
        <v>5.44</v>
      </c>
      <c r="K339" s="282" t="s">
        <v>1582</v>
      </c>
      <c r="L339" s="121">
        <f>TRUNC(F339/J339)</f>
        <v>3237</v>
      </c>
      <c r="M339" s="121" t="s">
        <v>975</v>
      </c>
      <c r="N339" s="303" t="s">
        <v>416</v>
      </c>
      <c r="O339" s="110"/>
      <c r="P339" s="110"/>
      <c r="Q339" s="277"/>
    </row>
    <row r="340" spans="1:18" ht="14.25" customHeight="1">
      <c r="A340" s="130"/>
      <c r="B340" s="110"/>
      <c r="C340" s="118"/>
      <c r="D340" s="110"/>
      <c r="E340" s="110"/>
      <c r="F340" s="110"/>
      <c r="G340" s="110"/>
      <c r="H340" s="110"/>
      <c r="I340" s="110"/>
      <c r="J340" s="110"/>
      <c r="K340" s="110"/>
      <c r="L340" s="110"/>
      <c r="M340" s="118"/>
      <c r="N340" s="303"/>
      <c r="O340" s="110"/>
      <c r="P340" s="110"/>
      <c r="Q340" s="277"/>
    </row>
    <row r="341" spans="1:18" ht="14.25" customHeight="1">
      <c r="A341" s="162"/>
      <c r="B341" s="164"/>
      <c r="C341" s="164"/>
      <c r="D341" s="164"/>
      <c r="E341" s="164"/>
      <c r="F341" s="844">
        <f>SUM(F335:G339)</f>
        <v>69243</v>
      </c>
      <c r="G341" s="844"/>
      <c r="H341" s="299"/>
      <c r="I341" s="165"/>
      <c r="J341" s="164"/>
      <c r="K341" s="165" t="s">
        <v>1454</v>
      </c>
      <c r="L341" s="292">
        <f>SUM(L335,L337,L339)</f>
        <v>12727</v>
      </c>
      <c r="M341" s="164" t="s">
        <v>975</v>
      </c>
      <c r="N341" s="310" t="s">
        <v>416</v>
      </c>
      <c r="O341" s="300"/>
      <c r="P341" s="164"/>
      <c r="Q341" s="301"/>
    </row>
    <row r="342" spans="1:18" ht="14.25" customHeight="1">
      <c r="A342" s="135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293"/>
    </row>
    <row r="344" spans="1:18" s="265" customFormat="1" ht="14.25" customHeight="1">
      <c r="A344" s="306"/>
      <c r="B344" s="262" t="s">
        <v>2408</v>
      </c>
      <c r="C344" s="262"/>
      <c r="D344" s="262"/>
      <c r="E344" s="262"/>
      <c r="F344" s="262"/>
      <c r="G344" s="262"/>
      <c r="H344" s="263"/>
      <c r="I344" s="263" t="s">
        <v>1421</v>
      </c>
      <c r="J344" s="263">
        <v>15</v>
      </c>
      <c r="K344" s="262" t="s">
        <v>1193</v>
      </c>
      <c r="L344" s="263">
        <v>0.7</v>
      </c>
      <c r="M344" s="262" t="s">
        <v>1420</v>
      </c>
      <c r="N344" s="262"/>
      <c r="O344" s="261"/>
      <c r="P344" s="261"/>
      <c r="Q344" s="264"/>
      <c r="R344" s="265" t="s">
        <v>3299</v>
      </c>
    </row>
    <row r="345" spans="1:18" ht="14.25" customHeight="1">
      <c r="A345" s="266"/>
      <c r="B345" s="126"/>
      <c r="C345" s="126"/>
      <c r="D345" s="126"/>
      <c r="E345" s="267"/>
      <c r="F345" s="267"/>
      <c r="G345" s="268"/>
      <c r="H345" s="267"/>
      <c r="I345" s="267"/>
      <c r="J345" s="267"/>
      <c r="K345" s="267"/>
      <c r="L345" s="269"/>
      <c r="M345" s="270"/>
      <c r="N345" s="270"/>
      <c r="O345" s="126"/>
      <c r="P345" s="126"/>
      <c r="Q345" s="271"/>
    </row>
    <row r="346" spans="1:18" ht="14.25" customHeight="1">
      <c r="A346" s="273"/>
      <c r="B346" s="110" t="s">
        <v>1592</v>
      </c>
      <c r="C346" s="33" t="s">
        <v>1593</v>
      </c>
      <c r="D346" s="274"/>
      <c r="E346" s="275"/>
      <c r="F346" s="275"/>
      <c r="G346" s="121"/>
      <c r="H346" s="275"/>
      <c r="I346" s="275"/>
      <c r="J346" s="275" t="s">
        <v>1749</v>
      </c>
      <c r="K346" s="275"/>
      <c r="L346" s="33"/>
      <c r="M346" s="276" t="s">
        <v>1750</v>
      </c>
      <c r="N346" s="276"/>
      <c r="O346" s="110"/>
      <c r="P346" s="110"/>
      <c r="Q346" s="277"/>
    </row>
    <row r="347" spans="1:18" ht="14.25" customHeight="1">
      <c r="A347" s="273"/>
      <c r="B347" s="118" t="s">
        <v>2267</v>
      </c>
      <c r="C347" s="110" t="s">
        <v>1760</v>
      </c>
      <c r="D347" s="110"/>
      <c r="E347" s="110"/>
      <c r="F347" s="110"/>
      <c r="G347" s="275" t="s">
        <v>3103</v>
      </c>
      <c r="H347" s="275">
        <v>2</v>
      </c>
      <c r="I347" s="275" t="s">
        <v>1595</v>
      </c>
      <c r="J347" s="274" t="s">
        <v>1596</v>
      </c>
      <c r="K347" s="110">
        <v>20</v>
      </c>
      <c r="L347" s="110" t="s">
        <v>1595</v>
      </c>
      <c r="M347" s="122" t="s">
        <v>1596</v>
      </c>
      <c r="N347" s="118"/>
      <c r="O347" s="110">
        <v>25</v>
      </c>
      <c r="P347" s="275" t="s">
        <v>1595</v>
      </c>
      <c r="Q347" s="277"/>
    </row>
    <row r="348" spans="1:18" ht="14.25" customHeight="1">
      <c r="A348" s="273"/>
      <c r="B348" s="118" t="s">
        <v>2267</v>
      </c>
      <c r="C348" s="110" t="s">
        <v>1761</v>
      </c>
      <c r="D348" s="110"/>
      <c r="E348" s="110"/>
      <c r="F348" s="110"/>
      <c r="G348" s="275" t="s">
        <v>3105</v>
      </c>
      <c r="H348" s="275">
        <v>28</v>
      </c>
      <c r="I348" s="275" t="s">
        <v>1595</v>
      </c>
      <c r="J348" s="274" t="s">
        <v>1597</v>
      </c>
      <c r="K348" s="110">
        <v>50</v>
      </c>
      <c r="L348" s="110" t="s">
        <v>1595</v>
      </c>
      <c r="M348" s="122" t="s">
        <v>1597</v>
      </c>
      <c r="N348" s="118"/>
      <c r="O348" s="110">
        <v>55</v>
      </c>
      <c r="P348" s="275" t="s">
        <v>1595</v>
      </c>
      <c r="Q348" s="277"/>
    </row>
    <row r="349" spans="1:18" ht="14.25" customHeight="1">
      <c r="A349" s="273"/>
      <c r="B349" s="118"/>
      <c r="C349" s="110"/>
      <c r="D349" s="110"/>
      <c r="E349" s="110"/>
      <c r="F349" s="110"/>
      <c r="G349" s="275"/>
      <c r="H349" s="275"/>
      <c r="I349" s="275"/>
      <c r="J349" s="274"/>
      <c r="K349" s="110"/>
      <c r="L349" s="110"/>
      <c r="M349" s="33"/>
      <c r="N349" s="118"/>
      <c r="O349" s="110"/>
      <c r="P349" s="275"/>
      <c r="Q349" s="277"/>
    </row>
    <row r="350" spans="1:18" ht="14.25" customHeight="1">
      <c r="A350" s="273"/>
      <c r="B350" s="110"/>
      <c r="C350" s="274"/>
      <c r="D350" s="274"/>
      <c r="E350" s="275"/>
      <c r="F350" s="275"/>
      <c r="G350" s="121"/>
      <c r="H350" s="275"/>
      <c r="I350" s="275"/>
      <c r="J350" s="275"/>
      <c r="K350" s="275"/>
      <c r="L350" s="33"/>
      <c r="M350" s="276"/>
      <c r="N350" s="276"/>
      <c r="O350" s="110"/>
      <c r="P350" s="110"/>
      <c r="Q350" s="277"/>
    </row>
    <row r="351" spans="1:18" ht="14.25" customHeight="1">
      <c r="A351" s="130"/>
      <c r="B351" s="110" t="s">
        <v>1592</v>
      </c>
      <c r="C351" s="110" t="s">
        <v>1198</v>
      </c>
      <c r="D351" s="110"/>
      <c r="E351" s="110"/>
      <c r="F351" s="110"/>
      <c r="G351" s="110"/>
      <c r="H351" s="110"/>
      <c r="I351" s="110"/>
      <c r="J351" s="110" t="s">
        <v>400</v>
      </c>
      <c r="K351" s="110"/>
      <c r="L351" s="118">
        <v>1.6</v>
      </c>
      <c r="M351" s="110" t="s">
        <v>1805</v>
      </c>
      <c r="N351" s="110"/>
      <c r="O351" s="110"/>
      <c r="P351" s="110"/>
      <c r="Q351" s="277"/>
    </row>
    <row r="352" spans="1:18" ht="14.25" customHeight="1">
      <c r="A352" s="130"/>
      <c r="B352" s="118"/>
      <c r="C352" s="791" t="s">
        <v>1806</v>
      </c>
      <c r="D352" s="791" t="s">
        <v>1807</v>
      </c>
      <c r="E352" s="791"/>
      <c r="F352" s="791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277"/>
    </row>
    <row r="353" spans="1:17" ht="14.25" customHeight="1">
      <c r="A353" s="130"/>
      <c r="B353" s="118"/>
      <c r="C353" s="791"/>
      <c r="D353" s="843" t="s">
        <v>1583</v>
      </c>
      <c r="E353" s="843"/>
      <c r="F353" s="843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277"/>
    </row>
    <row r="354" spans="1:17" ht="14.25" customHeight="1">
      <c r="A354" s="130"/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277"/>
    </row>
    <row r="355" spans="1:17" ht="14.25" customHeight="1">
      <c r="A355" s="130"/>
      <c r="B355" s="280"/>
      <c r="C355" s="118" t="s">
        <v>1808</v>
      </c>
      <c r="D355" s="110" t="s">
        <v>1809</v>
      </c>
      <c r="E355" s="110"/>
      <c r="F355" s="110"/>
      <c r="G355" s="118"/>
      <c r="H355" s="280"/>
      <c r="I355" s="118"/>
      <c r="J355" s="110"/>
      <c r="K355" s="110"/>
      <c r="L355" s="110"/>
      <c r="M355" s="110"/>
      <c r="N355" s="110"/>
      <c r="O355" s="110"/>
      <c r="P355" s="110"/>
      <c r="Q355" s="277"/>
    </row>
    <row r="356" spans="1:17" ht="14.25" customHeight="1">
      <c r="A356" s="130"/>
      <c r="B356" s="280"/>
      <c r="C356" s="118" t="s">
        <v>298</v>
      </c>
      <c r="D356" s="110" t="s">
        <v>299</v>
      </c>
      <c r="E356" s="845">
        <f>J344</f>
        <v>15</v>
      </c>
      <c r="F356" s="845"/>
      <c r="G356" s="118" t="s">
        <v>300</v>
      </c>
      <c r="H356" s="118">
        <f>L351</f>
        <v>1.6</v>
      </c>
      <c r="I356" s="118" t="s">
        <v>972</v>
      </c>
      <c r="J356" s="118">
        <v>1.25</v>
      </c>
      <c r="K356" s="118" t="s">
        <v>1582</v>
      </c>
      <c r="L356" s="282">
        <f>TRUNC(E356/H356*J356,2)</f>
        <v>11.71</v>
      </c>
      <c r="M356" s="118" t="s">
        <v>301</v>
      </c>
      <c r="N356" s="110"/>
      <c r="O356" s="110"/>
      <c r="P356" s="110"/>
      <c r="Q356" s="277"/>
    </row>
    <row r="357" spans="1:17" ht="14.25" customHeight="1">
      <c r="A357" s="130"/>
      <c r="B357" s="280"/>
      <c r="C357" s="118" t="s">
        <v>302</v>
      </c>
      <c r="D357" s="110" t="s">
        <v>1156</v>
      </c>
      <c r="E357" s="110"/>
      <c r="F357" s="118" t="s">
        <v>1526</v>
      </c>
      <c r="G357" s="283">
        <f>TRUNC(1/J357,2)</f>
        <v>0.8</v>
      </c>
      <c r="H357" s="280" t="s">
        <v>303</v>
      </c>
      <c r="I357" s="118" t="s">
        <v>300</v>
      </c>
      <c r="J357" s="118">
        <f>J356</f>
        <v>1.25</v>
      </c>
      <c r="K357" s="284" t="s">
        <v>304</v>
      </c>
      <c r="L357" s="110"/>
      <c r="M357" s="110"/>
      <c r="N357" s="110"/>
      <c r="O357" s="110"/>
      <c r="P357" s="110"/>
      <c r="Q357" s="277"/>
    </row>
    <row r="358" spans="1:17" ht="14.25" customHeight="1">
      <c r="A358" s="130"/>
      <c r="B358" s="280"/>
      <c r="C358" s="118" t="s">
        <v>1703</v>
      </c>
      <c r="D358" s="110" t="s">
        <v>1207</v>
      </c>
      <c r="E358" s="110"/>
      <c r="F358" s="118" t="s">
        <v>1526</v>
      </c>
      <c r="G358" s="118">
        <v>0.9</v>
      </c>
      <c r="H358" s="280"/>
      <c r="I358" s="110"/>
      <c r="J358" s="110"/>
      <c r="K358" s="110"/>
      <c r="L358" s="110"/>
      <c r="M358" s="110"/>
      <c r="N358" s="110"/>
      <c r="O358" s="110"/>
      <c r="P358" s="110"/>
      <c r="Q358" s="277"/>
    </row>
    <row r="359" spans="1:17" ht="14.25" customHeight="1">
      <c r="A359" s="130"/>
      <c r="B359" s="280"/>
      <c r="C359" s="118" t="s">
        <v>1704</v>
      </c>
      <c r="D359" s="110" t="s">
        <v>401</v>
      </c>
      <c r="E359" s="110"/>
      <c r="F359" s="118"/>
      <c r="G359" s="286">
        <f>E377</f>
        <v>85.5</v>
      </c>
      <c r="H359" s="118" t="s">
        <v>1600</v>
      </c>
      <c r="I359" s="110"/>
      <c r="J359" s="110"/>
      <c r="K359" s="110"/>
      <c r="L359" s="110"/>
      <c r="M359" s="110"/>
      <c r="N359" s="110"/>
      <c r="O359" s="110"/>
      <c r="P359" s="110"/>
      <c r="Q359" s="277"/>
    </row>
    <row r="360" spans="1:17" ht="14.25" customHeight="1">
      <c r="A360" s="130"/>
      <c r="B360" s="280"/>
      <c r="C360" s="118" t="s">
        <v>1704</v>
      </c>
      <c r="D360" s="110" t="s">
        <v>3111</v>
      </c>
      <c r="E360" s="110"/>
      <c r="F360" s="110"/>
      <c r="G360" s="110"/>
      <c r="H360" s="283"/>
      <c r="I360" s="118"/>
      <c r="J360" s="110"/>
      <c r="K360" s="110"/>
      <c r="L360" s="110"/>
      <c r="M360" s="110"/>
      <c r="N360" s="110"/>
      <c r="O360" s="110"/>
      <c r="P360" s="110"/>
      <c r="Q360" s="277"/>
    </row>
    <row r="361" spans="1:17" ht="14.25" customHeight="1">
      <c r="A361" s="130"/>
      <c r="B361" s="110"/>
      <c r="C361" s="118" t="s">
        <v>1706</v>
      </c>
      <c r="D361" s="110" t="s">
        <v>1707</v>
      </c>
      <c r="E361" s="838">
        <f>E369</f>
        <v>8.84</v>
      </c>
      <c r="F361" s="838"/>
      <c r="G361" s="110" t="s">
        <v>402</v>
      </c>
      <c r="H361" s="285" t="s">
        <v>403</v>
      </c>
      <c r="I361" s="118"/>
      <c r="J361" s="118"/>
      <c r="K361" s="110"/>
      <c r="L361" s="118"/>
      <c r="M361" s="286"/>
      <c r="N361" s="286"/>
      <c r="O361" s="118"/>
      <c r="P361" s="110"/>
      <c r="Q361" s="277"/>
    </row>
    <row r="362" spans="1:17" ht="14.25" customHeight="1">
      <c r="A362" s="130"/>
      <c r="B362" s="110"/>
      <c r="C362" s="118"/>
      <c r="E362" s="288"/>
      <c r="F362" s="286"/>
      <c r="G362" s="110"/>
      <c r="H362" s="285"/>
      <c r="I362" s="118"/>
      <c r="J362" s="118"/>
      <c r="K362" s="110"/>
      <c r="L362" s="118"/>
      <c r="M362" s="286"/>
      <c r="N362" s="286"/>
      <c r="O362" s="118"/>
      <c r="P362" s="110"/>
      <c r="Q362" s="277"/>
    </row>
    <row r="363" spans="1:17" ht="14.25" customHeight="1">
      <c r="A363" s="130"/>
      <c r="B363" s="110"/>
      <c r="C363" s="118"/>
      <c r="D363" s="118" t="s">
        <v>404</v>
      </c>
      <c r="E363" s="846">
        <v>20</v>
      </c>
      <c r="F363" s="846"/>
      <c r="G363" s="110" t="s">
        <v>405</v>
      </c>
      <c r="H363" s="285" t="s">
        <v>1756</v>
      </c>
      <c r="I363" s="118"/>
      <c r="J363" s="109"/>
      <c r="K363" s="110"/>
      <c r="L363" s="109"/>
      <c r="M363" s="286"/>
      <c r="N363" s="286"/>
      <c r="O363" s="118"/>
      <c r="P363" s="110"/>
      <c r="Q363" s="277"/>
    </row>
    <row r="364" spans="1:17" ht="14.25" customHeight="1">
      <c r="A364" s="130"/>
      <c r="B364" s="110"/>
      <c r="C364" s="118"/>
      <c r="D364" s="280"/>
      <c r="E364" s="288"/>
      <c r="F364" s="286"/>
      <c r="G364" s="110"/>
      <c r="H364" s="285"/>
      <c r="I364" s="307"/>
      <c r="K364" s="110"/>
      <c r="L364" s="118"/>
      <c r="M364" s="286"/>
      <c r="N364" s="286"/>
      <c r="O364" s="118"/>
      <c r="P364" s="110"/>
      <c r="Q364" s="277"/>
    </row>
    <row r="365" spans="1:17" ht="14.25" customHeight="1">
      <c r="A365" s="130"/>
      <c r="B365" s="110"/>
      <c r="C365" s="118"/>
      <c r="D365" s="110" t="s">
        <v>407</v>
      </c>
      <c r="E365" s="288" t="s">
        <v>408</v>
      </c>
      <c r="F365" s="286"/>
      <c r="G365" s="110"/>
      <c r="H365" s="285"/>
      <c r="I365" s="118" t="s">
        <v>1748</v>
      </c>
      <c r="J365" s="118">
        <v>0.9</v>
      </c>
      <c r="K365" s="110"/>
      <c r="L365" s="118"/>
      <c r="M365" s="286"/>
      <c r="N365" s="286"/>
      <c r="O365" s="118"/>
      <c r="P365" s="110"/>
      <c r="Q365" s="277"/>
    </row>
    <row r="366" spans="1:17" ht="14.25" customHeight="1">
      <c r="A366" s="130"/>
      <c r="B366" s="110"/>
      <c r="C366" s="118"/>
      <c r="D366" s="110" t="s">
        <v>410</v>
      </c>
      <c r="E366" s="838">
        <f>L356</f>
        <v>11.71</v>
      </c>
      <c r="F366" s="838"/>
      <c r="G366" s="118" t="s">
        <v>411</v>
      </c>
      <c r="H366" s="285">
        <f>L344</f>
        <v>0.7</v>
      </c>
      <c r="I366" s="118" t="s">
        <v>86</v>
      </c>
      <c r="J366" s="118">
        <f>J365</f>
        <v>0.9</v>
      </c>
      <c r="K366" s="110" t="s">
        <v>412</v>
      </c>
      <c r="L366" s="118">
        <f>TRUNC(E366/(H366*J366),2)</f>
        <v>18.579999999999998</v>
      </c>
      <c r="M366" s="286" t="s">
        <v>969</v>
      </c>
      <c r="N366" s="286"/>
      <c r="O366" s="118"/>
      <c r="P366" s="110"/>
      <c r="Q366" s="277"/>
    </row>
    <row r="367" spans="1:17" ht="14.25" customHeight="1">
      <c r="A367" s="130"/>
      <c r="B367" s="110"/>
      <c r="C367" s="118"/>
      <c r="D367" s="110" t="s">
        <v>413</v>
      </c>
      <c r="E367" s="838">
        <v>0.7</v>
      </c>
      <c r="F367" s="838"/>
      <c r="G367" s="118"/>
      <c r="H367" s="285"/>
      <c r="I367" s="118"/>
      <c r="J367" s="118"/>
      <c r="K367" s="110"/>
      <c r="L367" s="118"/>
      <c r="M367" s="286"/>
      <c r="N367" s="286"/>
      <c r="O367" s="118"/>
      <c r="P367" s="110"/>
      <c r="Q367" s="277"/>
    </row>
    <row r="368" spans="1:17" ht="14.25" customHeight="1">
      <c r="A368" s="130"/>
      <c r="B368" s="110"/>
      <c r="C368" s="118" t="s">
        <v>1601</v>
      </c>
      <c r="D368" s="110" t="s">
        <v>1709</v>
      </c>
      <c r="E368" s="845">
        <f>E363</f>
        <v>20</v>
      </c>
      <c r="F368" s="845"/>
      <c r="G368" s="118" t="s">
        <v>972</v>
      </c>
      <c r="H368" s="285">
        <f>L366</f>
        <v>18.579999999999998</v>
      </c>
      <c r="I368" s="118" t="s">
        <v>414</v>
      </c>
      <c r="J368" s="118">
        <v>60</v>
      </c>
      <c r="K368" s="118" t="s">
        <v>972</v>
      </c>
      <c r="L368" s="282">
        <f>E367</f>
        <v>0.7</v>
      </c>
      <c r="M368" s="288" t="s">
        <v>2112</v>
      </c>
      <c r="N368" s="286"/>
      <c r="O368" s="118"/>
      <c r="P368" s="110"/>
      <c r="Q368" s="277"/>
    </row>
    <row r="369" spans="1:17" ht="14.25" customHeight="1">
      <c r="A369" s="130"/>
      <c r="B369" s="110"/>
      <c r="C369" s="118"/>
      <c r="D369" s="110" t="s">
        <v>410</v>
      </c>
      <c r="E369" s="838">
        <f>TRUNC((E368*H368)/(J368*L368),2)</f>
        <v>8.84</v>
      </c>
      <c r="F369" s="838"/>
      <c r="G369" s="110" t="s">
        <v>415</v>
      </c>
      <c r="H369" s="287"/>
      <c r="I369" s="118"/>
      <c r="J369" s="118"/>
      <c r="K369" s="118"/>
      <c r="L369" s="118"/>
      <c r="M369" s="286"/>
      <c r="N369" s="286"/>
      <c r="O369" s="118"/>
      <c r="P369" s="110"/>
      <c r="Q369" s="277"/>
    </row>
    <row r="370" spans="1:17" ht="14.25" customHeight="1">
      <c r="A370" s="130"/>
      <c r="B370" s="110"/>
      <c r="C370" s="118" t="s">
        <v>2110</v>
      </c>
      <c r="D370" s="110" t="s">
        <v>381</v>
      </c>
      <c r="E370" s="791">
        <f>J373</f>
        <v>74.94</v>
      </c>
      <c r="F370" s="791"/>
      <c r="G370" s="110" t="s">
        <v>382</v>
      </c>
      <c r="H370" s="118"/>
      <c r="I370" s="110"/>
      <c r="J370" s="110"/>
      <c r="K370" s="110"/>
      <c r="L370" s="118"/>
      <c r="M370" s="118"/>
      <c r="N370" s="118"/>
      <c r="O370" s="110"/>
      <c r="P370" s="110"/>
      <c r="Q370" s="277"/>
    </row>
    <row r="371" spans="1:17" ht="14.25" customHeight="1">
      <c r="A371" s="130"/>
      <c r="B371" s="110"/>
      <c r="C371" s="280" t="s">
        <v>2111</v>
      </c>
      <c r="D371" s="118">
        <f>H347</f>
        <v>2</v>
      </c>
      <c r="E371" s="118" t="s">
        <v>300</v>
      </c>
      <c r="F371" s="118">
        <f>K347</f>
        <v>20</v>
      </c>
      <c r="G371" s="110" t="s">
        <v>383</v>
      </c>
      <c r="H371" s="118">
        <f>H347</f>
        <v>2</v>
      </c>
      <c r="I371" s="118" t="s">
        <v>300</v>
      </c>
      <c r="J371" s="118">
        <f>O347</f>
        <v>25</v>
      </c>
      <c r="K371" s="118" t="s">
        <v>1757</v>
      </c>
      <c r="L371" s="118">
        <f>H348</f>
        <v>28</v>
      </c>
      <c r="M371" s="118" t="s">
        <v>300</v>
      </c>
      <c r="N371" s="791">
        <f>K348</f>
        <v>50</v>
      </c>
      <c r="O371" s="791"/>
      <c r="P371" s="110" t="s">
        <v>2112</v>
      </c>
      <c r="Q371" s="277"/>
    </row>
    <row r="372" spans="1:17" ht="14.25" customHeight="1">
      <c r="A372" s="130"/>
      <c r="B372" s="110"/>
      <c r="C372" s="309" t="s">
        <v>1758</v>
      </c>
      <c r="D372" s="118">
        <f>H348</f>
        <v>28</v>
      </c>
      <c r="E372" s="118" t="s">
        <v>300</v>
      </c>
      <c r="F372" s="118">
        <f>O348</f>
        <v>55</v>
      </c>
      <c r="G372" s="110" t="s">
        <v>1762</v>
      </c>
      <c r="H372" s="118"/>
      <c r="I372" s="118"/>
      <c r="J372" s="118"/>
      <c r="K372" s="118"/>
      <c r="L372" s="118"/>
      <c r="M372" s="118"/>
      <c r="N372" s="791"/>
      <c r="O372" s="791"/>
      <c r="P372" s="110"/>
      <c r="Q372" s="277"/>
    </row>
    <row r="373" spans="1:17" ht="14.25" customHeight="1">
      <c r="A373" s="130"/>
      <c r="B373" s="110"/>
      <c r="C373" s="118"/>
      <c r="D373" s="280" t="s">
        <v>1582</v>
      </c>
      <c r="E373" s="791">
        <f>(D371/F371)+(H371/J371)+(L371/N371)+(D372/F372)</f>
        <v>1.249090909090909</v>
      </c>
      <c r="F373" s="791"/>
      <c r="G373" s="110" t="s">
        <v>384</v>
      </c>
      <c r="H373" s="118">
        <v>60</v>
      </c>
      <c r="I373" s="118" t="s">
        <v>1582</v>
      </c>
      <c r="J373" s="283">
        <f>TRUNC(E373*H373,2)</f>
        <v>74.94</v>
      </c>
      <c r="K373" s="286" t="s">
        <v>1600</v>
      </c>
      <c r="L373" s="110"/>
      <c r="M373" s="110"/>
      <c r="N373" s="118"/>
      <c r="O373" s="110"/>
      <c r="P373" s="110"/>
      <c r="Q373" s="277"/>
    </row>
    <row r="374" spans="1:17" ht="14.25" customHeight="1">
      <c r="A374" s="130"/>
      <c r="B374" s="110"/>
      <c r="C374" s="118" t="s">
        <v>2113</v>
      </c>
      <c r="D374" s="110" t="s">
        <v>385</v>
      </c>
      <c r="E374" s="846">
        <v>0.8</v>
      </c>
      <c r="F374" s="846"/>
      <c r="G374" s="110" t="s">
        <v>1600</v>
      </c>
      <c r="H374" s="118"/>
      <c r="I374" s="110"/>
      <c r="J374" s="118"/>
      <c r="K374" s="110"/>
      <c r="L374" s="110"/>
      <c r="M374" s="110"/>
      <c r="N374" s="110"/>
      <c r="O374" s="110"/>
      <c r="P374" s="110"/>
      <c r="Q374" s="277"/>
    </row>
    <row r="375" spans="1:17" ht="14.25" customHeight="1">
      <c r="A375" s="130"/>
      <c r="B375" s="110"/>
      <c r="C375" s="118" t="s">
        <v>2114</v>
      </c>
      <c r="D375" s="110" t="s">
        <v>387</v>
      </c>
      <c r="E375" s="791">
        <v>0.42</v>
      </c>
      <c r="F375" s="791"/>
      <c r="G375" s="110" t="s">
        <v>1759</v>
      </c>
      <c r="H375" s="118"/>
      <c r="I375" s="110"/>
      <c r="J375" s="110"/>
      <c r="K375" s="110"/>
      <c r="L375" s="110"/>
      <c r="M375" s="118"/>
      <c r="N375" s="118"/>
      <c r="O375" s="110"/>
      <c r="P375" s="110"/>
      <c r="Q375" s="277"/>
    </row>
    <row r="376" spans="1:17" ht="14.25" customHeight="1">
      <c r="A376" s="130"/>
      <c r="B376" s="110"/>
      <c r="C376" s="118" t="s">
        <v>3112</v>
      </c>
      <c r="D376" s="110" t="s">
        <v>389</v>
      </c>
      <c r="E376" s="791">
        <v>0.5</v>
      </c>
      <c r="F376" s="791"/>
      <c r="G376" s="110" t="s">
        <v>390</v>
      </c>
      <c r="H376" s="110"/>
      <c r="I376" s="110"/>
      <c r="J376" s="110"/>
      <c r="K376" s="110"/>
      <c r="L376" s="110"/>
      <c r="M376" s="110"/>
      <c r="N376" s="110"/>
      <c r="O376" s="110"/>
      <c r="P376" s="110"/>
      <c r="Q376" s="277"/>
    </row>
    <row r="377" spans="1:17" ht="14.25" customHeight="1">
      <c r="A377" s="130"/>
      <c r="B377" s="110"/>
      <c r="C377" s="118"/>
      <c r="D377" s="118" t="s">
        <v>1454</v>
      </c>
      <c r="E377" s="840">
        <f>E361+E370+E374+E375+E376</f>
        <v>85.5</v>
      </c>
      <c r="F377" s="840"/>
      <c r="G377" s="110" t="s">
        <v>1600</v>
      </c>
      <c r="H377" s="110"/>
      <c r="I377" s="110"/>
      <c r="J377" s="110"/>
      <c r="K377" s="110"/>
      <c r="L377" s="110"/>
      <c r="M377" s="110"/>
      <c r="N377" s="110"/>
      <c r="O377" s="110"/>
      <c r="P377" s="110"/>
      <c r="Q377" s="277"/>
    </row>
    <row r="378" spans="1:17" ht="14.25" customHeight="1">
      <c r="A378" s="130"/>
      <c r="B378" s="118"/>
      <c r="C378" s="118"/>
      <c r="D378" s="110"/>
      <c r="E378" s="118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277"/>
    </row>
    <row r="379" spans="1:17" ht="14.25" customHeight="1">
      <c r="A379" s="130" t="s">
        <v>391</v>
      </c>
      <c r="B379" s="110" t="s">
        <v>392</v>
      </c>
      <c r="C379" s="118"/>
      <c r="D379" s="110"/>
      <c r="E379" s="118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277"/>
    </row>
    <row r="380" spans="1:17" ht="14.25" customHeight="1">
      <c r="A380" s="130"/>
      <c r="B380" s="28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277"/>
    </row>
    <row r="381" spans="1:17" ht="14.25" customHeight="1">
      <c r="A381" s="841"/>
      <c r="B381" s="791" t="s">
        <v>1111</v>
      </c>
      <c r="C381" s="791" t="s">
        <v>1582</v>
      </c>
      <c r="D381" s="280" t="s">
        <v>393</v>
      </c>
      <c r="E381" s="286">
        <f>G357</f>
        <v>0.8</v>
      </c>
      <c r="F381" s="118" t="s">
        <v>972</v>
      </c>
      <c r="G381" s="282">
        <f>L356</f>
        <v>11.71</v>
      </c>
      <c r="H381" s="118" t="s">
        <v>972</v>
      </c>
      <c r="I381" s="118">
        <f>G358</f>
        <v>0.9</v>
      </c>
      <c r="J381" s="791" t="s">
        <v>1582</v>
      </c>
      <c r="K381" s="847">
        <f>TRUNC(E381*G381*I381*60,3)</f>
        <v>505.87200000000001</v>
      </c>
      <c r="L381" s="847"/>
      <c r="M381" s="791" t="s">
        <v>1582</v>
      </c>
      <c r="N381" s="838">
        <f>TRUNC(K381/K382,2)</f>
        <v>5.91</v>
      </c>
      <c r="O381" s="838"/>
      <c r="P381" s="110" t="s">
        <v>301</v>
      </c>
      <c r="Q381" s="277"/>
    </row>
    <row r="382" spans="1:17" ht="14.25" customHeight="1">
      <c r="A382" s="841"/>
      <c r="B382" s="791"/>
      <c r="C382" s="791"/>
      <c r="D382" s="848">
        <f>G359</f>
        <v>85.5</v>
      </c>
      <c r="E382" s="848"/>
      <c r="F382" s="848"/>
      <c r="G382" s="848"/>
      <c r="H382" s="848"/>
      <c r="I382" s="848"/>
      <c r="J382" s="791"/>
      <c r="K382" s="839">
        <f>D382</f>
        <v>85.5</v>
      </c>
      <c r="L382" s="839"/>
      <c r="M382" s="791"/>
      <c r="N382" s="838"/>
      <c r="O382" s="838"/>
      <c r="P382" s="110"/>
      <c r="Q382" s="277" t="s">
        <v>394</v>
      </c>
    </row>
    <row r="383" spans="1:17" ht="14.25" customHeight="1">
      <c r="A383" s="13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277"/>
    </row>
    <row r="384" spans="1:17" ht="14.25" customHeight="1">
      <c r="A384" s="130"/>
      <c r="B384" s="110"/>
      <c r="C384" s="110"/>
      <c r="D384" s="110" t="s">
        <v>395</v>
      </c>
      <c r="E384" s="110"/>
      <c r="F384" s="835">
        <f>중기사용료!$M$530</f>
        <v>24463</v>
      </c>
      <c r="G384" s="835"/>
      <c r="H384" s="286" t="s">
        <v>975</v>
      </c>
      <c r="I384" s="118" t="s">
        <v>300</v>
      </c>
      <c r="J384" s="285">
        <f>N381</f>
        <v>5.91</v>
      </c>
      <c r="K384" s="282" t="s">
        <v>1582</v>
      </c>
      <c r="L384" s="121">
        <f>TRUNC(F384/J384)</f>
        <v>4139</v>
      </c>
      <c r="M384" s="118" t="s">
        <v>975</v>
      </c>
      <c r="N384" s="303" t="s">
        <v>416</v>
      </c>
      <c r="O384" s="110"/>
      <c r="P384" s="110"/>
      <c r="Q384" s="277"/>
    </row>
    <row r="385" spans="1:18" ht="14.25" customHeight="1">
      <c r="A385" s="130"/>
      <c r="B385" s="110"/>
      <c r="C385" s="118"/>
      <c r="D385" s="110"/>
      <c r="E385" s="290"/>
      <c r="F385" s="291"/>
      <c r="G385" s="291"/>
      <c r="H385" s="118"/>
      <c r="I385" s="110"/>
      <c r="J385" s="110"/>
      <c r="K385" s="285"/>
      <c r="L385" s="121"/>
      <c r="M385" s="118"/>
      <c r="N385" s="303"/>
      <c r="O385" s="110"/>
      <c r="P385" s="110"/>
      <c r="Q385" s="277"/>
    </row>
    <row r="386" spans="1:18" ht="14.25" customHeight="1">
      <c r="A386" s="130"/>
      <c r="B386" s="110"/>
      <c r="C386" s="110"/>
      <c r="D386" s="110" t="s">
        <v>396</v>
      </c>
      <c r="E386" s="110"/>
      <c r="F386" s="835">
        <f>중기사용료!$M$524</f>
        <v>27168</v>
      </c>
      <c r="G386" s="835"/>
      <c r="H386" s="286" t="s">
        <v>975</v>
      </c>
      <c r="I386" s="118" t="s">
        <v>300</v>
      </c>
      <c r="J386" s="285">
        <f>N381</f>
        <v>5.91</v>
      </c>
      <c r="K386" s="282" t="s">
        <v>1582</v>
      </c>
      <c r="L386" s="121">
        <f>TRUNC(F386/J386)</f>
        <v>4596</v>
      </c>
      <c r="M386" s="118" t="s">
        <v>975</v>
      </c>
      <c r="N386" s="303" t="s">
        <v>416</v>
      </c>
      <c r="O386" s="110"/>
      <c r="P386" s="110"/>
      <c r="Q386" s="277"/>
    </row>
    <row r="387" spans="1:18" ht="14.25" customHeight="1">
      <c r="A387" s="130"/>
      <c r="B387" s="110"/>
      <c r="C387" s="118"/>
      <c r="D387" s="110"/>
      <c r="E387" s="290"/>
      <c r="F387" s="291"/>
      <c r="G387" s="291"/>
      <c r="H387" s="118"/>
      <c r="I387" s="110"/>
      <c r="J387" s="110"/>
      <c r="K387" s="285"/>
      <c r="L387" s="121"/>
      <c r="M387" s="118"/>
      <c r="N387" s="303"/>
      <c r="O387" s="110"/>
      <c r="P387" s="110"/>
      <c r="Q387" s="277"/>
      <c r="R387" s="272" t="s">
        <v>1436</v>
      </c>
    </row>
    <row r="388" spans="1:18" ht="14.25" customHeight="1">
      <c r="A388" s="130"/>
      <c r="B388" s="110"/>
      <c r="C388" s="110"/>
      <c r="D388" s="110" t="s">
        <v>398</v>
      </c>
      <c r="E388" s="110"/>
      <c r="F388" s="835">
        <f>중기사용료!$M$518</f>
        <v>17612</v>
      </c>
      <c r="G388" s="835"/>
      <c r="H388" s="118" t="s">
        <v>975</v>
      </c>
      <c r="I388" s="118" t="s">
        <v>300</v>
      </c>
      <c r="J388" s="285">
        <f>N381</f>
        <v>5.91</v>
      </c>
      <c r="K388" s="282" t="s">
        <v>1582</v>
      </c>
      <c r="L388" s="121">
        <f>TRUNC(F388/J388)</f>
        <v>2980</v>
      </c>
      <c r="M388" s="121" t="s">
        <v>975</v>
      </c>
      <c r="N388" s="303" t="s">
        <v>416</v>
      </c>
      <c r="O388" s="110"/>
      <c r="P388" s="110"/>
      <c r="Q388" s="277"/>
    </row>
    <row r="389" spans="1:18" ht="14.25" customHeight="1">
      <c r="A389" s="130"/>
      <c r="B389" s="110"/>
      <c r="C389" s="118"/>
      <c r="D389" s="110"/>
      <c r="E389" s="110"/>
      <c r="F389" s="110"/>
      <c r="G389" s="110"/>
      <c r="H389" s="110"/>
      <c r="I389" s="110"/>
      <c r="J389" s="110"/>
      <c r="K389" s="110"/>
      <c r="L389" s="110"/>
      <c r="M389" s="118"/>
      <c r="N389" s="303"/>
      <c r="O389" s="110"/>
      <c r="P389" s="110"/>
      <c r="Q389" s="277"/>
    </row>
    <row r="390" spans="1:18" s="302" customFormat="1" ht="14.25" customHeight="1">
      <c r="A390" s="162"/>
      <c r="B390" s="164"/>
      <c r="C390" s="164"/>
      <c r="D390" s="164"/>
      <c r="E390" s="164"/>
      <c r="F390" s="844">
        <f>SUM(F384:G388)</f>
        <v>69243</v>
      </c>
      <c r="G390" s="844"/>
      <c r="H390" s="299"/>
      <c r="I390" s="165"/>
      <c r="J390" s="164"/>
      <c r="K390" s="165" t="s">
        <v>1454</v>
      </c>
      <c r="L390" s="292">
        <f>SUM(L384,L386,L388)</f>
        <v>11715</v>
      </c>
      <c r="M390" s="164" t="s">
        <v>975</v>
      </c>
      <c r="N390" s="310" t="s">
        <v>416</v>
      </c>
      <c r="O390" s="300"/>
      <c r="P390" s="164"/>
      <c r="Q390" s="301"/>
      <c r="R390" s="272"/>
    </row>
    <row r="391" spans="1:18" ht="14.25" customHeight="1">
      <c r="A391" s="135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293"/>
    </row>
    <row r="393" spans="1:18" ht="14.25" customHeight="1">
      <c r="A393" s="306"/>
      <c r="B393" s="262" t="s">
        <v>2408</v>
      </c>
      <c r="C393" s="262"/>
      <c r="D393" s="262"/>
      <c r="E393" s="262"/>
      <c r="F393" s="262"/>
      <c r="G393" s="262"/>
      <c r="H393" s="263"/>
      <c r="I393" s="263" t="s">
        <v>1421</v>
      </c>
      <c r="J393" s="263">
        <v>20</v>
      </c>
      <c r="K393" s="262" t="s">
        <v>1193</v>
      </c>
      <c r="L393" s="263">
        <v>0.4</v>
      </c>
      <c r="M393" s="262" t="s">
        <v>1420</v>
      </c>
      <c r="N393" s="262"/>
      <c r="O393" s="261"/>
      <c r="P393" s="261"/>
      <c r="Q393" s="264"/>
      <c r="R393" s="265" t="s">
        <v>3299</v>
      </c>
    </row>
    <row r="394" spans="1:18" ht="14.25" customHeight="1">
      <c r="A394" s="266"/>
      <c r="B394" s="126"/>
      <c r="C394" s="126"/>
      <c r="D394" s="126"/>
      <c r="E394" s="267"/>
      <c r="F394" s="267"/>
      <c r="G394" s="268"/>
      <c r="H394" s="267"/>
      <c r="I394" s="267"/>
      <c r="J394" s="267"/>
      <c r="K394" s="267"/>
      <c r="L394" s="269"/>
      <c r="M394" s="270"/>
      <c r="N394" s="270"/>
      <c r="O394" s="126"/>
      <c r="P394" s="126"/>
      <c r="Q394" s="271"/>
    </row>
    <row r="395" spans="1:18" ht="14.25" customHeight="1">
      <c r="A395" s="273"/>
      <c r="B395" s="110" t="s">
        <v>1592</v>
      </c>
      <c r="C395" s="33" t="s">
        <v>1593</v>
      </c>
      <c r="D395" s="274"/>
      <c r="E395" s="275"/>
      <c r="F395" s="275"/>
      <c r="G395" s="121"/>
      <c r="H395" s="275"/>
      <c r="I395" s="275"/>
      <c r="J395" s="275" t="s">
        <v>1749</v>
      </c>
      <c r="K395" s="275"/>
      <c r="L395" s="33"/>
      <c r="M395" s="276" t="s">
        <v>1750</v>
      </c>
      <c r="N395" s="276"/>
      <c r="O395" s="110"/>
      <c r="P395" s="110"/>
      <c r="Q395" s="277"/>
    </row>
    <row r="396" spans="1:18" ht="14.25" customHeight="1">
      <c r="A396" s="273"/>
      <c r="B396" s="118" t="s">
        <v>2267</v>
      </c>
      <c r="C396" s="110" t="s">
        <v>1760</v>
      </c>
      <c r="D396" s="110"/>
      <c r="E396" s="110"/>
      <c r="F396" s="110"/>
      <c r="G396" s="275" t="s">
        <v>3103</v>
      </c>
      <c r="H396" s="275">
        <v>2</v>
      </c>
      <c r="I396" s="275" t="s">
        <v>1595</v>
      </c>
      <c r="J396" s="274" t="s">
        <v>1596</v>
      </c>
      <c r="K396" s="110">
        <v>20</v>
      </c>
      <c r="L396" s="110" t="s">
        <v>1595</v>
      </c>
      <c r="M396" s="122" t="s">
        <v>1596</v>
      </c>
      <c r="N396" s="118"/>
      <c r="O396" s="110">
        <v>25</v>
      </c>
      <c r="P396" s="275" t="s">
        <v>1595</v>
      </c>
      <c r="Q396" s="277"/>
    </row>
    <row r="397" spans="1:18" ht="14.25" customHeight="1">
      <c r="A397" s="273"/>
      <c r="B397" s="118" t="s">
        <v>2267</v>
      </c>
      <c r="C397" s="110" t="s">
        <v>1761</v>
      </c>
      <c r="D397" s="110"/>
      <c r="E397" s="110"/>
      <c r="F397" s="110"/>
      <c r="G397" s="275" t="s">
        <v>3105</v>
      </c>
      <c r="H397" s="275">
        <v>28</v>
      </c>
      <c r="I397" s="275" t="s">
        <v>1595</v>
      </c>
      <c r="J397" s="274" t="s">
        <v>1597</v>
      </c>
      <c r="K397" s="110">
        <v>50</v>
      </c>
      <c r="L397" s="110" t="s">
        <v>1595</v>
      </c>
      <c r="M397" s="122" t="s">
        <v>1597</v>
      </c>
      <c r="N397" s="118"/>
      <c r="O397" s="110">
        <v>55</v>
      </c>
      <c r="P397" s="275" t="s">
        <v>1595</v>
      </c>
      <c r="Q397" s="277"/>
    </row>
    <row r="398" spans="1:18" ht="14.25" customHeight="1">
      <c r="A398" s="273"/>
      <c r="B398" s="118"/>
      <c r="C398" s="110"/>
      <c r="D398" s="110"/>
      <c r="E398" s="110"/>
      <c r="F398" s="110"/>
      <c r="G398" s="275"/>
      <c r="H398" s="275"/>
      <c r="I398" s="275"/>
      <c r="J398" s="274"/>
      <c r="K398" s="110"/>
      <c r="L398" s="110"/>
      <c r="M398" s="33"/>
      <c r="N398" s="118"/>
      <c r="O398" s="110"/>
      <c r="P398" s="275"/>
      <c r="Q398" s="277"/>
    </row>
    <row r="399" spans="1:18" ht="14.25" customHeight="1">
      <c r="A399" s="273"/>
      <c r="B399" s="110"/>
      <c r="C399" s="274"/>
      <c r="D399" s="274"/>
      <c r="E399" s="275"/>
      <c r="F399" s="275"/>
      <c r="G399" s="121"/>
      <c r="H399" s="275"/>
      <c r="I399" s="275"/>
      <c r="J399" s="275"/>
      <c r="K399" s="275"/>
      <c r="L399" s="33"/>
      <c r="M399" s="276"/>
      <c r="N399" s="276"/>
      <c r="O399" s="110"/>
      <c r="P399" s="110"/>
      <c r="Q399" s="277"/>
    </row>
    <row r="400" spans="1:18" ht="14.25" customHeight="1">
      <c r="A400" s="130"/>
      <c r="B400" s="110" t="s">
        <v>1592</v>
      </c>
      <c r="C400" s="110" t="s">
        <v>1198</v>
      </c>
      <c r="D400" s="110"/>
      <c r="E400" s="110"/>
      <c r="F400" s="110"/>
      <c r="G400" s="110"/>
      <c r="H400" s="110"/>
      <c r="I400" s="110"/>
      <c r="J400" s="110" t="s">
        <v>400</v>
      </c>
      <c r="K400" s="110"/>
      <c r="L400" s="118">
        <v>1.6</v>
      </c>
      <c r="M400" s="110" t="s">
        <v>1805</v>
      </c>
      <c r="N400" s="110"/>
      <c r="O400" s="110"/>
      <c r="P400" s="110"/>
      <c r="Q400" s="277"/>
    </row>
    <row r="401" spans="1:17" ht="14.25" customHeight="1">
      <c r="A401" s="130"/>
      <c r="B401" s="118"/>
      <c r="C401" s="791" t="s">
        <v>1806</v>
      </c>
      <c r="D401" s="791" t="s">
        <v>1807</v>
      </c>
      <c r="E401" s="791"/>
      <c r="F401" s="791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277"/>
    </row>
    <row r="402" spans="1:17" ht="14.25" customHeight="1">
      <c r="A402" s="130"/>
      <c r="B402" s="118"/>
      <c r="C402" s="791"/>
      <c r="D402" s="843" t="s">
        <v>1583</v>
      </c>
      <c r="E402" s="843"/>
      <c r="F402" s="843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277"/>
    </row>
    <row r="403" spans="1:17" ht="14.25" customHeight="1">
      <c r="A403" s="13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277"/>
    </row>
    <row r="404" spans="1:17" ht="14.25" customHeight="1">
      <c r="A404" s="130"/>
      <c r="B404" s="280"/>
      <c r="C404" s="118" t="s">
        <v>1808</v>
      </c>
      <c r="D404" s="110" t="s">
        <v>1809</v>
      </c>
      <c r="E404" s="110"/>
      <c r="F404" s="110"/>
      <c r="G404" s="118"/>
      <c r="H404" s="280"/>
      <c r="I404" s="118"/>
      <c r="J404" s="110"/>
      <c r="K404" s="110"/>
      <c r="L404" s="110"/>
      <c r="M404" s="110"/>
      <c r="N404" s="110"/>
      <c r="O404" s="110"/>
      <c r="P404" s="110"/>
      <c r="Q404" s="277"/>
    </row>
    <row r="405" spans="1:17" ht="14.25" customHeight="1">
      <c r="A405" s="130"/>
      <c r="B405" s="280"/>
      <c r="C405" s="118" t="s">
        <v>298</v>
      </c>
      <c r="D405" s="110" t="s">
        <v>299</v>
      </c>
      <c r="E405" s="845">
        <f>J393</f>
        <v>20</v>
      </c>
      <c r="F405" s="845"/>
      <c r="G405" s="118" t="s">
        <v>300</v>
      </c>
      <c r="H405" s="118">
        <f>L400</f>
        <v>1.6</v>
      </c>
      <c r="I405" s="118" t="s">
        <v>972</v>
      </c>
      <c r="J405" s="118">
        <v>1.25</v>
      </c>
      <c r="K405" s="118" t="s">
        <v>1582</v>
      </c>
      <c r="L405" s="282">
        <f>TRUNC(E405/H405*J405,2)</f>
        <v>15.62</v>
      </c>
      <c r="M405" s="118" t="s">
        <v>301</v>
      </c>
      <c r="N405" s="110"/>
      <c r="O405" s="110"/>
      <c r="P405" s="110"/>
      <c r="Q405" s="277"/>
    </row>
    <row r="406" spans="1:17" ht="14.25" customHeight="1">
      <c r="A406" s="130"/>
      <c r="B406" s="280"/>
      <c r="C406" s="118" t="s">
        <v>302</v>
      </c>
      <c r="D406" s="110" t="s">
        <v>1156</v>
      </c>
      <c r="E406" s="110"/>
      <c r="F406" s="118" t="s">
        <v>1526</v>
      </c>
      <c r="G406" s="283">
        <f>TRUNC(1/J406,2)</f>
        <v>0.8</v>
      </c>
      <c r="H406" s="280" t="s">
        <v>303</v>
      </c>
      <c r="I406" s="118" t="s">
        <v>300</v>
      </c>
      <c r="J406" s="118">
        <f>J405</f>
        <v>1.25</v>
      </c>
      <c r="K406" s="284" t="s">
        <v>304</v>
      </c>
      <c r="L406" s="110"/>
      <c r="M406" s="110"/>
      <c r="N406" s="110"/>
      <c r="O406" s="110"/>
      <c r="P406" s="110"/>
      <c r="Q406" s="277"/>
    </row>
    <row r="407" spans="1:17" ht="14.25" customHeight="1">
      <c r="A407" s="130"/>
      <c r="B407" s="280"/>
      <c r="C407" s="118" t="s">
        <v>1703</v>
      </c>
      <c r="D407" s="110" t="s">
        <v>1207</v>
      </c>
      <c r="E407" s="110"/>
      <c r="F407" s="118" t="s">
        <v>1526</v>
      </c>
      <c r="G407" s="118">
        <v>0.9</v>
      </c>
      <c r="H407" s="280"/>
      <c r="I407" s="110"/>
      <c r="J407" s="110"/>
      <c r="K407" s="110"/>
      <c r="L407" s="110"/>
      <c r="M407" s="110"/>
      <c r="N407" s="110"/>
      <c r="O407" s="110"/>
      <c r="P407" s="110"/>
      <c r="Q407" s="277"/>
    </row>
    <row r="408" spans="1:17" ht="14.25" customHeight="1">
      <c r="A408" s="130"/>
      <c r="B408" s="280"/>
      <c r="C408" s="118" t="s">
        <v>1704</v>
      </c>
      <c r="D408" s="110" t="s">
        <v>401</v>
      </c>
      <c r="E408" s="110"/>
      <c r="F408" s="118"/>
      <c r="G408" s="286">
        <f>E426</f>
        <v>98.35</v>
      </c>
      <c r="H408" s="118" t="s">
        <v>1600</v>
      </c>
      <c r="I408" s="110"/>
      <c r="J408" s="110"/>
      <c r="K408" s="110"/>
      <c r="L408" s="110"/>
      <c r="M408" s="110"/>
      <c r="N408" s="110"/>
      <c r="O408" s="110"/>
      <c r="P408" s="110"/>
      <c r="Q408" s="277"/>
    </row>
    <row r="409" spans="1:17" ht="14.25" customHeight="1">
      <c r="A409" s="130"/>
      <c r="B409" s="280"/>
      <c r="C409" s="118" t="s">
        <v>1704</v>
      </c>
      <c r="D409" s="110" t="s">
        <v>3111</v>
      </c>
      <c r="E409" s="110"/>
      <c r="F409" s="110"/>
      <c r="G409" s="110"/>
      <c r="H409" s="283"/>
      <c r="I409" s="118"/>
      <c r="J409" s="110"/>
      <c r="K409" s="110"/>
      <c r="L409" s="110"/>
      <c r="M409" s="110"/>
      <c r="N409" s="110"/>
      <c r="O409" s="110"/>
      <c r="P409" s="110"/>
      <c r="Q409" s="277"/>
    </row>
    <row r="410" spans="1:17" ht="14.25" customHeight="1">
      <c r="A410" s="130"/>
      <c r="B410" s="110"/>
      <c r="C410" s="118" t="s">
        <v>1706</v>
      </c>
      <c r="D410" s="110" t="s">
        <v>1707</v>
      </c>
      <c r="E410" s="838">
        <f>E418</f>
        <v>21.69</v>
      </c>
      <c r="F410" s="838"/>
      <c r="G410" s="110" t="s">
        <v>402</v>
      </c>
      <c r="H410" s="285" t="s">
        <v>403</v>
      </c>
      <c r="I410" s="118"/>
      <c r="J410" s="118"/>
      <c r="K410" s="110"/>
      <c r="L410" s="118"/>
      <c r="M410" s="286"/>
      <c r="N410" s="286"/>
      <c r="O410" s="118"/>
      <c r="P410" s="110"/>
      <c r="Q410" s="277"/>
    </row>
    <row r="411" spans="1:17" ht="14.25" customHeight="1">
      <c r="A411" s="130"/>
      <c r="B411" s="110"/>
      <c r="C411" s="118"/>
      <c r="E411" s="288"/>
      <c r="F411" s="286"/>
      <c r="G411" s="110"/>
      <c r="H411" s="285"/>
      <c r="I411" s="118"/>
      <c r="J411" s="118"/>
      <c r="K411" s="110"/>
      <c r="L411" s="118"/>
      <c r="M411" s="286"/>
      <c r="N411" s="286"/>
      <c r="O411" s="118"/>
      <c r="P411" s="110"/>
      <c r="Q411" s="277"/>
    </row>
    <row r="412" spans="1:17" ht="14.25" customHeight="1">
      <c r="A412" s="130"/>
      <c r="B412" s="110"/>
      <c r="C412" s="118"/>
      <c r="D412" s="118" t="s">
        <v>404</v>
      </c>
      <c r="E412" s="846">
        <v>18</v>
      </c>
      <c r="F412" s="846"/>
      <c r="G412" s="110" t="s">
        <v>405</v>
      </c>
      <c r="H412" s="285" t="s">
        <v>1747</v>
      </c>
      <c r="I412" s="118"/>
      <c r="J412" s="109"/>
      <c r="K412" s="110"/>
      <c r="L412" s="109"/>
      <c r="M412" s="286"/>
      <c r="N412" s="286"/>
      <c r="O412" s="118"/>
      <c r="P412" s="110"/>
      <c r="Q412" s="277"/>
    </row>
    <row r="413" spans="1:17" ht="14.25" customHeight="1">
      <c r="A413" s="130"/>
      <c r="B413" s="110"/>
      <c r="C413" s="118"/>
      <c r="D413" s="280"/>
      <c r="E413" s="288"/>
      <c r="F413" s="286"/>
      <c r="G413" s="110"/>
      <c r="H413" s="285"/>
      <c r="I413" s="307"/>
      <c r="K413" s="110"/>
      <c r="L413" s="118"/>
      <c r="M413" s="286"/>
      <c r="N413" s="286"/>
      <c r="O413" s="118"/>
      <c r="P413" s="110"/>
      <c r="Q413" s="277"/>
    </row>
    <row r="414" spans="1:17" ht="14.25" customHeight="1">
      <c r="A414" s="130"/>
      <c r="B414" s="110"/>
      <c r="C414" s="118"/>
      <c r="D414" s="110" t="s">
        <v>407</v>
      </c>
      <c r="E414" s="288" t="s">
        <v>408</v>
      </c>
      <c r="F414" s="286"/>
      <c r="G414" s="110"/>
      <c r="H414" s="285"/>
      <c r="I414" s="118" t="s">
        <v>1748</v>
      </c>
      <c r="J414" s="118">
        <v>0.9</v>
      </c>
      <c r="K414" s="110"/>
      <c r="L414" s="118"/>
      <c r="M414" s="286"/>
      <c r="N414" s="286"/>
      <c r="O414" s="118"/>
      <c r="P414" s="110"/>
      <c r="Q414" s="277"/>
    </row>
    <row r="415" spans="1:17" ht="14.25" customHeight="1">
      <c r="A415" s="130"/>
      <c r="B415" s="110"/>
      <c r="C415" s="118"/>
      <c r="D415" s="110" t="s">
        <v>410</v>
      </c>
      <c r="E415" s="838">
        <f>L405</f>
        <v>15.62</v>
      </c>
      <c r="F415" s="838"/>
      <c r="G415" s="118" t="s">
        <v>411</v>
      </c>
      <c r="H415" s="285">
        <f>L393</f>
        <v>0.4</v>
      </c>
      <c r="I415" s="118" t="s">
        <v>86</v>
      </c>
      <c r="J415" s="118">
        <f>J414</f>
        <v>0.9</v>
      </c>
      <c r="K415" s="110" t="s">
        <v>412</v>
      </c>
      <c r="L415" s="118">
        <f>TRUNC(E415/(H415*J415),2)</f>
        <v>43.38</v>
      </c>
      <c r="M415" s="286" t="s">
        <v>969</v>
      </c>
      <c r="N415" s="286"/>
      <c r="O415" s="118"/>
      <c r="P415" s="110"/>
      <c r="Q415" s="277"/>
    </row>
    <row r="416" spans="1:17" ht="14.25" customHeight="1">
      <c r="A416" s="130"/>
      <c r="B416" s="110"/>
      <c r="C416" s="118"/>
      <c r="D416" s="110" t="s">
        <v>413</v>
      </c>
      <c r="E416" s="838">
        <v>0.6</v>
      </c>
      <c r="F416" s="838"/>
      <c r="G416" s="118"/>
      <c r="H416" s="285"/>
      <c r="I416" s="118"/>
      <c r="J416" s="118"/>
      <c r="K416" s="110"/>
      <c r="L416" s="118"/>
      <c r="M416" s="286"/>
      <c r="N416" s="286"/>
      <c r="O416" s="118"/>
      <c r="P416" s="110"/>
      <c r="Q416" s="277"/>
    </row>
    <row r="417" spans="1:17" ht="14.25" customHeight="1">
      <c r="A417" s="130"/>
      <c r="B417" s="110"/>
      <c r="C417" s="118" t="s">
        <v>1601</v>
      </c>
      <c r="D417" s="110" t="s">
        <v>1709</v>
      </c>
      <c r="E417" s="845">
        <f>E412</f>
        <v>18</v>
      </c>
      <c r="F417" s="845"/>
      <c r="G417" s="118" t="s">
        <v>972</v>
      </c>
      <c r="H417" s="285">
        <f>L415</f>
        <v>43.38</v>
      </c>
      <c r="I417" s="118" t="s">
        <v>414</v>
      </c>
      <c r="J417" s="118">
        <v>60</v>
      </c>
      <c r="K417" s="118" t="s">
        <v>972</v>
      </c>
      <c r="L417" s="282">
        <f>E416</f>
        <v>0.6</v>
      </c>
      <c r="M417" s="288" t="s">
        <v>2112</v>
      </c>
      <c r="N417" s="286"/>
      <c r="O417" s="118"/>
      <c r="P417" s="110"/>
      <c r="Q417" s="277"/>
    </row>
    <row r="418" spans="1:17" ht="14.25" customHeight="1">
      <c r="A418" s="130"/>
      <c r="B418" s="110"/>
      <c r="C418" s="118"/>
      <c r="D418" s="110" t="s">
        <v>410</v>
      </c>
      <c r="E418" s="838">
        <f>TRUNC((E417*H417)/(J417*L417),2)</f>
        <v>21.69</v>
      </c>
      <c r="F418" s="838"/>
      <c r="G418" s="110" t="s">
        <v>415</v>
      </c>
      <c r="H418" s="287"/>
      <c r="I418" s="118"/>
      <c r="J418" s="118"/>
      <c r="K418" s="118"/>
      <c r="L418" s="118"/>
      <c r="M418" s="286"/>
      <c r="N418" s="286"/>
      <c r="O418" s="118"/>
      <c r="P418" s="110"/>
      <c r="Q418" s="277"/>
    </row>
    <row r="419" spans="1:17" ht="14.25" customHeight="1">
      <c r="A419" s="130"/>
      <c r="B419" s="110"/>
      <c r="C419" s="118" t="s">
        <v>2110</v>
      </c>
      <c r="D419" s="110" t="s">
        <v>381</v>
      </c>
      <c r="E419" s="791">
        <f>J422</f>
        <v>74.94</v>
      </c>
      <c r="F419" s="791"/>
      <c r="G419" s="110" t="s">
        <v>382</v>
      </c>
      <c r="H419" s="118"/>
      <c r="I419" s="110"/>
      <c r="J419" s="110"/>
      <c r="K419" s="110"/>
      <c r="L419" s="118"/>
      <c r="M419" s="118"/>
      <c r="N419" s="118"/>
      <c r="O419" s="110"/>
      <c r="P419" s="110"/>
      <c r="Q419" s="277"/>
    </row>
    <row r="420" spans="1:17" ht="14.25" customHeight="1">
      <c r="A420" s="130"/>
      <c r="B420" s="110"/>
      <c r="C420" s="280" t="s">
        <v>2111</v>
      </c>
      <c r="D420" s="118">
        <f>H396</f>
        <v>2</v>
      </c>
      <c r="E420" s="118" t="s">
        <v>300</v>
      </c>
      <c r="F420" s="118">
        <f>K396</f>
        <v>20</v>
      </c>
      <c r="G420" s="110" t="s">
        <v>383</v>
      </c>
      <c r="H420" s="118">
        <f>H396</f>
        <v>2</v>
      </c>
      <c r="I420" s="118" t="s">
        <v>300</v>
      </c>
      <c r="J420" s="118">
        <f>O396</f>
        <v>25</v>
      </c>
      <c r="K420" s="118" t="s">
        <v>1757</v>
      </c>
      <c r="L420" s="118">
        <f>H397</f>
        <v>28</v>
      </c>
      <c r="M420" s="118" t="s">
        <v>300</v>
      </c>
      <c r="N420" s="791">
        <f>K397</f>
        <v>50</v>
      </c>
      <c r="O420" s="791"/>
      <c r="P420" s="110" t="s">
        <v>2112</v>
      </c>
      <c r="Q420" s="277"/>
    </row>
    <row r="421" spans="1:17" ht="14.25" customHeight="1">
      <c r="A421" s="130"/>
      <c r="B421" s="110"/>
      <c r="C421" s="309" t="s">
        <v>1758</v>
      </c>
      <c r="D421" s="118">
        <f>H397</f>
        <v>28</v>
      </c>
      <c r="E421" s="118" t="s">
        <v>300</v>
      </c>
      <c r="F421" s="118">
        <f>O397</f>
        <v>55</v>
      </c>
      <c r="G421" s="110" t="s">
        <v>1762</v>
      </c>
      <c r="H421" s="118"/>
      <c r="I421" s="118"/>
      <c r="J421" s="118"/>
      <c r="K421" s="118"/>
      <c r="L421" s="118"/>
      <c r="M421" s="118"/>
      <c r="N421" s="791"/>
      <c r="O421" s="791"/>
      <c r="P421" s="110"/>
      <c r="Q421" s="277"/>
    </row>
    <row r="422" spans="1:17" ht="14.25" customHeight="1">
      <c r="A422" s="130"/>
      <c r="B422" s="110"/>
      <c r="C422" s="118"/>
      <c r="D422" s="280" t="s">
        <v>1582</v>
      </c>
      <c r="E422" s="791">
        <f>(D420/F420)+(H420/J420)+(L420/N420)+(D421/F421)</f>
        <v>1.249090909090909</v>
      </c>
      <c r="F422" s="791"/>
      <c r="G422" s="110" t="s">
        <v>384</v>
      </c>
      <c r="H422" s="118">
        <v>60</v>
      </c>
      <c r="I422" s="118" t="s">
        <v>1582</v>
      </c>
      <c r="J422" s="283">
        <f>TRUNC(E422*H422,2)</f>
        <v>74.94</v>
      </c>
      <c r="K422" s="286" t="s">
        <v>1600</v>
      </c>
      <c r="L422" s="110"/>
      <c r="M422" s="110"/>
      <c r="N422" s="118"/>
      <c r="O422" s="110"/>
      <c r="P422" s="110"/>
      <c r="Q422" s="277"/>
    </row>
    <row r="423" spans="1:17" ht="14.25" customHeight="1">
      <c r="A423" s="130"/>
      <c r="B423" s="110"/>
      <c r="C423" s="118" t="s">
        <v>2113</v>
      </c>
      <c r="D423" s="110" t="s">
        <v>385</v>
      </c>
      <c r="E423" s="846">
        <v>0.8</v>
      </c>
      <c r="F423" s="846"/>
      <c r="G423" s="110" t="s">
        <v>1600</v>
      </c>
      <c r="H423" s="118"/>
      <c r="I423" s="110"/>
      <c r="J423" s="118"/>
      <c r="K423" s="110"/>
      <c r="L423" s="110"/>
      <c r="M423" s="110"/>
      <c r="N423" s="110"/>
      <c r="O423" s="110"/>
      <c r="P423" s="110"/>
      <c r="Q423" s="277"/>
    </row>
    <row r="424" spans="1:17" ht="14.25" customHeight="1">
      <c r="A424" s="130"/>
      <c r="B424" s="110"/>
      <c r="C424" s="118" t="s">
        <v>2114</v>
      </c>
      <c r="D424" s="110" t="s">
        <v>387</v>
      </c>
      <c r="E424" s="791">
        <v>0.42</v>
      </c>
      <c r="F424" s="791"/>
      <c r="G424" s="110" t="s">
        <v>1759</v>
      </c>
      <c r="H424" s="118"/>
      <c r="I424" s="110"/>
      <c r="J424" s="110"/>
      <c r="K424" s="110"/>
      <c r="L424" s="110"/>
      <c r="M424" s="118"/>
      <c r="N424" s="118"/>
      <c r="O424" s="110"/>
      <c r="P424" s="110"/>
      <c r="Q424" s="277"/>
    </row>
    <row r="425" spans="1:17" ht="14.25" customHeight="1">
      <c r="A425" s="130"/>
      <c r="B425" s="110"/>
      <c r="C425" s="118" t="s">
        <v>3112</v>
      </c>
      <c r="D425" s="110" t="s">
        <v>389</v>
      </c>
      <c r="E425" s="791">
        <v>0.5</v>
      </c>
      <c r="F425" s="791"/>
      <c r="G425" s="110" t="s">
        <v>390</v>
      </c>
      <c r="H425" s="110"/>
      <c r="I425" s="110"/>
      <c r="J425" s="110"/>
      <c r="K425" s="110"/>
      <c r="L425" s="110"/>
      <c r="M425" s="110"/>
      <c r="N425" s="110"/>
      <c r="O425" s="110"/>
      <c r="P425" s="110"/>
      <c r="Q425" s="277"/>
    </row>
    <row r="426" spans="1:17" ht="14.25" customHeight="1">
      <c r="A426" s="130"/>
      <c r="B426" s="110"/>
      <c r="C426" s="118"/>
      <c r="D426" s="118" t="s">
        <v>1454</v>
      </c>
      <c r="E426" s="840">
        <f>E410+E419+E423+E424+E425</f>
        <v>98.35</v>
      </c>
      <c r="F426" s="840"/>
      <c r="G426" s="110" t="s">
        <v>1600</v>
      </c>
      <c r="H426" s="110"/>
      <c r="I426" s="110"/>
      <c r="J426" s="110"/>
      <c r="K426" s="110"/>
      <c r="L426" s="110"/>
      <c r="M426" s="110"/>
      <c r="N426" s="110"/>
      <c r="O426" s="110"/>
      <c r="P426" s="110"/>
      <c r="Q426" s="277"/>
    </row>
    <row r="427" spans="1:17" ht="14.25" customHeight="1">
      <c r="A427" s="130"/>
      <c r="B427" s="118"/>
      <c r="C427" s="118"/>
      <c r="D427" s="110"/>
      <c r="E427" s="118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277"/>
    </row>
    <row r="428" spans="1:17" ht="14.25" customHeight="1">
      <c r="A428" s="130" t="s">
        <v>391</v>
      </c>
      <c r="B428" s="110" t="s">
        <v>392</v>
      </c>
      <c r="C428" s="118"/>
      <c r="D428" s="110"/>
      <c r="E428" s="118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277"/>
    </row>
    <row r="429" spans="1:17" ht="14.25" customHeight="1">
      <c r="A429" s="130"/>
      <c r="B429" s="28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277"/>
    </row>
    <row r="430" spans="1:17" ht="14.25" customHeight="1">
      <c r="A430" s="841"/>
      <c r="B430" s="791" t="s">
        <v>1111</v>
      </c>
      <c r="C430" s="791" t="s">
        <v>1582</v>
      </c>
      <c r="D430" s="280" t="s">
        <v>393</v>
      </c>
      <c r="E430" s="286">
        <f>G406</f>
        <v>0.8</v>
      </c>
      <c r="F430" s="118" t="s">
        <v>972</v>
      </c>
      <c r="G430" s="282">
        <f>L405</f>
        <v>15.62</v>
      </c>
      <c r="H430" s="118" t="s">
        <v>972</v>
      </c>
      <c r="I430" s="118">
        <f>G407</f>
        <v>0.9</v>
      </c>
      <c r="J430" s="791" t="s">
        <v>1582</v>
      </c>
      <c r="K430" s="847">
        <f>TRUNC(E430*G430*I430*60,3)</f>
        <v>674.78399999999999</v>
      </c>
      <c r="L430" s="847"/>
      <c r="M430" s="791" t="s">
        <v>1582</v>
      </c>
      <c r="N430" s="838">
        <f>TRUNC(K430/K431,2)</f>
        <v>6.86</v>
      </c>
      <c r="O430" s="838"/>
      <c r="P430" s="110" t="s">
        <v>301</v>
      </c>
      <c r="Q430" s="277"/>
    </row>
    <row r="431" spans="1:17" ht="14.25" customHeight="1">
      <c r="A431" s="841"/>
      <c r="B431" s="791"/>
      <c r="C431" s="791"/>
      <c r="D431" s="848">
        <f>G408</f>
        <v>98.35</v>
      </c>
      <c r="E431" s="848"/>
      <c r="F431" s="848"/>
      <c r="G431" s="848"/>
      <c r="H431" s="848"/>
      <c r="I431" s="848"/>
      <c r="J431" s="791"/>
      <c r="K431" s="839">
        <f>D431</f>
        <v>98.35</v>
      </c>
      <c r="L431" s="839"/>
      <c r="M431" s="791"/>
      <c r="N431" s="838"/>
      <c r="O431" s="838"/>
      <c r="P431" s="110"/>
      <c r="Q431" s="277" t="s">
        <v>394</v>
      </c>
    </row>
    <row r="432" spans="1:17" ht="14.25" customHeight="1">
      <c r="A432" s="13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277"/>
    </row>
    <row r="433" spans="1:18" ht="14.25" customHeight="1">
      <c r="A433" s="130"/>
      <c r="B433" s="110"/>
      <c r="C433" s="110"/>
      <c r="D433" s="110" t="s">
        <v>395</v>
      </c>
      <c r="E433" s="110"/>
      <c r="F433" s="835">
        <f>중기사용료!$M$549</f>
        <v>30771</v>
      </c>
      <c r="G433" s="835"/>
      <c r="H433" s="286" t="s">
        <v>975</v>
      </c>
      <c r="I433" s="118" t="s">
        <v>300</v>
      </c>
      <c r="J433" s="285">
        <f>N430</f>
        <v>6.86</v>
      </c>
      <c r="K433" s="282" t="s">
        <v>1582</v>
      </c>
      <c r="L433" s="121">
        <f>TRUNC(F433/J433)</f>
        <v>4485</v>
      </c>
      <c r="M433" s="118" t="s">
        <v>975</v>
      </c>
      <c r="N433" s="303" t="s">
        <v>416</v>
      </c>
      <c r="O433" s="110"/>
      <c r="P433" s="110"/>
      <c r="Q433" s="277"/>
    </row>
    <row r="434" spans="1:18" ht="14.25" customHeight="1">
      <c r="A434" s="130"/>
      <c r="B434" s="110"/>
      <c r="C434" s="118"/>
      <c r="D434" s="110"/>
      <c r="E434" s="290"/>
      <c r="F434" s="291"/>
      <c r="G434" s="291"/>
      <c r="H434" s="118"/>
      <c r="I434" s="110"/>
      <c r="J434" s="110"/>
      <c r="K434" s="285"/>
      <c r="L434" s="121"/>
      <c r="M434" s="118"/>
      <c r="N434" s="303"/>
      <c r="O434" s="110"/>
      <c r="P434" s="110"/>
      <c r="Q434" s="277"/>
    </row>
    <row r="435" spans="1:18" ht="14.25" customHeight="1">
      <c r="A435" s="130"/>
      <c r="B435" s="110"/>
      <c r="C435" s="110"/>
      <c r="D435" s="110" t="s">
        <v>396</v>
      </c>
      <c r="E435" s="110"/>
      <c r="F435" s="835">
        <f>중기사용료!$M$543</f>
        <v>27168</v>
      </c>
      <c r="G435" s="835"/>
      <c r="H435" s="286" t="s">
        <v>975</v>
      </c>
      <c r="I435" s="118" t="s">
        <v>300</v>
      </c>
      <c r="J435" s="285">
        <f>N430</f>
        <v>6.86</v>
      </c>
      <c r="K435" s="282" t="s">
        <v>1582</v>
      </c>
      <c r="L435" s="121">
        <f>TRUNC(F435/J435)</f>
        <v>3960</v>
      </c>
      <c r="M435" s="118" t="s">
        <v>975</v>
      </c>
      <c r="N435" s="303" t="s">
        <v>416</v>
      </c>
      <c r="O435" s="110"/>
      <c r="P435" s="110"/>
      <c r="Q435" s="277"/>
    </row>
    <row r="436" spans="1:18" ht="14.25" customHeight="1">
      <c r="A436" s="130"/>
      <c r="B436" s="110"/>
      <c r="C436" s="118"/>
      <c r="D436" s="110"/>
      <c r="E436" s="290"/>
      <c r="F436" s="291"/>
      <c r="G436" s="291"/>
      <c r="H436" s="118"/>
      <c r="I436" s="110"/>
      <c r="J436" s="110"/>
      <c r="K436" s="285"/>
      <c r="L436" s="121"/>
      <c r="M436" s="118"/>
      <c r="N436" s="303"/>
      <c r="O436" s="110"/>
      <c r="P436" s="110"/>
      <c r="Q436" s="277"/>
      <c r="R436" s="272" t="s">
        <v>1436</v>
      </c>
    </row>
    <row r="437" spans="1:18" ht="14.25" customHeight="1">
      <c r="A437" s="130"/>
      <c r="B437" s="110"/>
      <c r="C437" s="110"/>
      <c r="D437" s="110" t="s">
        <v>398</v>
      </c>
      <c r="E437" s="110"/>
      <c r="F437" s="835">
        <f>중기사용료!$M$537</f>
        <v>24402</v>
      </c>
      <c r="G437" s="835"/>
      <c r="H437" s="118" t="s">
        <v>975</v>
      </c>
      <c r="I437" s="118" t="s">
        <v>300</v>
      </c>
      <c r="J437" s="285">
        <f>N430</f>
        <v>6.86</v>
      </c>
      <c r="K437" s="282" t="s">
        <v>1582</v>
      </c>
      <c r="L437" s="121">
        <f>TRUNC(F437/J437)</f>
        <v>3557</v>
      </c>
      <c r="M437" s="121" t="s">
        <v>975</v>
      </c>
      <c r="N437" s="303" t="s">
        <v>416</v>
      </c>
      <c r="O437" s="110"/>
      <c r="P437" s="110"/>
      <c r="Q437" s="277"/>
    </row>
    <row r="438" spans="1:18" ht="14.25" customHeight="1">
      <c r="A438" s="130"/>
      <c r="B438" s="110"/>
      <c r="C438" s="118"/>
      <c r="D438" s="110"/>
      <c r="E438" s="110"/>
      <c r="F438" s="110"/>
      <c r="G438" s="110"/>
      <c r="H438" s="110"/>
      <c r="I438" s="110"/>
      <c r="J438" s="110"/>
      <c r="K438" s="110"/>
      <c r="L438" s="110"/>
      <c r="M438" s="118"/>
      <c r="N438" s="303"/>
      <c r="O438" s="110"/>
      <c r="P438" s="110"/>
      <c r="Q438" s="277"/>
    </row>
    <row r="439" spans="1:18" ht="14.25" customHeight="1">
      <c r="A439" s="162"/>
      <c r="B439" s="164"/>
      <c r="C439" s="164"/>
      <c r="D439" s="164"/>
      <c r="E439" s="164"/>
      <c r="F439" s="844">
        <f>SUM(F433:G437)</f>
        <v>82341</v>
      </c>
      <c r="G439" s="844"/>
      <c r="H439" s="299"/>
      <c r="I439" s="165"/>
      <c r="J439" s="164"/>
      <c r="K439" s="165" t="s">
        <v>1454</v>
      </c>
      <c r="L439" s="292">
        <f>SUM(L433,L435,L437)</f>
        <v>12002</v>
      </c>
      <c r="M439" s="164" t="s">
        <v>975</v>
      </c>
      <c r="N439" s="310" t="s">
        <v>416</v>
      </c>
      <c r="O439" s="300"/>
      <c r="P439" s="164"/>
      <c r="Q439" s="301"/>
    </row>
    <row r="440" spans="1:18" ht="14.25" customHeight="1">
      <c r="A440" s="135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293"/>
    </row>
    <row r="442" spans="1:18" s="265" customFormat="1" ht="14.25" customHeight="1">
      <c r="A442" s="306"/>
      <c r="B442" s="262" t="s">
        <v>2408</v>
      </c>
      <c r="C442" s="262"/>
      <c r="D442" s="262"/>
      <c r="E442" s="262"/>
      <c r="F442" s="262"/>
      <c r="G442" s="262"/>
      <c r="H442" s="263"/>
      <c r="I442" s="263" t="s">
        <v>1421</v>
      </c>
      <c r="J442" s="263">
        <v>20</v>
      </c>
      <c r="K442" s="262" t="s">
        <v>1193</v>
      </c>
      <c r="L442" s="263">
        <v>0.7</v>
      </c>
      <c r="M442" s="262" t="s">
        <v>1420</v>
      </c>
      <c r="N442" s="262"/>
      <c r="O442" s="261"/>
      <c r="P442" s="261"/>
      <c r="Q442" s="264"/>
      <c r="R442" s="265" t="s">
        <v>3299</v>
      </c>
    </row>
    <row r="443" spans="1:18" ht="14.25" customHeight="1">
      <c r="A443" s="266"/>
      <c r="B443" s="126"/>
      <c r="C443" s="126"/>
      <c r="D443" s="126"/>
      <c r="E443" s="267"/>
      <c r="F443" s="267"/>
      <c r="G443" s="268"/>
      <c r="H443" s="267"/>
      <c r="I443" s="267"/>
      <c r="J443" s="267"/>
      <c r="K443" s="267"/>
      <c r="L443" s="269"/>
      <c r="M443" s="270"/>
      <c r="N443" s="270"/>
      <c r="O443" s="126"/>
      <c r="P443" s="126"/>
      <c r="Q443" s="271"/>
    </row>
    <row r="444" spans="1:18" ht="14.25" customHeight="1">
      <c r="A444" s="273"/>
      <c r="B444" s="110" t="s">
        <v>1592</v>
      </c>
      <c r="C444" s="33" t="s">
        <v>1593</v>
      </c>
      <c r="D444" s="274"/>
      <c r="E444" s="275"/>
      <c r="F444" s="275"/>
      <c r="G444" s="121"/>
      <c r="H444" s="275"/>
      <c r="I444" s="275"/>
      <c r="J444" s="275" t="s">
        <v>1749</v>
      </c>
      <c r="K444" s="275"/>
      <c r="L444" s="33"/>
      <c r="M444" s="276" t="s">
        <v>1750</v>
      </c>
      <c r="N444" s="276"/>
      <c r="O444" s="110"/>
      <c r="P444" s="110"/>
      <c r="Q444" s="277"/>
    </row>
    <row r="445" spans="1:18" ht="14.25" customHeight="1">
      <c r="A445" s="273"/>
      <c r="B445" s="118" t="s">
        <v>2267</v>
      </c>
      <c r="C445" s="110" t="s">
        <v>1760</v>
      </c>
      <c r="D445" s="110"/>
      <c r="E445" s="110"/>
      <c r="F445" s="110"/>
      <c r="G445" s="275" t="s">
        <v>3103</v>
      </c>
      <c r="H445" s="275">
        <v>2</v>
      </c>
      <c r="I445" s="275" t="s">
        <v>1595</v>
      </c>
      <c r="J445" s="274" t="s">
        <v>1596</v>
      </c>
      <c r="K445" s="110">
        <v>20</v>
      </c>
      <c r="L445" s="110" t="s">
        <v>1595</v>
      </c>
      <c r="M445" s="122" t="s">
        <v>1596</v>
      </c>
      <c r="N445" s="118"/>
      <c r="O445" s="110">
        <v>25</v>
      </c>
      <c r="P445" s="275" t="s">
        <v>1595</v>
      </c>
      <c r="Q445" s="277"/>
    </row>
    <row r="446" spans="1:18" ht="14.25" customHeight="1">
      <c r="A446" s="273"/>
      <c r="B446" s="118" t="s">
        <v>2267</v>
      </c>
      <c r="C446" s="110" t="s">
        <v>1761</v>
      </c>
      <c r="D446" s="110"/>
      <c r="E446" s="110"/>
      <c r="F446" s="110"/>
      <c r="G446" s="275" t="s">
        <v>3105</v>
      </c>
      <c r="H446" s="275">
        <v>28</v>
      </c>
      <c r="I446" s="275" t="s">
        <v>1595</v>
      </c>
      <c r="J446" s="274" t="s">
        <v>1597</v>
      </c>
      <c r="K446" s="110">
        <v>50</v>
      </c>
      <c r="L446" s="110" t="s">
        <v>1595</v>
      </c>
      <c r="M446" s="122" t="s">
        <v>1597</v>
      </c>
      <c r="N446" s="118"/>
      <c r="O446" s="110">
        <v>55</v>
      </c>
      <c r="P446" s="275" t="s">
        <v>1595</v>
      </c>
      <c r="Q446" s="277"/>
    </row>
    <row r="447" spans="1:18" ht="14.25" customHeight="1">
      <c r="A447" s="273"/>
      <c r="B447" s="118"/>
      <c r="C447" s="110"/>
      <c r="D447" s="110"/>
      <c r="E447" s="110"/>
      <c r="F447" s="110"/>
      <c r="G447" s="275"/>
      <c r="H447" s="275"/>
      <c r="I447" s="275"/>
      <c r="J447" s="274"/>
      <c r="K447" s="110"/>
      <c r="L447" s="110"/>
      <c r="M447" s="33"/>
      <c r="N447" s="118"/>
      <c r="O447" s="110"/>
      <c r="P447" s="275"/>
      <c r="Q447" s="277"/>
    </row>
    <row r="448" spans="1:18" ht="14.25" customHeight="1">
      <c r="A448" s="273"/>
      <c r="B448" s="110"/>
      <c r="C448" s="274"/>
      <c r="D448" s="274"/>
      <c r="E448" s="275"/>
      <c r="F448" s="275"/>
      <c r="G448" s="121"/>
      <c r="H448" s="275"/>
      <c r="I448" s="275"/>
      <c r="J448" s="275"/>
      <c r="K448" s="275"/>
      <c r="L448" s="33"/>
      <c r="M448" s="276"/>
      <c r="N448" s="276"/>
      <c r="O448" s="110"/>
      <c r="P448" s="110"/>
      <c r="Q448" s="277"/>
    </row>
    <row r="449" spans="1:17" ht="14.25" customHeight="1">
      <c r="A449" s="130"/>
      <c r="B449" s="110" t="s">
        <v>1592</v>
      </c>
      <c r="C449" s="110" t="s">
        <v>1198</v>
      </c>
      <c r="D449" s="110"/>
      <c r="E449" s="110"/>
      <c r="F449" s="110"/>
      <c r="G449" s="110"/>
      <c r="H449" s="110"/>
      <c r="I449" s="110"/>
      <c r="J449" s="110" t="s">
        <v>400</v>
      </c>
      <c r="K449" s="110"/>
      <c r="L449" s="118">
        <v>1.6</v>
      </c>
      <c r="M449" s="110" t="s">
        <v>1805</v>
      </c>
      <c r="N449" s="110"/>
      <c r="O449" s="110"/>
      <c r="P449" s="110"/>
      <c r="Q449" s="277"/>
    </row>
    <row r="450" spans="1:17" ht="14.25" customHeight="1">
      <c r="A450" s="130"/>
      <c r="B450" s="118"/>
      <c r="C450" s="791" t="s">
        <v>1806</v>
      </c>
      <c r="D450" s="791" t="s">
        <v>1807</v>
      </c>
      <c r="E450" s="791"/>
      <c r="F450" s="791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277"/>
    </row>
    <row r="451" spans="1:17" ht="14.25" customHeight="1">
      <c r="A451" s="130"/>
      <c r="B451" s="118"/>
      <c r="C451" s="791"/>
      <c r="D451" s="843" t="s">
        <v>1583</v>
      </c>
      <c r="E451" s="843"/>
      <c r="F451" s="843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277"/>
    </row>
    <row r="452" spans="1:17" ht="14.25" customHeight="1">
      <c r="A452" s="13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277"/>
    </row>
    <row r="453" spans="1:17" ht="14.25" customHeight="1">
      <c r="A453" s="130"/>
      <c r="B453" s="280"/>
      <c r="C453" s="118" t="s">
        <v>1808</v>
      </c>
      <c r="D453" s="110" t="s">
        <v>1809</v>
      </c>
      <c r="E453" s="110"/>
      <c r="F453" s="110"/>
      <c r="G453" s="118"/>
      <c r="H453" s="280"/>
      <c r="I453" s="118"/>
      <c r="J453" s="110"/>
      <c r="K453" s="110"/>
      <c r="L453" s="110"/>
      <c r="M453" s="110"/>
      <c r="N453" s="110"/>
      <c r="O453" s="110"/>
      <c r="P453" s="110"/>
      <c r="Q453" s="277"/>
    </row>
    <row r="454" spans="1:17" ht="14.25" customHeight="1">
      <c r="A454" s="130"/>
      <c r="B454" s="280"/>
      <c r="C454" s="118" t="s">
        <v>298</v>
      </c>
      <c r="D454" s="110" t="s">
        <v>299</v>
      </c>
      <c r="E454" s="845">
        <f>J442</f>
        <v>20</v>
      </c>
      <c r="F454" s="845"/>
      <c r="G454" s="118" t="s">
        <v>300</v>
      </c>
      <c r="H454" s="118">
        <f>L449</f>
        <v>1.6</v>
      </c>
      <c r="I454" s="118" t="s">
        <v>972</v>
      </c>
      <c r="J454" s="118">
        <v>1.25</v>
      </c>
      <c r="K454" s="118" t="s">
        <v>1582</v>
      </c>
      <c r="L454" s="282">
        <f>TRUNC(E454/H454*J454,2)</f>
        <v>15.62</v>
      </c>
      <c r="M454" s="118" t="s">
        <v>301</v>
      </c>
      <c r="N454" s="110"/>
      <c r="O454" s="110"/>
      <c r="P454" s="110"/>
      <c r="Q454" s="277"/>
    </row>
    <row r="455" spans="1:17" ht="14.25" customHeight="1">
      <c r="A455" s="130"/>
      <c r="B455" s="280"/>
      <c r="C455" s="118" t="s">
        <v>302</v>
      </c>
      <c r="D455" s="110" t="s">
        <v>1156</v>
      </c>
      <c r="E455" s="110"/>
      <c r="F455" s="118" t="s">
        <v>1526</v>
      </c>
      <c r="G455" s="283">
        <f>TRUNC(1/J455,2)</f>
        <v>0.8</v>
      </c>
      <c r="H455" s="280" t="s">
        <v>303</v>
      </c>
      <c r="I455" s="118" t="s">
        <v>300</v>
      </c>
      <c r="J455" s="118">
        <f>J454</f>
        <v>1.25</v>
      </c>
      <c r="K455" s="284" t="s">
        <v>304</v>
      </c>
      <c r="L455" s="110"/>
      <c r="M455" s="110"/>
      <c r="N455" s="110"/>
      <c r="O455" s="110"/>
      <c r="P455" s="110"/>
      <c r="Q455" s="277"/>
    </row>
    <row r="456" spans="1:17" ht="14.25" customHeight="1">
      <c r="A456" s="130"/>
      <c r="B456" s="280"/>
      <c r="C456" s="118" t="s">
        <v>1703</v>
      </c>
      <c r="D456" s="110" t="s">
        <v>1207</v>
      </c>
      <c r="E456" s="110"/>
      <c r="F456" s="118" t="s">
        <v>1526</v>
      </c>
      <c r="G456" s="118">
        <v>0.9</v>
      </c>
      <c r="H456" s="280"/>
      <c r="I456" s="110"/>
      <c r="J456" s="110"/>
      <c r="K456" s="110"/>
      <c r="L456" s="110"/>
      <c r="M456" s="110"/>
      <c r="N456" s="110"/>
      <c r="O456" s="110"/>
      <c r="P456" s="110"/>
      <c r="Q456" s="277"/>
    </row>
    <row r="457" spans="1:17" ht="14.25" customHeight="1">
      <c r="A457" s="130"/>
      <c r="B457" s="280"/>
      <c r="C457" s="118" t="s">
        <v>1704</v>
      </c>
      <c r="D457" s="110" t="s">
        <v>401</v>
      </c>
      <c r="E457" s="110"/>
      <c r="F457" s="118"/>
      <c r="G457" s="286">
        <f>E475</f>
        <v>88.46</v>
      </c>
      <c r="H457" s="118" t="s">
        <v>1600</v>
      </c>
      <c r="I457" s="110"/>
      <c r="J457" s="110"/>
      <c r="K457" s="110"/>
      <c r="L457" s="110"/>
      <c r="M457" s="110"/>
      <c r="N457" s="110"/>
      <c r="O457" s="110"/>
      <c r="P457" s="110"/>
      <c r="Q457" s="277"/>
    </row>
    <row r="458" spans="1:17" ht="14.25" customHeight="1">
      <c r="A458" s="130"/>
      <c r="B458" s="280"/>
      <c r="C458" s="118" t="s">
        <v>1704</v>
      </c>
      <c r="D458" s="110" t="s">
        <v>3111</v>
      </c>
      <c r="E458" s="110"/>
      <c r="F458" s="110"/>
      <c r="G458" s="110"/>
      <c r="H458" s="283"/>
      <c r="I458" s="118"/>
      <c r="J458" s="110"/>
      <c r="K458" s="110"/>
      <c r="L458" s="110"/>
      <c r="M458" s="110"/>
      <c r="N458" s="110"/>
      <c r="O458" s="110"/>
      <c r="P458" s="110"/>
      <c r="Q458" s="277"/>
    </row>
    <row r="459" spans="1:17" ht="14.25" customHeight="1">
      <c r="A459" s="130"/>
      <c r="B459" s="110"/>
      <c r="C459" s="118" t="s">
        <v>1706</v>
      </c>
      <c r="D459" s="110" t="s">
        <v>1707</v>
      </c>
      <c r="E459" s="838">
        <f>E467</f>
        <v>11.8</v>
      </c>
      <c r="F459" s="838"/>
      <c r="G459" s="110" t="s">
        <v>402</v>
      </c>
      <c r="H459" s="285" t="s">
        <v>403</v>
      </c>
      <c r="I459" s="118"/>
      <c r="J459" s="118"/>
      <c r="K459" s="110"/>
      <c r="L459" s="118"/>
      <c r="M459" s="286"/>
      <c r="N459" s="286"/>
      <c r="O459" s="118"/>
      <c r="P459" s="110"/>
      <c r="Q459" s="277"/>
    </row>
    <row r="460" spans="1:17" ht="14.25" customHeight="1">
      <c r="A460" s="130"/>
      <c r="B460" s="110"/>
      <c r="C460" s="118"/>
      <c r="E460" s="288"/>
      <c r="F460" s="286"/>
      <c r="G460" s="110"/>
      <c r="H460" s="285"/>
      <c r="I460" s="118"/>
      <c r="J460" s="118"/>
      <c r="K460" s="110"/>
      <c r="L460" s="118"/>
      <c r="M460" s="286"/>
      <c r="N460" s="286"/>
      <c r="O460" s="118"/>
      <c r="P460" s="110"/>
      <c r="Q460" s="277"/>
    </row>
    <row r="461" spans="1:17" ht="14.25" customHeight="1">
      <c r="A461" s="130"/>
      <c r="B461" s="110"/>
      <c r="C461" s="118"/>
      <c r="D461" s="118" t="s">
        <v>404</v>
      </c>
      <c r="E461" s="846">
        <v>20</v>
      </c>
      <c r="F461" s="846"/>
      <c r="G461" s="110" t="s">
        <v>405</v>
      </c>
      <c r="H461" s="285" t="s">
        <v>1756</v>
      </c>
      <c r="I461" s="118"/>
      <c r="J461" s="109"/>
      <c r="K461" s="110"/>
      <c r="L461" s="109"/>
      <c r="M461" s="286"/>
      <c r="N461" s="286"/>
      <c r="O461" s="118"/>
      <c r="P461" s="110"/>
      <c r="Q461" s="277"/>
    </row>
    <row r="462" spans="1:17" ht="14.25" customHeight="1">
      <c r="A462" s="130"/>
      <c r="B462" s="110"/>
      <c r="C462" s="118"/>
      <c r="D462" s="280"/>
      <c r="E462" s="288"/>
      <c r="F462" s="286"/>
      <c r="G462" s="110"/>
      <c r="H462" s="285"/>
      <c r="I462" s="307"/>
      <c r="K462" s="110"/>
      <c r="L462" s="118"/>
      <c r="M462" s="286"/>
      <c r="N462" s="286"/>
      <c r="O462" s="118"/>
      <c r="P462" s="110"/>
      <c r="Q462" s="277"/>
    </row>
    <row r="463" spans="1:17" ht="14.25" customHeight="1">
      <c r="A463" s="130"/>
      <c r="B463" s="110"/>
      <c r="C463" s="118"/>
      <c r="D463" s="110" t="s">
        <v>407</v>
      </c>
      <c r="E463" s="288" t="s">
        <v>408</v>
      </c>
      <c r="F463" s="286"/>
      <c r="G463" s="110"/>
      <c r="H463" s="285"/>
      <c r="I463" s="118" t="s">
        <v>1748</v>
      </c>
      <c r="J463" s="118">
        <v>0.9</v>
      </c>
      <c r="K463" s="110"/>
      <c r="L463" s="118"/>
      <c r="M463" s="286"/>
      <c r="N463" s="286"/>
      <c r="O463" s="118"/>
      <c r="P463" s="110"/>
      <c r="Q463" s="277"/>
    </row>
    <row r="464" spans="1:17" ht="14.25" customHeight="1">
      <c r="A464" s="130"/>
      <c r="B464" s="110"/>
      <c r="C464" s="118"/>
      <c r="D464" s="110" t="s">
        <v>410</v>
      </c>
      <c r="E464" s="838">
        <f>L454</f>
        <v>15.62</v>
      </c>
      <c r="F464" s="838"/>
      <c r="G464" s="118" t="s">
        <v>411</v>
      </c>
      <c r="H464" s="285">
        <f>L442</f>
        <v>0.7</v>
      </c>
      <c r="I464" s="118" t="s">
        <v>86</v>
      </c>
      <c r="J464" s="118">
        <f>J463</f>
        <v>0.9</v>
      </c>
      <c r="K464" s="110" t="s">
        <v>412</v>
      </c>
      <c r="L464" s="118">
        <f>TRUNC(E464/(H464*J464),2)</f>
        <v>24.79</v>
      </c>
      <c r="M464" s="286" t="s">
        <v>969</v>
      </c>
      <c r="N464" s="286"/>
      <c r="O464" s="118"/>
      <c r="P464" s="110"/>
      <c r="Q464" s="277"/>
    </row>
    <row r="465" spans="1:17" ht="14.25" customHeight="1">
      <c r="A465" s="130"/>
      <c r="B465" s="110"/>
      <c r="C465" s="118"/>
      <c r="D465" s="110" t="s">
        <v>413</v>
      </c>
      <c r="E465" s="838">
        <v>0.7</v>
      </c>
      <c r="F465" s="838"/>
      <c r="G465" s="118"/>
      <c r="H465" s="285"/>
      <c r="I465" s="118"/>
      <c r="J465" s="118"/>
      <c r="K465" s="110"/>
      <c r="L465" s="118"/>
      <c r="M465" s="286"/>
      <c r="N465" s="286"/>
      <c r="O465" s="118"/>
      <c r="P465" s="110"/>
      <c r="Q465" s="277"/>
    </row>
    <row r="466" spans="1:17" ht="14.25" customHeight="1">
      <c r="A466" s="130"/>
      <c r="B466" s="110"/>
      <c r="C466" s="118" t="s">
        <v>1601</v>
      </c>
      <c r="D466" s="110" t="s">
        <v>1709</v>
      </c>
      <c r="E466" s="845">
        <f>E461</f>
        <v>20</v>
      </c>
      <c r="F466" s="845"/>
      <c r="G466" s="118" t="s">
        <v>972</v>
      </c>
      <c r="H466" s="285">
        <f>L464</f>
        <v>24.79</v>
      </c>
      <c r="I466" s="118" t="s">
        <v>414</v>
      </c>
      <c r="J466" s="118">
        <v>60</v>
      </c>
      <c r="K466" s="118" t="s">
        <v>972</v>
      </c>
      <c r="L466" s="282">
        <f>E465</f>
        <v>0.7</v>
      </c>
      <c r="M466" s="288" t="s">
        <v>2112</v>
      </c>
      <c r="N466" s="286"/>
      <c r="O466" s="118"/>
      <c r="P466" s="110"/>
      <c r="Q466" s="277"/>
    </row>
    <row r="467" spans="1:17" ht="14.25" customHeight="1">
      <c r="A467" s="130"/>
      <c r="B467" s="110"/>
      <c r="C467" s="118"/>
      <c r="D467" s="110" t="s">
        <v>410</v>
      </c>
      <c r="E467" s="838">
        <f>TRUNC((E466*H466)/(J466*L466),2)</f>
        <v>11.8</v>
      </c>
      <c r="F467" s="838"/>
      <c r="G467" s="110" t="s">
        <v>415</v>
      </c>
      <c r="H467" s="287"/>
      <c r="I467" s="118"/>
      <c r="J467" s="118"/>
      <c r="K467" s="118"/>
      <c r="L467" s="118"/>
      <c r="M467" s="286"/>
      <c r="N467" s="286"/>
      <c r="O467" s="118"/>
      <c r="P467" s="110"/>
      <c r="Q467" s="277"/>
    </row>
    <row r="468" spans="1:17" ht="14.25" customHeight="1">
      <c r="A468" s="130"/>
      <c r="B468" s="110"/>
      <c r="C468" s="118" t="s">
        <v>2110</v>
      </c>
      <c r="D468" s="110" t="s">
        <v>381</v>
      </c>
      <c r="E468" s="791">
        <f>J471</f>
        <v>74.94</v>
      </c>
      <c r="F468" s="791"/>
      <c r="G468" s="110" t="s">
        <v>382</v>
      </c>
      <c r="H468" s="118"/>
      <c r="I468" s="110"/>
      <c r="J468" s="110"/>
      <c r="K468" s="110"/>
      <c r="L468" s="118"/>
      <c r="M468" s="118"/>
      <c r="N468" s="118"/>
      <c r="O468" s="110"/>
      <c r="P468" s="110"/>
      <c r="Q468" s="277"/>
    </row>
    <row r="469" spans="1:17" ht="14.25" customHeight="1">
      <c r="A469" s="130"/>
      <c r="B469" s="110"/>
      <c r="C469" s="280" t="s">
        <v>2111</v>
      </c>
      <c r="D469" s="118">
        <f>H445</f>
        <v>2</v>
      </c>
      <c r="E469" s="118" t="s">
        <v>300</v>
      </c>
      <c r="F469" s="118">
        <f>K445</f>
        <v>20</v>
      </c>
      <c r="G469" s="110" t="s">
        <v>383</v>
      </c>
      <c r="H469" s="118">
        <f>H445</f>
        <v>2</v>
      </c>
      <c r="I469" s="118" t="s">
        <v>300</v>
      </c>
      <c r="J469" s="118">
        <f>O445</f>
        <v>25</v>
      </c>
      <c r="K469" s="118" t="s">
        <v>1757</v>
      </c>
      <c r="L469" s="118">
        <f>H446</f>
        <v>28</v>
      </c>
      <c r="M469" s="118" t="s">
        <v>300</v>
      </c>
      <c r="N469" s="791">
        <f>K446</f>
        <v>50</v>
      </c>
      <c r="O469" s="791"/>
      <c r="P469" s="110" t="s">
        <v>2112</v>
      </c>
      <c r="Q469" s="277"/>
    </row>
    <row r="470" spans="1:17" ht="14.25" customHeight="1">
      <c r="A470" s="130"/>
      <c r="B470" s="110"/>
      <c r="C470" s="309" t="s">
        <v>1758</v>
      </c>
      <c r="D470" s="118">
        <f>H446</f>
        <v>28</v>
      </c>
      <c r="E470" s="118" t="s">
        <v>300</v>
      </c>
      <c r="F470" s="118">
        <f>O446</f>
        <v>55</v>
      </c>
      <c r="G470" s="110" t="s">
        <v>1762</v>
      </c>
      <c r="H470" s="118"/>
      <c r="I470" s="118"/>
      <c r="J470" s="118"/>
      <c r="K470" s="118"/>
      <c r="L470" s="118"/>
      <c r="M470" s="118"/>
      <c r="N470" s="791"/>
      <c r="O470" s="791"/>
      <c r="P470" s="110"/>
      <c r="Q470" s="277"/>
    </row>
    <row r="471" spans="1:17" ht="14.25" customHeight="1">
      <c r="A471" s="130"/>
      <c r="B471" s="110"/>
      <c r="C471" s="118"/>
      <c r="D471" s="280" t="s">
        <v>1582</v>
      </c>
      <c r="E471" s="791">
        <f>(D469/F469)+(H469/J469)+(L469/N469)+(D470/F470)</f>
        <v>1.249090909090909</v>
      </c>
      <c r="F471" s="791"/>
      <c r="G471" s="110" t="s">
        <v>384</v>
      </c>
      <c r="H471" s="118">
        <v>60</v>
      </c>
      <c r="I471" s="118" t="s">
        <v>1582</v>
      </c>
      <c r="J471" s="283">
        <f>TRUNC(E471*H471,2)</f>
        <v>74.94</v>
      </c>
      <c r="K471" s="286" t="s">
        <v>1600</v>
      </c>
      <c r="L471" s="110"/>
      <c r="M471" s="110"/>
      <c r="N471" s="118"/>
      <c r="O471" s="110"/>
      <c r="P471" s="110"/>
      <c r="Q471" s="277"/>
    </row>
    <row r="472" spans="1:17" ht="14.25" customHeight="1">
      <c r="A472" s="130"/>
      <c r="B472" s="110"/>
      <c r="C472" s="118" t="s">
        <v>2113</v>
      </c>
      <c r="D472" s="110" t="s">
        <v>385</v>
      </c>
      <c r="E472" s="846">
        <v>0.8</v>
      </c>
      <c r="F472" s="846"/>
      <c r="G472" s="110" t="s">
        <v>1600</v>
      </c>
      <c r="H472" s="118"/>
      <c r="I472" s="110"/>
      <c r="J472" s="118"/>
      <c r="K472" s="110"/>
      <c r="L472" s="110"/>
      <c r="M472" s="110"/>
      <c r="N472" s="110"/>
      <c r="O472" s="110"/>
      <c r="P472" s="110"/>
      <c r="Q472" s="277"/>
    </row>
    <row r="473" spans="1:17" ht="14.25" customHeight="1">
      <c r="A473" s="130"/>
      <c r="B473" s="110"/>
      <c r="C473" s="118" t="s">
        <v>2114</v>
      </c>
      <c r="D473" s="110" t="s">
        <v>387</v>
      </c>
      <c r="E473" s="791">
        <v>0.42</v>
      </c>
      <c r="F473" s="791"/>
      <c r="G473" s="110" t="s">
        <v>1759</v>
      </c>
      <c r="H473" s="118"/>
      <c r="I473" s="110"/>
      <c r="J473" s="110"/>
      <c r="K473" s="110"/>
      <c r="L473" s="110"/>
      <c r="M473" s="118"/>
      <c r="N473" s="118"/>
      <c r="O473" s="110"/>
      <c r="P473" s="110"/>
      <c r="Q473" s="277"/>
    </row>
    <row r="474" spans="1:17" ht="14.25" customHeight="1">
      <c r="A474" s="130"/>
      <c r="B474" s="110"/>
      <c r="C474" s="118" t="s">
        <v>3112</v>
      </c>
      <c r="D474" s="110" t="s">
        <v>389</v>
      </c>
      <c r="E474" s="791">
        <v>0.5</v>
      </c>
      <c r="F474" s="791"/>
      <c r="G474" s="110" t="s">
        <v>390</v>
      </c>
      <c r="H474" s="110"/>
      <c r="I474" s="110"/>
      <c r="J474" s="110"/>
      <c r="K474" s="110"/>
      <c r="L474" s="110"/>
      <c r="M474" s="110"/>
      <c r="N474" s="110"/>
      <c r="O474" s="110"/>
      <c r="P474" s="110"/>
      <c r="Q474" s="277"/>
    </row>
    <row r="475" spans="1:17" ht="14.25" customHeight="1">
      <c r="A475" s="130"/>
      <c r="B475" s="110"/>
      <c r="C475" s="118"/>
      <c r="D475" s="118" t="s">
        <v>1454</v>
      </c>
      <c r="E475" s="840">
        <f>E459+E468+E472+E473+E474</f>
        <v>88.46</v>
      </c>
      <c r="F475" s="840"/>
      <c r="G475" s="110" t="s">
        <v>1600</v>
      </c>
      <c r="H475" s="110"/>
      <c r="I475" s="110"/>
      <c r="J475" s="110"/>
      <c r="K475" s="110"/>
      <c r="L475" s="110"/>
      <c r="M475" s="110"/>
      <c r="N475" s="110"/>
      <c r="O475" s="110"/>
      <c r="P475" s="110"/>
      <c r="Q475" s="277"/>
    </row>
    <row r="476" spans="1:17" ht="14.25" customHeight="1">
      <c r="A476" s="130"/>
      <c r="B476" s="118"/>
      <c r="C476" s="118"/>
      <c r="D476" s="110"/>
      <c r="E476" s="118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277"/>
    </row>
    <row r="477" spans="1:17" ht="14.25" customHeight="1">
      <c r="A477" s="130" t="s">
        <v>391</v>
      </c>
      <c r="B477" s="110" t="s">
        <v>392</v>
      </c>
      <c r="C477" s="118"/>
      <c r="D477" s="110"/>
      <c r="E477" s="118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277"/>
    </row>
    <row r="478" spans="1:17" ht="14.25" customHeight="1">
      <c r="A478" s="130"/>
      <c r="B478" s="28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277"/>
    </row>
    <row r="479" spans="1:17" ht="14.25" customHeight="1">
      <c r="A479" s="841"/>
      <c r="B479" s="791" t="s">
        <v>1111</v>
      </c>
      <c r="C479" s="791" t="s">
        <v>1582</v>
      </c>
      <c r="D479" s="280" t="s">
        <v>393</v>
      </c>
      <c r="E479" s="286">
        <f>G455</f>
        <v>0.8</v>
      </c>
      <c r="F479" s="118" t="s">
        <v>972</v>
      </c>
      <c r="G479" s="282">
        <f>L454</f>
        <v>15.62</v>
      </c>
      <c r="H479" s="118" t="s">
        <v>972</v>
      </c>
      <c r="I479" s="118">
        <f>G456</f>
        <v>0.9</v>
      </c>
      <c r="J479" s="791" t="s">
        <v>1582</v>
      </c>
      <c r="K479" s="847">
        <f>TRUNC(E479*G479*I479*60,3)</f>
        <v>674.78399999999999</v>
      </c>
      <c r="L479" s="847"/>
      <c r="M479" s="791" t="s">
        <v>1582</v>
      </c>
      <c r="N479" s="838">
        <f>TRUNC(K479/K480,2)</f>
        <v>7.62</v>
      </c>
      <c r="O479" s="838"/>
      <c r="P479" s="110" t="s">
        <v>301</v>
      </c>
      <c r="Q479" s="277"/>
    </row>
    <row r="480" spans="1:17" ht="14.25" customHeight="1">
      <c r="A480" s="841"/>
      <c r="B480" s="791"/>
      <c r="C480" s="791"/>
      <c r="D480" s="848">
        <f>G457</f>
        <v>88.46</v>
      </c>
      <c r="E480" s="848"/>
      <c r="F480" s="848"/>
      <c r="G480" s="848"/>
      <c r="H480" s="848"/>
      <c r="I480" s="848"/>
      <c r="J480" s="791"/>
      <c r="K480" s="839">
        <f>D480</f>
        <v>88.46</v>
      </c>
      <c r="L480" s="839"/>
      <c r="M480" s="791"/>
      <c r="N480" s="838"/>
      <c r="O480" s="838"/>
      <c r="P480" s="110"/>
      <c r="Q480" s="277" t="s">
        <v>394</v>
      </c>
    </row>
    <row r="481" spans="1:18" ht="14.25" customHeight="1">
      <c r="A481" s="13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277"/>
    </row>
    <row r="482" spans="1:18" ht="14.25" customHeight="1">
      <c r="A482" s="130"/>
      <c r="B482" s="110"/>
      <c r="C482" s="110"/>
      <c r="D482" s="110" t="s">
        <v>395</v>
      </c>
      <c r="E482" s="110"/>
      <c r="F482" s="835">
        <f>중기사용료!$M$549</f>
        <v>30771</v>
      </c>
      <c r="G482" s="835"/>
      <c r="H482" s="286" t="s">
        <v>975</v>
      </c>
      <c r="I482" s="118" t="s">
        <v>300</v>
      </c>
      <c r="J482" s="285">
        <f>N479</f>
        <v>7.62</v>
      </c>
      <c r="K482" s="282" t="s">
        <v>1582</v>
      </c>
      <c r="L482" s="121">
        <f>TRUNC(F482/J482)</f>
        <v>4038</v>
      </c>
      <c r="M482" s="118" t="s">
        <v>975</v>
      </c>
      <c r="N482" s="303" t="s">
        <v>416</v>
      </c>
      <c r="O482" s="110"/>
      <c r="P482" s="110"/>
      <c r="Q482" s="277"/>
    </row>
    <row r="483" spans="1:18" ht="14.25" customHeight="1">
      <c r="A483" s="130"/>
      <c r="B483" s="110"/>
      <c r="C483" s="118"/>
      <c r="D483" s="110"/>
      <c r="E483" s="290"/>
      <c r="F483" s="291"/>
      <c r="G483" s="291"/>
      <c r="H483" s="118"/>
      <c r="I483" s="110"/>
      <c r="J483" s="110"/>
      <c r="K483" s="285"/>
      <c r="L483" s="121"/>
      <c r="M483" s="118"/>
      <c r="N483" s="303"/>
      <c r="O483" s="110"/>
      <c r="P483" s="110"/>
      <c r="Q483" s="277"/>
    </row>
    <row r="484" spans="1:18" ht="14.25" customHeight="1">
      <c r="A484" s="130"/>
      <c r="B484" s="110"/>
      <c r="C484" s="110"/>
      <c r="D484" s="110" t="s">
        <v>396</v>
      </c>
      <c r="E484" s="110"/>
      <c r="F484" s="835">
        <f>중기사용료!$M$543</f>
        <v>27168</v>
      </c>
      <c r="G484" s="835"/>
      <c r="H484" s="286" t="s">
        <v>975</v>
      </c>
      <c r="I484" s="118" t="s">
        <v>300</v>
      </c>
      <c r="J484" s="285">
        <f>N479</f>
        <v>7.62</v>
      </c>
      <c r="K484" s="282" t="s">
        <v>1582</v>
      </c>
      <c r="L484" s="121">
        <f>TRUNC(F484/J484)</f>
        <v>3565</v>
      </c>
      <c r="M484" s="118" t="s">
        <v>975</v>
      </c>
      <c r="N484" s="303" t="s">
        <v>416</v>
      </c>
      <c r="O484" s="110"/>
      <c r="P484" s="110"/>
      <c r="Q484" s="277"/>
    </row>
    <row r="485" spans="1:18" ht="14.25" customHeight="1">
      <c r="A485" s="130"/>
      <c r="B485" s="110"/>
      <c r="C485" s="118"/>
      <c r="D485" s="110"/>
      <c r="E485" s="290"/>
      <c r="F485" s="291"/>
      <c r="G485" s="291"/>
      <c r="H485" s="118"/>
      <c r="I485" s="110"/>
      <c r="J485" s="110"/>
      <c r="K485" s="285"/>
      <c r="L485" s="121"/>
      <c r="M485" s="118"/>
      <c r="N485" s="303"/>
      <c r="O485" s="110"/>
      <c r="P485" s="110"/>
      <c r="Q485" s="277"/>
      <c r="R485" s="272" t="s">
        <v>1436</v>
      </c>
    </row>
    <row r="486" spans="1:18" ht="14.25" customHeight="1">
      <c r="A486" s="130"/>
      <c r="B486" s="110"/>
      <c r="C486" s="110"/>
      <c r="D486" s="110" t="s">
        <v>398</v>
      </c>
      <c r="E486" s="110"/>
      <c r="F486" s="835">
        <f>중기사용료!$M$537</f>
        <v>24402</v>
      </c>
      <c r="G486" s="835"/>
      <c r="H486" s="118" t="s">
        <v>975</v>
      </c>
      <c r="I486" s="118" t="s">
        <v>300</v>
      </c>
      <c r="J486" s="285">
        <f>N479</f>
        <v>7.62</v>
      </c>
      <c r="K486" s="282" t="s">
        <v>1582</v>
      </c>
      <c r="L486" s="121">
        <f>TRUNC(F486/J486)</f>
        <v>3202</v>
      </c>
      <c r="M486" s="121" t="s">
        <v>975</v>
      </c>
      <c r="N486" s="303" t="s">
        <v>416</v>
      </c>
      <c r="O486" s="110"/>
      <c r="P486" s="110"/>
      <c r="Q486" s="277"/>
    </row>
    <row r="487" spans="1:18" ht="14.25" customHeight="1">
      <c r="A487" s="130"/>
      <c r="B487" s="110"/>
      <c r="C487" s="118"/>
      <c r="D487" s="110"/>
      <c r="E487" s="110"/>
      <c r="F487" s="110"/>
      <c r="G487" s="110"/>
      <c r="H487" s="110"/>
      <c r="I487" s="110"/>
      <c r="J487" s="110"/>
      <c r="K487" s="110"/>
      <c r="L487" s="110"/>
      <c r="M487" s="118"/>
      <c r="N487" s="303"/>
      <c r="O487" s="110"/>
      <c r="P487" s="110"/>
      <c r="Q487" s="277"/>
    </row>
    <row r="488" spans="1:18" s="302" customFormat="1" ht="14.25" customHeight="1">
      <c r="A488" s="162"/>
      <c r="B488" s="164"/>
      <c r="C488" s="164"/>
      <c r="D488" s="164"/>
      <c r="E488" s="164"/>
      <c r="F488" s="844">
        <f>SUM(F482:G486)</f>
        <v>82341</v>
      </c>
      <c r="G488" s="844"/>
      <c r="H488" s="299"/>
      <c r="I488" s="165"/>
      <c r="J488" s="164"/>
      <c r="K488" s="165" t="s">
        <v>1454</v>
      </c>
      <c r="L488" s="292">
        <f>SUM(L482,L484,L486)</f>
        <v>10805</v>
      </c>
      <c r="M488" s="164" t="s">
        <v>975</v>
      </c>
      <c r="N488" s="310" t="s">
        <v>416</v>
      </c>
      <c r="O488" s="300"/>
      <c r="P488" s="164"/>
      <c r="Q488" s="301"/>
      <c r="R488" s="272"/>
    </row>
    <row r="489" spans="1:18" ht="14.25" customHeight="1">
      <c r="A489" s="135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293"/>
    </row>
    <row r="491" spans="1:18" ht="14.25" customHeight="1">
      <c r="A491" s="306"/>
      <c r="B491" s="262" t="s">
        <v>2408</v>
      </c>
      <c r="C491" s="262"/>
      <c r="D491" s="262"/>
      <c r="E491" s="262"/>
      <c r="F491" s="262"/>
      <c r="G491" s="262"/>
      <c r="H491" s="263"/>
      <c r="I491" s="263" t="s">
        <v>1421</v>
      </c>
      <c r="J491" s="263">
        <v>24</v>
      </c>
      <c r="K491" s="262" t="s">
        <v>1193</v>
      </c>
      <c r="L491" s="263">
        <v>0.4</v>
      </c>
      <c r="M491" s="262" t="s">
        <v>1420</v>
      </c>
      <c r="N491" s="262"/>
      <c r="O491" s="261"/>
      <c r="P491" s="261"/>
      <c r="Q491" s="264"/>
      <c r="R491" s="265" t="s">
        <v>3299</v>
      </c>
    </row>
    <row r="492" spans="1:18" ht="14.25" customHeight="1">
      <c r="A492" s="266"/>
      <c r="B492" s="126"/>
      <c r="C492" s="126"/>
      <c r="D492" s="126"/>
      <c r="E492" s="267"/>
      <c r="F492" s="267"/>
      <c r="G492" s="268"/>
      <c r="H492" s="267"/>
      <c r="I492" s="267"/>
      <c r="J492" s="267"/>
      <c r="K492" s="267"/>
      <c r="L492" s="269"/>
      <c r="M492" s="270"/>
      <c r="N492" s="270"/>
      <c r="O492" s="126"/>
      <c r="P492" s="126"/>
      <c r="Q492" s="271"/>
    </row>
    <row r="493" spans="1:18" ht="14.25" customHeight="1">
      <c r="A493" s="273"/>
      <c r="B493" s="110" t="s">
        <v>1592</v>
      </c>
      <c r="C493" s="33" t="s">
        <v>1593</v>
      </c>
      <c r="D493" s="274"/>
      <c r="E493" s="275"/>
      <c r="F493" s="275"/>
      <c r="G493" s="121"/>
      <c r="H493" s="275"/>
      <c r="I493" s="275"/>
      <c r="J493" s="275" t="s">
        <v>1749</v>
      </c>
      <c r="K493" s="275"/>
      <c r="L493" s="33"/>
      <c r="M493" s="276" t="s">
        <v>1750</v>
      </c>
      <c r="N493" s="276"/>
      <c r="O493" s="110"/>
      <c r="P493" s="110"/>
      <c r="Q493" s="277"/>
    </row>
    <row r="494" spans="1:18" ht="14.25" customHeight="1">
      <c r="A494" s="273"/>
      <c r="B494" s="118" t="s">
        <v>2267</v>
      </c>
      <c r="C494" s="110" t="s">
        <v>1760</v>
      </c>
      <c r="D494" s="110"/>
      <c r="E494" s="110"/>
      <c r="F494" s="110"/>
      <c r="G494" s="275" t="s">
        <v>3103</v>
      </c>
      <c r="H494" s="275">
        <v>2</v>
      </c>
      <c r="I494" s="275" t="s">
        <v>1595</v>
      </c>
      <c r="J494" s="274" t="s">
        <v>1596</v>
      </c>
      <c r="K494" s="110">
        <v>20</v>
      </c>
      <c r="L494" s="110" t="s">
        <v>1595</v>
      </c>
      <c r="M494" s="122" t="s">
        <v>1596</v>
      </c>
      <c r="N494" s="118"/>
      <c r="O494" s="110">
        <v>25</v>
      </c>
      <c r="P494" s="275" t="s">
        <v>1595</v>
      </c>
      <c r="Q494" s="277"/>
    </row>
    <row r="495" spans="1:18" ht="14.25" customHeight="1">
      <c r="A495" s="273"/>
      <c r="B495" s="118" t="s">
        <v>2267</v>
      </c>
      <c r="C495" s="110" t="s">
        <v>1761</v>
      </c>
      <c r="D495" s="110"/>
      <c r="E495" s="110"/>
      <c r="F495" s="110"/>
      <c r="G495" s="275" t="s">
        <v>3105</v>
      </c>
      <c r="H495" s="275">
        <v>28</v>
      </c>
      <c r="I495" s="275" t="s">
        <v>1595</v>
      </c>
      <c r="J495" s="274" t="s">
        <v>1597</v>
      </c>
      <c r="K495" s="110">
        <v>50</v>
      </c>
      <c r="L495" s="110" t="s">
        <v>1595</v>
      </c>
      <c r="M495" s="122" t="s">
        <v>1597</v>
      </c>
      <c r="N495" s="118"/>
      <c r="O495" s="110">
        <v>55</v>
      </c>
      <c r="P495" s="275" t="s">
        <v>1595</v>
      </c>
      <c r="Q495" s="277"/>
    </row>
    <row r="496" spans="1:18" ht="14.25" customHeight="1">
      <c r="A496" s="273"/>
      <c r="B496" s="118"/>
      <c r="C496" s="110"/>
      <c r="D496" s="110"/>
      <c r="E496" s="110"/>
      <c r="F496" s="110"/>
      <c r="G496" s="275"/>
      <c r="H496" s="275"/>
      <c r="I496" s="275"/>
      <c r="J496" s="274"/>
      <c r="K496" s="110"/>
      <c r="L496" s="110"/>
      <c r="M496" s="33"/>
      <c r="N496" s="118"/>
      <c r="O496" s="110"/>
      <c r="P496" s="275"/>
      <c r="Q496" s="277"/>
    </row>
    <row r="497" spans="1:17" ht="14.25" customHeight="1">
      <c r="A497" s="273"/>
      <c r="B497" s="110"/>
      <c r="C497" s="274"/>
      <c r="D497" s="274"/>
      <c r="E497" s="275"/>
      <c r="F497" s="275"/>
      <c r="G497" s="121"/>
      <c r="H497" s="275"/>
      <c r="I497" s="275"/>
      <c r="J497" s="275"/>
      <c r="K497" s="275"/>
      <c r="L497" s="33"/>
      <c r="M497" s="276"/>
      <c r="N497" s="276"/>
      <c r="O497" s="110"/>
      <c r="P497" s="110"/>
      <c r="Q497" s="277"/>
    </row>
    <row r="498" spans="1:17" ht="14.25" customHeight="1">
      <c r="A498" s="130"/>
      <c r="B498" s="110" t="s">
        <v>1592</v>
      </c>
      <c r="C498" s="110" t="s">
        <v>1198</v>
      </c>
      <c r="D498" s="110"/>
      <c r="E498" s="110"/>
      <c r="F498" s="110"/>
      <c r="G498" s="110"/>
      <c r="H498" s="110"/>
      <c r="I498" s="110"/>
      <c r="J498" s="110" t="s">
        <v>400</v>
      </c>
      <c r="K498" s="110"/>
      <c r="L498" s="118">
        <v>1.6</v>
      </c>
      <c r="M498" s="110" t="s">
        <v>1805</v>
      </c>
      <c r="N498" s="110"/>
      <c r="O498" s="110"/>
      <c r="P498" s="110"/>
      <c r="Q498" s="277"/>
    </row>
    <row r="499" spans="1:17" ht="14.25" customHeight="1">
      <c r="A499" s="130"/>
      <c r="B499" s="118"/>
      <c r="C499" s="791" t="s">
        <v>1806</v>
      </c>
      <c r="D499" s="791" t="s">
        <v>1807</v>
      </c>
      <c r="E499" s="791"/>
      <c r="F499" s="791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277"/>
    </row>
    <row r="500" spans="1:17" ht="14.25" customHeight="1">
      <c r="A500" s="130"/>
      <c r="B500" s="118"/>
      <c r="C500" s="791"/>
      <c r="D500" s="843" t="s">
        <v>1583</v>
      </c>
      <c r="E500" s="843"/>
      <c r="F500" s="843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277"/>
    </row>
    <row r="501" spans="1:17" ht="14.25" customHeight="1">
      <c r="A501" s="13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277"/>
    </row>
    <row r="502" spans="1:17" ht="14.25" customHeight="1">
      <c r="A502" s="130"/>
      <c r="B502" s="280"/>
      <c r="C502" s="118" t="s">
        <v>1808</v>
      </c>
      <c r="D502" s="110" t="s">
        <v>1809</v>
      </c>
      <c r="E502" s="110"/>
      <c r="F502" s="110"/>
      <c r="G502" s="118"/>
      <c r="H502" s="280"/>
      <c r="I502" s="118"/>
      <c r="J502" s="110"/>
      <c r="K502" s="110"/>
      <c r="L502" s="110"/>
      <c r="M502" s="110"/>
      <c r="N502" s="110"/>
      <c r="O502" s="110"/>
      <c r="P502" s="110"/>
      <c r="Q502" s="277"/>
    </row>
    <row r="503" spans="1:17" ht="14.25" customHeight="1">
      <c r="A503" s="130"/>
      <c r="B503" s="280"/>
      <c r="C503" s="118" t="s">
        <v>298</v>
      </c>
      <c r="D503" s="110" t="s">
        <v>299</v>
      </c>
      <c r="E503" s="845">
        <f>J491</f>
        <v>24</v>
      </c>
      <c r="F503" s="845"/>
      <c r="G503" s="118" t="s">
        <v>300</v>
      </c>
      <c r="H503" s="118">
        <f>L498</f>
        <v>1.6</v>
      </c>
      <c r="I503" s="118" t="s">
        <v>972</v>
      </c>
      <c r="J503" s="118">
        <v>1.25</v>
      </c>
      <c r="K503" s="118" t="s">
        <v>1582</v>
      </c>
      <c r="L503" s="282">
        <f>TRUNC(E503/H503*J503,2)</f>
        <v>18.75</v>
      </c>
      <c r="M503" s="118" t="s">
        <v>301</v>
      </c>
      <c r="N503" s="110"/>
      <c r="O503" s="110"/>
      <c r="P503" s="110"/>
      <c r="Q503" s="277"/>
    </row>
    <row r="504" spans="1:17" ht="14.25" customHeight="1">
      <c r="A504" s="130"/>
      <c r="B504" s="280"/>
      <c r="C504" s="118" t="s">
        <v>302</v>
      </c>
      <c r="D504" s="110" t="s">
        <v>1156</v>
      </c>
      <c r="E504" s="110"/>
      <c r="F504" s="118" t="s">
        <v>1526</v>
      </c>
      <c r="G504" s="283">
        <f>TRUNC(1/J504,2)</f>
        <v>0.8</v>
      </c>
      <c r="H504" s="280" t="s">
        <v>303</v>
      </c>
      <c r="I504" s="118" t="s">
        <v>300</v>
      </c>
      <c r="J504" s="118">
        <f>J503</f>
        <v>1.25</v>
      </c>
      <c r="K504" s="284" t="s">
        <v>304</v>
      </c>
      <c r="L504" s="110"/>
      <c r="M504" s="110"/>
      <c r="N504" s="110"/>
      <c r="O504" s="110"/>
      <c r="P504" s="110"/>
      <c r="Q504" s="277"/>
    </row>
    <row r="505" spans="1:17" ht="14.25" customHeight="1">
      <c r="A505" s="130"/>
      <c r="B505" s="280"/>
      <c r="C505" s="118" t="s">
        <v>1703</v>
      </c>
      <c r="D505" s="110" t="s">
        <v>1207</v>
      </c>
      <c r="E505" s="110"/>
      <c r="F505" s="118" t="s">
        <v>1526</v>
      </c>
      <c r="G505" s="118">
        <v>0.9</v>
      </c>
      <c r="H505" s="280"/>
      <c r="I505" s="110"/>
      <c r="J505" s="110"/>
      <c r="K505" s="110"/>
      <c r="L505" s="110"/>
      <c r="M505" s="110"/>
      <c r="N505" s="110"/>
      <c r="O505" s="110"/>
      <c r="P505" s="110"/>
      <c r="Q505" s="277"/>
    </row>
    <row r="506" spans="1:17" ht="14.25" customHeight="1">
      <c r="A506" s="130"/>
      <c r="B506" s="280"/>
      <c r="C506" s="118" t="s">
        <v>1704</v>
      </c>
      <c r="D506" s="110" t="s">
        <v>401</v>
      </c>
      <c r="E506" s="110"/>
      <c r="F506" s="118"/>
      <c r="G506" s="286">
        <f>E524</f>
        <v>102.69999999999999</v>
      </c>
      <c r="H506" s="118" t="s">
        <v>1600</v>
      </c>
      <c r="I506" s="110"/>
      <c r="J506" s="110"/>
      <c r="K506" s="110"/>
      <c r="L506" s="110"/>
      <c r="M506" s="110"/>
      <c r="N506" s="110"/>
      <c r="O506" s="110"/>
      <c r="P506" s="110"/>
      <c r="Q506" s="277"/>
    </row>
    <row r="507" spans="1:17" ht="14.25" customHeight="1">
      <c r="A507" s="130"/>
      <c r="B507" s="280"/>
      <c r="C507" s="118" t="s">
        <v>1704</v>
      </c>
      <c r="D507" s="110" t="s">
        <v>3111</v>
      </c>
      <c r="E507" s="110"/>
      <c r="F507" s="110"/>
      <c r="G507" s="110"/>
      <c r="H507" s="283"/>
      <c r="I507" s="118"/>
      <c r="J507" s="110"/>
      <c r="K507" s="110"/>
      <c r="L507" s="110"/>
      <c r="M507" s="110"/>
      <c r="N507" s="110"/>
      <c r="O507" s="110"/>
      <c r="P507" s="110"/>
      <c r="Q507" s="277"/>
    </row>
    <row r="508" spans="1:17" ht="14.25" customHeight="1">
      <c r="A508" s="130"/>
      <c r="B508" s="110"/>
      <c r="C508" s="118" t="s">
        <v>1706</v>
      </c>
      <c r="D508" s="110" t="s">
        <v>1707</v>
      </c>
      <c r="E508" s="838">
        <f>E516</f>
        <v>26.04</v>
      </c>
      <c r="F508" s="838"/>
      <c r="G508" s="110" t="s">
        <v>402</v>
      </c>
      <c r="H508" s="285" t="s">
        <v>403</v>
      </c>
      <c r="I508" s="118"/>
      <c r="J508" s="118"/>
      <c r="K508" s="110"/>
      <c r="L508" s="118"/>
      <c r="M508" s="286"/>
      <c r="N508" s="286"/>
      <c r="O508" s="118"/>
      <c r="P508" s="110"/>
      <c r="Q508" s="277"/>
    </row>
    <row r="509" spans="1:17" ht="14.25" customHeight="1">
      <c r="A509" s="130"/>
      <c r="B509" s="110"/>
      <c r="C509" s="118"/>
      <c r="E509" s="288"/>
      <c r="F509" s="286"/>
      <c r="G509" s="110"/>
      <c r="H509" s="285"/>
      <c r="I509" s="118"/>
      <c r="J509" s="118"/>
      <c r="K509" s="110"/>
      <c r="L509" s="118"/>
      <c r="M509" s="286"/>
      <c r="N509" s="286"/>
      <c r="O509" s="118"/>
      <c r="P509" s="110"/>
      <c r="Q509" s="277"/>
    </row>
    <row r="510" spans="1:17" ht="14.25" customHeight="1">
      <c r="A510" s="130"/>
      <c r="B510" s="110"/>
      <c r="C510" s="118"/>
      <c r="D510" s="118" t="s">
        <v>404</v>
      </c>
      <c r="E510" s="846">
        <v>18</v>
      </c>
      <c r="F510" s="846"/>
      <c r="G510" s="110" t="s">
        <v>405</v>
      </c>
      <c r="H510" s="285" t="s">
        <v>1747</v>
      </c>
      <c r="I510" s="118"/>
      <c r="J510" s="109"/>
      <c r="K510" s="110"/>
      <c r="L510" s="109"/>
      <c r="M510" s="286"/>
      <c r="N510" s="286"/>
      <c r="O510" s="118"/>
      <c r="P510" s="110"/>
      <c r="Q510" s="277"/>
    </row>
    <row r="511" spans="1:17" ht="14.25" customHeight="1">
      <c r="A511" s="130"/>
      <c r="B511" s="110"/>
      <c r="C511" s="118"/>
      <c r="D511" s="280"/>
      <c r="E511" s="288"/>
      <c r="F511" s="286"/>
      <c r="G511" s="110"/>
      <c r="H511" s="285"/>
      <c r="I511" s="307"/>
      <c r="K511" s="110"/>
      <c r="L511" s="118"/>
      <c r="M511" s="286"/>
      <c r="N511" s="286"/>
      <c r="O511" s="118"/>
      <c r="P511" s="110"/>
      <c r="Q511" s="277"/>
    </row>
    <row r="512" spans="1:17" ht="14.25" customHeight="1">
      <c r="A512" s="130"/>
      <c r="B512" s="110"/>
      <c r="C512" s="118"/>
      <c r="D512" s="110" t="s">
        <v>407</v>
      </c>
      <c r="E512" s="288" t="s">
        <v>408</v>
      </c>
      <c r="F512" s="286"/>
      <c r="G512" s="110"/>
      <c r="H512" s="285"/>
      <c r="I512" s="118" t="s">
        <v>1748</v>
      </c>
      <c r="J512" s="118">
        <v>0.9</v>
      </c>
      <c r="K512" s="110"/>
      <c r="L512" s="118"/>
      <c r="M512" s="286"/>
      <c r="N512" s="286"/>
      <c r="O512" s="118"/>
      <c r="P512" s="110"/>
      <c r="Q512" s="277"/>
    </row>
    <row r="513" spans="1:17" ht="14.25" customHeight="1">
      <c r="A513" s="130"/>
      <c r="B513" s="110"/>
      <c r="C513" s="118"/>
      <c r="D513" s="110" t="s">
        <v>410</v>
      </c>
      <c r="E513" s="838">
        <f>L503</f>
        <v>18.75</v>
      </c>
      <c r="F513" s="838"/>
      <c r="G513" s="118" t="s">
        <v>411</v>
      </c>
      <c r="H513" s="285">
        <f>L491</f>
        <v>0.4</v>
      </c>
      <c r="I513" s="118" t="s">
        <v>86</v>
      </c>
      <c r="J513" s="118">
        <f>J512</f>
        <v>0.9</v>
      </c>
      <c r="K513" s="110" t="s">
        <v>412</v>
      </c>
      <c r="L513" s="118">
        <f>TRUNC(E513/(H513*J513),2)</f>
        <v>52.08</v>
      </c>
      <c r="M513" s="286" t="s">
        <v>969</v>
      </c>
      <c r="N513" s="286"/>
      <c r="O513" s="118"/>
      <c r="P513" s="110"/>
      <c r="Q513" s="277"/>
    </row>
    <row r="514" spans="1:17" ht="14.25" customHeight="1">
      <c r="A514" s="130"/>
      <c r="B514" s="110"/>
      <c r="C514" s="118"/>
      <c r="D514" s="110" t="s">
        <v>413</v>
      </c>
      <c r="E514" s="838">
        <v>0.6</v>
      </c>
      <c r="F514" s="838"/>
      <c r="G514" s="118"/>
      <c r="H514" s="285"/>
      <c r="I514" s="118"/>
      <c r="J514" s="118"/>
      <c r="K514" s="110"/>
      <c r="L514" s="118"/>
      <c r="M514" s="286"/>
      <c r="N514" s="286"/>
      <c r="O514" s="118"/>
      <c r="P514" s="110"/>
      <c r="Q514" s="277"/>
    </row>
    <row r="515" spans="1:17" ht="14.25" customHeight="1">
      <c r="A515" s="130"/>
      <c r="B515" s="110"/>
      <c r="C515" s="118" t="s">
        <v>1601</v>
      </c>
      <c r="D515" s="110" t="s">
        <v>1709</v>
      </c>
      <c r="E515" s="845">
        <f>E510</f>
        <v>18</v>
      </c>
      <c r="F515" s="845"/>
      <c r="G515" s="118" t="s">
        <v>972</v>
      </c>
      <c r="H515" s="285">
        <f>L513</f>
        <v>52.08</v>
      </c>
      <c r="I515" s="118" t="s">
        <v>414</v>
      </c>
      <c r="J515" s="118">
        <v>60</v>
      </c>
      <c r="K515" s="118" t="s">
        <v>972</v>
      </c>
      <c r="L515" s="282">
        <f>E514</f>
        <v>0.6</v>
      </c>
      <c r="M515" s="288" t="s">
        <v>2112</v>
      </c>
      <c r="N515" s="286"/>
      <c r="O515" s="118"/>
      <c r="P515" s="110"/>
      <c r="Q515" s="277"/>
    </row>
    <row r="516" spans="1:17" ht="14.25" customHeight="1">
      <c r="A516" s="130"/>
      <c r="B516" s="110"/>
      <c r="C516" s="118"/>
      <c r="D516" s="110" t="s">
        <v>410</v>
      </c>
      <c r="E516" s="838">
        <f>TRUNC((E515*H515)/(J515*L515),2)</f>
        <v>26.04</v>
      </c>
      <c r="F516" s="838"/>
      <c r="G516" s="110" t="s">
        <v>415</v>
      </c>
      <c r="H516" s="287"/>
      <c r="I516" s="118"/>
      <c r="J516" s="118"/>
      <c r="K516" s="118"/>
      <c r="L516" s="118"/>
      <c r="M516" s="286"/>
      <c r="N516" s="286"/>
      <c r="O516" s="118"/>
      <c r="P516" s="110"/>
      <c r="Q516" s="277"/>
    </row>
    <row r="517" spans="1:17" ht="14.25" customHeight="1">
      <c r="A517" s="130"/>
      <c r="B517" s="110"/>
      <c r="C517" s="118" t="s">
        <v>2110</v>
      </c>
      <c r="D517" s="110" t="s">
        <v>381</v>
      </c>
      <c r="E517" s="791">
        <f>J520</f>
        <v>74.94</v>
      </c>
      <c r="F517" s="791"/>
      <c r="G517" s="110" t="s">
        <v>382</v>
      </c>
      <c r="H517" s="118"/>
      <c r="I517" s="110"/>
      <c r="J517" s="110"/>
      <c r="K517" s="110"/>
      <c r="L517" s="118"/>
      <c r="M517" s="118"/>
      <c r="N517" s="118"/>
      <c r="O517" s="110"/>
      <c r="P517" s="110"/>
      <c r="Q517" s="277"/>
    </row>
    <row r="518" spans="1:17" ht="14.25" customHeight="1">
      <c r="A518" s="130"/>
      <c r="B518" s="110"/>
      <c r="C518" s="280" t="s">
        <v>2111</v>
      </c>
      <c r="D518" s="118">
        <f>H494</f>
        <v>2</v>
      </c>
      <c r="E518" s="118" t="s">
        <v>300</v>
      </c>
      <c r="F518" s="118">
        <f>K494</f>
        <v>20</v>
      </c>
      <c r="G518" s="110" t="s">
        <v>383</v>
      </c>
      <c r="H518" s="118">
        <f>H494</f>
        <v>2</v>
      </c>
      <c r="I518" s="118" t="s">
        <v>300</v>
      </c>
      <c r="J518" s="118">
        <f>O494</f>
        <v>25</v>
      </c>
      <c r="K518" s="118" t="s">
        <v>1757</v>
      </c>
      <c r="L518" s="118">
        <f>H495</f>
        <v>28</v>
      </c>
      <c r="M518" s="118" t="s">
        <v>300</v>
      </c>
      <c r="N518" s="791">
        <f>K495</f>
        <v>50</v>
      </c>
      <c r="O518" s="791"/>
      <c r="P518" s="110" t="s">
        <v>2112</v>
      </c>
      <c r="Q518" s="277"/>
    </row>
    <row r="519" spans="1:17" ht="14.25" customHeight="1">
      <c r="A519" s="130"/>
      <c r="B519" s="110"/>
      <c r="C519" s="309" t="s">
        <v>1758</v>
      </c>
      <c r="D519" s="118">
        <f>H495</f>
        <v>28</v>
      </c>
      <c r="E519" s="118" t="s">
        <v>300</v>
      </c>
      <c r="F519" s="118">
        <f>O495</f>
        <v>55</v>
      </c>
      <c r="G519" s="110" t="s">
        <v>1762</v>
      </c>
      <c r="H519" s="118"/>
      <c r="I519" s="118"/>
      <c r="J519" s="118"/>
      <c r="K519" s="118"/>
      <c r="L519" s="118"/>
      <c r="M519" s="118"/>
      <c r="N519" s="791"/>
      <c r="O519" s="791"/>
      <c r="P519" s="110"/>
      <c r="Q519" s="277"/>
    </row>
    <row r="520" spans="1:17" ht="14.25" customHeight="1">
      <c r="A520" s="130"/>
      <c r="B520" s="110"/>
      <c r="C520" s="118"/>
      <c r="D520" s="280" t="s">
        <v>1582</v>
      </c>
      <c r="E520" s="791">
        <f>(D518/F518)+(H518/J518)+(L518/N518)+(D519/F519)</f>
        <v>1.249090909090909</v>
      </c>
      <c r="F520" s="791"/>
      <c r="G520" s="110" t="s">
        <v>384</v>
      </c>
      <c r="H520" s="118">
        <v>60</v>
      </c>
      <c r="I520" s="118" t="s">
        <v>1582</v>
      </c>
      <c r="J520" s="283">
        <f>TRUNC(E520*H520,2)</f>
        <v>74.94</v>
      </c>
      <c r="K520" s="286" t="s">
        <v>1600</v>
      </c>
      <c r="L520" s="110"/>
      <c r="M520" s="110"/>
      <c r="N520" s="118"/>
      <c r="O520" s="110"/>
      <c r="P520" s="110"/>
      <c r="Q520" s="277"/>
    </row>
    <row r="521" spans="1:17" ht="14.25" customHeight="1">
      <c r="A521" s="130"/>
      <c r="B521" s="110"/>
      <c r="C521" s="118" t="s">
        <v>2113</v>
      </c>
      <c r="D521" s="110" t="s">
        <v>385</v>
      </c>
      <c r="E521" s="846">
        <v>0.8</v>
      </c>
      <c r="F521" s="846"/>
      <c r="G521" s="110" t="s">
        <v>1600</v>
      </c>
      <c r="H521" s="118"/>
      <c r="I521" s="110"/>
      <c r="J521" s="118"/>
      <c r="K521" s="110"/>
      <c r="L521" s="110"/>
      <c r="M521" s="110"/>
      <c r="N521" s="110"/>
      <c r="O521" s="110"/>
      <c r="P521" s="110"/>
      <c r="Q521" s="277"/>
    </row>
    <row r="522" spans="1:17" ht="14.25" customHeight="1">
      <c r="A522" s="130"/>
      <c r="B522" s="110"/>
      <c r="C522" s="118" t="s">
        <v>2114</v>
      </c>
      <c r="D522" s="110" t="s">
        <v>387</v>
      </c>
      <c r="E522" s="791">
        <v>0.42</v>
      </c>
      <c r="F522" s="791"/>
      <c r="G522" s="110" t="s">
        <v>1759</v>
      </c>
      <c r="H522" s="118"/>
      <c r="I522" s="110"/>
      <c r="J522" s="110"/>
      <c r="K522" s="110"/>
      <c r="L522" s="110"/>
      <c r="M522" s="118"/>
      <c r="N522" s="118"/>
      <c r="O522" s="110"/>
      <c r="P522" s="110"/>
      <c r="Q522" s="277"/>
    </row>
    <row r="523" spans="1:17" ht="14.25" customHeight="1">
      <c r="A523" s="130"/>
      <c r="B523" s="110"/>
      <c r="C523" s="118" t="s">
        <v>3112</v>
      </c>
      <c r="D523" s="110" t="s">
        <v>389</v>
      </c>
      <c r="E523" s="791">
        <v>0.5</v>
      </c>
      <c r="F523" s="791"/>
      <c r="G523" s="110" t="s">
        <v>390</v>
      </c>
      <c r="H523" s="110"/>
      <c r="I523" s="110"/>
      <c r="J523" s="110"/>
      <c r="K523" s="110"/>
      <c r="L523" s="110"/>
      <c r="M523" s="110"/>
      <c r="N523" s="110"/>
      <c r="O523" s="110"/>
      <c r="P523" s="110"/>
      <c r="Q523" s="277"/>
    </row>
    <row r="524" spans="1:17" ht="14.25" customHeight="1">
      <c r="A524" s="130"/>
      <c r="B524" s="110"/>
      <c r="C524" s="118"/>
      <c r="D524" s="118" t="s">
        <v>1454</v>
      </c>
      <c r="E524" s="840">
        <f>E508+E517+E521+E522+E523</f>
        <v>102.69999999999999</v>
      </c>
      <c r="F524" s="840"/>
      <c r="G524" s="110" t="s">
        <v>1600</v>
      </c>
      <c r="H524" s="110"/>
      <c r="I524" s="110"/>
      <c r="J524" s="110"/>
      <c r="K524" s="110"/>
      <c r="L524" s="110"/>
      <c r="M524" s="110"/>
      <c r="N524" s="110"/>
      <c r="O524" s="110"/>
      <c r="P524" s="110"/>
      <c r="Q524" s="277"/>
    </row>
    <row r="525" spans="1:17" ht="14.25" customHeight="1">
      <c r="A525" s="130"/>
      <c r="B525" s="118"/>
      <c r="C525" s="118"/>
      <c r="D525" s="110"/>
      <c r="E525" s="118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277"/>
    </row>
    <row r="526" spans="1:17" ht="14.25" customHeight="1">
      <c r="A526" s="130" t="s">
        <v>391</v>
      </c>
      <c r="B526" s="110" t="s">
        <v>392</v>
      </c>
      <c r="C526" s="118"/>
      <c r="D526" s="110"/>
      <c r="E526" s="118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277"/>
    </row>
    <row r="527" spans="1:17" ht="14.25" customHeight="1">
      <c r="A527" s="130"/>
      <c r="B527" s="28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277"/>
    </row>
    <row r="528" spans="1:17" ht="14.25" customHeight="1">
      <c r="A528" s="841"/>
      <c r="B528" s="791" t="s">
        <v>1111</v>
      </c>
      <c r="C528" s="791" t="s">
        <v>1582</v>
      </c>
      <c r="D528" s="280" t="s">
        <v>393</v>
      </c>
      <c r="E528" s="286">
        <f>G504</f>
        <v>0.8</v>
      </c>
      <c r="F528" s="118" t="s">
        <v>972</v>
      </c>
      <c r="G528" s="282">
        <f>L503</f>
        <v>18.75</v>
      </c>
      <c r="H528" s="118" t="s">
        <v>972</v>
      </c>
      <c r="I528" s="118">
        <f>G505</f>
        <v>0.9</v>
      </c>
      <c r="J528" s="791" t="s">
        <v>1582</v>
      </c>
      <c r="K528" s="847">
        <f>TRUNC(E528*G528*I528*60,3)</f>
        <v>810</v>
      </c>
      <c r="L528" s="847"/>
      <c r="M528" s="791" t="s">
        <v>1582</v>
      </c>
      <c r="N528" s="838">
        <f>TRUNC(K528/K529,2)</f>
        <v>7.88</v>
      </c>
      <c r="O528" s="838"/>
      <c r="P528" s="110" t="s">
        <v>301</v>
      </c>
      <c r="Q528" s="277"/>
    </row>
    <row r="529" spans="1:18" ht="14.25" customHeight="1">
      <c r="A529" s="841"/>
      <c r="B529" s="791"/>
      <c r="C529" s="791"/>
      <c r="D529" s="848">
        <f>G506</f>
        <v>102.69999999999999</v>
      </c>
      <c r="E529" s="848"/>
      <c r="F529" s="848"/>
      <c r="G529" s="848"/>
      <c r="H529" s="848"/>
      <c r="I529" s="848"/>
      <c r="J529" s="791"/>
      <c r="K529" s="839">
        <f>D529</f>
        <v>102.69999999999999</v>
      </c>
      <c r="L529" s="839"/>
      <c r="M529" s="791"/>
      <c r="N529" s="838"/>
      <c r="O529" s="838"/>
      <c r="P529" s="110"/>
      <c r="Q529" s="277" t="s">
        <v>394</v>
      </c>
    </row>
    <row r="530" spans="1:18" ht="14.25" customHeight="1">
      <c r="A530" s="130"/>
      <c r="B530" s="110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277"/>
    </row>
    <row r="531" spans="1:18" ht="14.25" customHeight="1">
      <c r="A531" s="130"/>
      <c r="B531" s="110"/>
      <c r="C531" s="110"/>
      <c r="D531" s="110" t="s">
        <v>395</v>
      </c>
      <c r="E531" s="110"/>
      <c r="F531" s="835">
        <f>중기사용료!$M$568</f>
        <v>35386</v>
      </c>
      <c r="G531" s="835"/>
      <c r="H531" s="286" t="s">
        <v>975</v>
      </c>
      <c r="I531" s="118" t="s">
        <v>300</v>
      </c>
      <c r="J531" s="285">
        <f>N528</f>
        <v>7.88</v>
      </c>
      <c r="K531" s="282" t="s">
        <v>1582</v>
      </c>
      <c r="L531" s="121">
        <f>TRUNC(F531/J531)</f>
        <v>4490</v>
      </c>
      <c r="M531" s="118" t="s">
        <v>975</v>
      </c>
      <c r="N531" s="303" t="s">
        <v>416</v>
      </c>
      <c r="O531" s="110"/>
      <c r="P531" s="110"/>
      <c r="Q531" s="277"/>
    </row>
    <row r="532" spans="1:18" ht="14.25" customHeight="1">
      <c r="A532" s="130"/>
      <c r="B532" s="110"/>
      <c r="C532" s="118"/>
      <c r="D532" s="110"/>
      <c r="E532" s="290"/>
      <c r="F532" s="291"/>
      <c r="G532" s="291"/>
      <c r="H532" s="118"/>
      <c r="I532" s="110"/>
      <c r="J532" s="110"/>
      <c r="K532" s="285"/>
      <c r="L532" s="121"/>
      <c r="M532" s="118"/>
      <c r="N532" s="303"/>
      <c r="O532" s="110"/>
      <c r="P532" s="110"/>
      <c r="Q532" s="277"/>
    </row>
    <row r="533" spans="1:18" ht="14.25" customHeight="1">
      <c r="A533" s="130"/>
      <c r="B533" s="110"/>
      <c r="C533" s="110"/>
      <c r="D533" s="110" t="s">
        <v>396</v>
      </c>
      <c r="E533" s="110"/>
      <c r="F533" s="835">
        <f>중기사용료!$M$562</f>
        <v>27168</v>
      </c>
      <c r="G533" s="835"/>
      <c r="H533" s="286" t="s">
        <v>975</v>
      </c>
      <c r="I533" s="118" t="s">
        <v>300</v>
      </c>
      <c r="J533" s="285">
        <f>N528</f>
        <v>7.88</v>
      </c>
      <c r="K533" s="282" t="s">
        <v>1582</v>
      </c>
      <c r="L533" s="121">
        <f>TRUNC(F533/J533)</f>
        <v>3447</v>
      </c>
      <c r="M533" s="118" t="s">
        <v>975</v>
      </c>
      <c r="N533" s="303" t="s">
        <v>416</v>
      </c>
      <c r="O533" s="110"/>
      <c r="P533" s="110"/>
      <c r="Q533" s="277"/>
    </row>
    <row r="534" spans="1:18" ht="14.25" customHeight="1">
      <c r="A534" s="130"/>
      <c r="B534" s="110"/>
      <c r="C534" s="118"/>
      <c r="D534" s="110"/>
      <c r="E534" s="290"/>
      <c r="F534" s="291"/>
      <c r="G534" s="291"/>
      <c r="H534" s="118"/>
      <c r="I534" s="110"/>
      <c r="J534" s="110"/>
      <c r="K534" s="285"/>
      <c r="L534" s="121"/>
      <c r="M534" s="118"/>
      <c r="N534" s="303"/>
      <c r="O534" s="110"/>
      <c r="P534" s="110"/>
      <c r="Q534" s="277"/>
      <c r="R534" s="272" t="s">
        <v>1436</v>
      </c>
    </row>
    <row r="535" spans="1:18" ht="14.25" customHeight="1">
      <c r="A535" s="130"/>
      <c r="B535" s="110"/>
      <c r="C535" s="110"/>
      <c r="D535" s="110" t="s">
        <v>398</v>
      </c>
      <c r="E535" s="110"/>
      <c r="F535" s="835">
        <f>중기사용료!$M$556</f>
        <v>28703</v>
      </c>
      <c r="G535" s="835"/>
      <c r="H535" s="118" t="s">
        <v>975</v>
      </c>
      <c r="I535" s="118" t="s">
        <v>300</v>
      </c>
      <c r="J535" s="285">
        <f>N528</f>
        <v>7.88</v>
      </c>
      <c r="K535" s="282" t="s">
        <v>1582</v>
      </c>
      <c r="L535" s="121">
        <f>TRUNC(F535/J535)</f>
        <v>3642</v>
      </c>
      <c r="M535" s="121" t="s">
        <v>975</v>
      </c>
      <c r="N535" s="303" t="s">
        <v>416</v>
      </c>
      <c r="O535" s="110"/>
      <c r="P535" s="110"/>
      <c r="Q535" s="277"/>
    </row>
    <row r="536" spans="1:18" ht="14.25" customHeight="1">
      <c r="A536" s="130"/>
      <c r="B536" s="110"/>
      <c r="C536" s="118"/>
      <c r="D536" s="110"/>
      <c r="E536" s="110"/>
      <c r="F536" s="110"/>
      <c r="G536" s="110"/>
      <c r="H536" s="110"/>
      <c r="I536" s="110"/>
      <c r="J536" s="110"/>
      <c r="K536" s="110"/>
      <c r="L536" s="110"/>
      <c r="M536" s="118"/>
      <c r="N536" s="303"/>
      <c r="O536" s="110"/>
      <c r="P536" s="110"/>
      <c r="Q536" s="277"/>
    </row>
    <row r="537" spans="1:18" ht="14.25" customHeight="1">
      <c r="A537" s="162"/>
      <c r="B537" s="164"/>
      <c r="C537" s="164"/>
      <c r="D537" s="164"/>
      <c r="E537" s="164"/>
      <c r="F537" s="844">
        <f>SUM(F531:G535)</f>
        <v>91257</v>
      </c>
      <c r="G537" s="844"/>
      <c r="H537" s="299"/>
      <c r="I537" s="165"/>
      <c r="J537" s="164"/>
      <c r="K537" s="165" t="s">
        <v>1454</v>
      </c>
      <c r="L537" s="292">
        <f>SUM(L531,L533,L535)</f>
        <v>11579</v>
      </c>
      <c r="M537" s="164" t="s">
        <v>975</v>
      </c>
      <c r="N537" s="310" t="s">
        <v>416</v>
      </c>
      <c r="O537" s="300"/>
      <c r="P537" s="164"/>
      <c r="Q537" s="301"/>
    </row>
    <row r="538" spans="1:18" ht="14.25" customHeight="1">
      <c r="A538" s="135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293"/>
    </row>
    <row r="540" spans="1:18" s="265" customFormat="1" ht="14.25" customHeight="1">
      <c r="A540" s="306"/>
      <c r="B540" s="262" t="s">
        <v>2408</v>
      </c>
      <c r="C540" s="262"/>
      <c r="D540" s="262"/>
      <c r="E540" s="262"/>
      <c r="F540" s="262"/>
      <c r="G540" s="262"/>
      <c r="H540" s="263"/>
      <c r="I540" s="263" t="s">
        <v>1421</v>
      </c>
      <c r="J540" s="263">
        <v>24</v>
      </c>
      <c r="K540" s="262" t="s">
        <v>1193</v>
      </c>
      <c r="L540" s="263">
        <v>0.7</v>
      </c>
      <c r="M540" s="262" t="s">
        <v>1420</v>
      </c>
      <c r="N540" s="262"/>
      <c r="O540" s="261"/>
      <c r="P540" s="261"/>
      <c r="Q540" s="264"/>
      <c r="R540" s="265" t="s">
        <v>3299</v>
      </c>
    </row>
    <row r="541" spans="1:18" ht="14.25" customHeight="1">
      <c r="A541" s="266"/>
      <c r="B541" s="126"/>
      <c r="C541" s="126"/>
      <c r="D541" s="126"/>
      <c r="E541" s="267"/>
      <c r="F541" s="267"/>
      <c r="G541" s="268"/>
      <c r="H541" s="267"/>
      <c r="I541" s="267"/>
      <c r="J541" s="267"/>
      <c r="K541" s="267"/>
      <c r="L541" s="269"/>
      <c r="M541" s="270"/>
      <c r="N541" s="270"/>
      <c r="O541" s="126"/>
      <c r="P541" s="126"/>
      <c r="Q541" s="271"/>
    </row>
    <row r="542" spans="1:18" ht="14.25" customHeight="1">
      <c r="A542" s="273"/>
      <c r="B542" s="110" t="s">
        <v>1592</v>
      </c>
      <c r="C542" s="33" t="s">
        <v>1593</v>
      </c>
      <c r="D542" s="274"/>
      <c r="E542" s="275"/>
      <c r="F542" s="275"/>
      <c r="G542" s="121"/>
      <c r="H542" s="275"/>
      <c r="I542" s="275"/>
      <c r="J542" s="275" t="s">
        <v>1749</v>
      </c>
      <c r="K542" s="275"/>
      <c r="L542" s="33"/>
      <c r="M542" s="276" t="s">
        <v>1750</v>
      </c>
      <c r="N542" s="276"/>
      <c r="O542" s="110"/>
      <c r="P542" s="110"/>
      <c r="Q542" s="277"/>
    </row>
    <row r="543" spans="1:18" ht="14.25" customHeight="1">
      <c r="A543" s="273"/>
      <c r="B543" s="118" t="s">
        <v>2267</v>
      </c>
      <c r="C543" s="110" t="s">
        <v>1760</v>
      </c>
      <c r="D543" s="110"/>
      <c r="E543" s="110"/>
      <c r="F543" s="110"/>
      <c r="G543" s="275" t="s">
        <v>3103</v>
      </c>
      <c r="H543" s="275">
        <v>2</v>
      </c>
      <c r="I543" s="275" t="s">
        <v>1595</v>
      </c>
      <c r="J543" s="274" t="s">
        <v>1596</v>
      </c>
      <c r="K543" s="110">
        <v>20</v>
      </c>
      <c r="L543" s="110" t="s">
        <v>1595</v>
      </c>
      <c r="M543" s="122" t="s">
        <v>1596</v>
      </c>
      <c r="N543" s="118"/>
      <c r="O543" s="110">
        <v>25</v>
      </c>
      <c r="P543" s="275" t="s">
        <v>1595</v>
      </c>
      <c r="Q543" s="277"/>
    </row>
    <row r="544" spans="1:18" ht="14.25" customHeight="1">
      <c r="A544" s="273"/>
      <c r="B544" s="118" t="s">
        <v>2267</v>
      </c>
      <c r="C544" s="110" t="s">
        <v>1761</v>
      </c>
      <c r="D544" s="110"/>
      <c r="E544" s="110"/>
      <c r="F544" s="110"/>
      <c r="G544" s="275" t="s">
        <v>3105</v>
      </c>
      <c r="H544" s="275">
        <v>28</v>
      </c>
      <c r="I544" s="275" t="s">
        <v>1595</v>
      </c>
      <c r="J544" s="274" t="s">
        <v>1597</v>
      </c>
      <c r="K544" s="110">
        <v>50</v>
      </c>
      <c r="L544" s="110" t="s">
        <v>1595</v>
      </c>
      <c r="M544" s="122" t="s">
        <v>1597</v>
      </c>
      <c r="N544" s="118"/>
      <c r="O544" s="110">
        <v>55</v>
      </c>
      <c r="P544" s="275" t="s">
        <v>1595</v>
      </c>
      <c r="Q544" s="277"/>
    </row>
    <row r="545" spans="1:17" ht="14.25" customHeight="1">
      <c r="A545" s="273"/>
      <c r="B545" s="118"/>
      <c r="C545" s="110"/>
      <c r="D545" s="110"/>
      <c r="E545" s="110"/>
      <c r="F545" s="110"/>
      <c r="G545" s="275"/>
      <c r="H545" s="275"/>
      <c r="I545" s="275"/>
      <c r="J545" s="274"/>
      <c r="K545" s="110"/>
      <c r="L545" s="110"/>
      <c r="M545" s="33"/>
      <c r="N545" s="118"/>
      <c r="O545" s="110"/>
      <c r="P545" s="275"/>
      <c r="Q545" s="277"/>
    </row>
    <row r="546" spans="1:17" ht="14.25" customHeight="1">
      <c r="A546" s="273"/>
      <c r="B546" s="110"/>
      <c r="C546" s="274"/>
      <c r="D546" s="274"/>
      <c r="E546" s="275"/>
      <c r="F546" s="275"/>
      <c r="G546" s="121"/>
      <c r="H546" s="275"/>
      <c r="I546" s="275"/>
      <c r="J546" s="275"/>
      <c r="K546" s="275"/>
      <c r="L546" s="33"/>
      <c r="M546" s="276"/>
      <c r="N546" s="276"/>
      <c r="O546" s="110"/>
      <c r="P546" s="110"/>
      <c r="Q546" s="277"/>
    </row>
    <row r="547" spans="1:17" ht="14.25" customHeight="1">
      <c r="A547" s="130"/>
      <c r="B547" s="110" t="s">
        <v>1592</v>
      </c>
      <c r="C547" s="110" t="s">
        <v>1198</v>
      </c>
      <c r="D547" s="110"/>
      <c r="E547" s="110"/>
      <c r="F547" s="110"/>
      <c r="G547" s="110"/>
      <c r="H547" s="110"/>
      <c r="I547" s="110"/>
      <c r="J547" s="110" t="s">
        <v>400</v>
      </c>
      <c r="K547" s="110"/>
      <c r="L547" s="118">
        <v>1.6</v>
      </c>
      <c r="M547" s="110" t="s">
        <v>1805</v>
      </c>
      <c r="N547" s="110"/>
      <c r="O547" s="110"/>
      <c r="P547" s="110"/>
      <c r="Q547" s="277"/>
    </row>
    <row r="548" spans="1:17" ht="14.25" customHeight="1">
      <c r="A548" s="130"/>
      <c r="B548" s="118"/>
      <c r="C548" s="791" t="s">
        <v>1806</v>
      </c>
      <c r="D548" s="791" t="s">
        <v>1807</v>
      </c>
      <c r="E548" s="791"/>
      <c r="F548" s="791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277"/>
    </row>
    <row r="549" spans="1:17" ht="14.25" customHeight="1">
      <c r="A549" s="130"/>
      <c r="B549" s="118"/>
      <c r="C549" s="791"/>
      <c r="D549" s="843" t="s">
        <v>1583</v>
      </c>
      <c r="E549" s="843"/>
      <c r="F549" s="843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277"/>
    </row>
    <row r="550" spans="1:17" ht="14.25" customHeight="1">
      <c r="A550" s="13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277"/>
    </row>
    <row r="551" spans="1:17" ht="14.25" customHeight="1">
      <c r="A551" s="130"/>
      <c r="B551" s="280"/>
      <c r="C551" s="118" t="s">
        <v>1808</v>
      </c>
      <c r="D551" s="110" t="s">
        <v>1809</v>
      </c>
      <c r="E551" s="110"/>
      <c r="F551" s="110"/>
      <c r="G551" s="118"/>
      <c r="H551" s="280"/>
      <c r="I551" s="118"/>
      <c r="J551" s="110"/>
      <c r="K551" s="110"/>
      <c r="L551" s="110"/>
      <c r="M551" s="110"/>
      <c r="N551" s="110"/>
      <c r="O551" s="110"/>
      <c r="P551" s="110"/>
      <c r="Q551" s="277"/>
    </row>
    <row r="552" spans="1:17" ht="14.25" customHeight="1">
      <c r="A552" s="130"/>
      <c r="B552" s="280"/>
      <c r="C552" s="118" t="s">
        <v>298</v>
      </c>
      <c r="D552" s="110" t="s">
        <v>299</v>
      </c>
      <c r="E552" s="845">
        <f>J540</f>
        <v>24</v>
      </c>
      <c r="F552" s="845"/>
      <c r="G552" s="118" t="s">
        <v>300</v>
      </c>
      <c r="H552" s="118">
        <f>L547</f>
        <v>1.6</v>
      </c>
      <c r="I552" s="118" t="s">
        <v>972</v>
      </c>
      <c r="J552" s="118">
        <v>1.25</v>
      </c>
      <c r="K552" s="118" t="s">
        <v>1582</v>
      </c>
      <c r="L552" s="282">
        <f>TRUNC(E552/H552*J552,2)</f>
        <v>18.75</v>
      </c>
      <c r="M552" s="118" t="s">
        <v>301</v>
      </c>
      <c r="N552" s="110"/>
      <c r="O552" s="110"/>
      <c r="P552" s="110"/>
      <c r="Q552" s="277"/>
    </row>
    <row r="553" spans="1:17" ht="14.25" customHeight="1">
      <c r="A553" s="130"/>
      <c r="B553" s="280"/>
      <c r="C553" s="118" t="s">
        <v>302</v>
      </c>
      <c r="D553" s="110" t="s">
        <v>1156</v>
      </c>
      <c r="E553" s="110"/>
      <c r="F553" s="118" t="s">
        <v>1526</v>
      </c>
      <c r="G553" s="283">
        <f>TRUNC(1/J553,2)</f>
        <v>0.8</v>
      </c>
      <c r="H553" s="280" t="s">
        <v>303</v>
      </c>
      <c r="I553" s="118" t="s">
        <v>300</v>
      </c>
      <c r="J553" s="118">
        <f>J552</f>
        <v>1.25</v>
      </c>
      <c r="K553" s="284" t="s">
        <v>304</v>
      </c>
      <c r="L553" s="110"/>
      <c r="M553" s="110"/>
      <c r="N553" s="110"/>
      <c r="O553" s="110"/>
      <c r="P553" s="110"/>
      <c r="Q553" s="277"/>
    </row>
    <row r="554" spans="1:17" ht="14.25" customHeight="1">
      <c r="A554" s="130"/>
      <c r="B554" s="280"/>
      <c r="C554" s="118" t="s">
        <v>1703</v>
      </c>
      <c r="D554" s="110" t="s">
        <v>1207</v>
      </c>
      <c r="E554" s="110"/>
      <c r="F554" s="118" t="s">
        <v>1526</v>
      </c>
      <c r="G554" s="118">
        <v>0.9</v>
      </c>
      <c r="H554" s="280"/>
      <c r="I554" s="110"/>
      <c r="J554" s="110"/>
      <c r="K554" s="110"/>
      <c r="L554" s="110"/>
      <c r="M554" s="110"/>
      <c r="N554" s="110"/>
      <c r="O554" s="110"/>
      <c r="P554" s="110"/>
      <c r="Q554" s="277"/>
    </row>
    <row r="555" spans="1:17" ht="14.25" customHeight="1">
      <c r="A555" s="130"/>
      <c r="B555" s="280"/>
      <c r="C555" s="118" t="s">
        <v>1704</v>
      </c>
      <c r="D555" s="110" t="s">
        <v>401</v>
      </c>
      <c r="E555" s="110"/>
      <c r="F555" s="118"/>
      <c r="G555" s="286">
        <f>E573</f>
        <v>90.83</v>
      </c>
      <c r="H555" s="118" t="s">
        <v>1600</v>
      </c>
      <c r="I555" s="110"/>
      <c r="J555" s="110"/>
      <c r="K555" s="110"/>
      <c r="L555" s="110"/>
      <c r="M555" s="110"/>
      <c r="N555" s="110"/>
      <c r="O555" s="110"/>
      <c r="P555" s="110"/>
      <c r="Q555" s="277"/>
    </row>
    <row r="556" spans="1:17" ht="14.25" customHeight="1">
      <c r="A556" s="130"/>
      <c r="B556" s="280"/>
      <c r="C556" s="118" t="s">
        <v>1704</v>
      </c>
      <c r="D556" s="110" t="s">
        <v>3111</v>
      </c>
      <c r="E556" s="110"/>
      <c r="F556" s="110"/>
      <c r="G556" s="110"/>
      <c r="H556" s="283"/>
      <c r="I556" s="118"/>
      <c r="J556" s="110"/>
      <c r="K556" s="110"/>
      <c r="L556" s="110"/>
      <c r="M556" s="110"/>
      <c r="N556" s="110"/>
      <c r="O556" s="110"/>
      <c r="P556" s="110"/>
      <c r="Q556" s="277"/>
    </row>
    <row r="557" spans="1:17" ht="14.25" customHeight="1">
      <c r="A557" s="130"/>
      <c r="B557" s="110"/>
      <c r="C557" s="118" t="s">
        <v>1706</v>
      </c>
      <c r="D557" s="110" t="s">
        <v>1707</v>
      </c>
      <c r="E557" s="838">
        <f>E565</f>
        <v>14.17</v>
      </c>
      <c r="F557" s="838"/>
      <c r="G557" s="110" t="s">
        <v>402</v>
      </c>
      <c r="H557" s="285" t="s">
        <v>403</v>
      </c>
      <c r="I557" s="118"/>
      <c r="J557" s="118"/>
      <c r="K557" s="110"/>
      <c r="L557" s="118"/>
      <c r="M557" s="286"/>
      <c r="N557" s="286"/>
      <c r="O557" s="118"/>
      <c r="P557" s="110"/>
      <c r="Q557" s="277"/>
    </row>
    <row r="558" spans="1:17" ht="14.25" customHeight="1">
      <c r="A558" s="130"/>
      <c r="B558" s="110"/>
      <c r="C558" s="118"/>
      <c r="E558" s="288"/>
      <c r="F558" s="286"/>
      <c r="G558" s="110"/>
      <c r="H558" s="285"/>
      <c r="I558" s="118"/>
      <c r="J558" s="118"/>
      <c r="K558" s="110"/>
      <c r="L558" s="118"/>
      <c r="M558" s="286"/>
      <c r="N558" s="286"/>
      <c r="O558" s="118"/>
      <c r="P558" s="110"/>
      <c r="Q558" s="277"/>
    </row>
    <row r="559" spans="1:17" ht="14.25" customHeight="1">
      <c r="A559" s="130"/>
      <c r="B559" s="110"/>
      <c r="C559" s="118"/>
      <c r="D559" s="118" t="s">
        <v>404</v>
      </c>
      <c r="E559" s="846">
        <v>20</v>
      </c>
      <c r="F559" s="846"/>
      <c r="G559" s="110" t="s">
        <v>405</v>
      </c>
      <c r="H559" s="285" t="s">
        <v>1756</v>
      </c>
      <c r="I559" s="118"/>
      <c r="J559" s="109"/>
      <c r="K559" s="110"/>
      <c r="L559" s="109"/>
      <c r="M559" s="286"/>
      <c r="N559" s="286"/>
      <c r="O559" s="118"/>
      <c r="P559" s="110"/>
      <c r="Q559" s="277"/>
    </row>
    <row r="560" spans="1:17" ht="14.25" customHeight="1">
      <c r="A560" s="130"/>
      <c r="B560" s="110"/>
      <c r="C560" s="118"/>
      <c r="D560" s="280"/>
      <c r="E560" s="288"/>
      <c r="F560" s="286"/>
      <c r="G560" s="110"/>
      <c r="H560" s="285"/>
      <c r="I560" s="307"/>
      <c r="K560" s="110"/>
      <c r="L560" s="118"/>
      <c r="M560" s="286"/>
      <c r="N560" s="286"/>
      <c r="O560" s="118"/>
      <c r="P560" s="110"/>
      <c r="Q560" s="277"/>
    </row>
    <row r="561" spans="1:17" ht="14.25" customHeight="1">
      <c r="A561" s="130"/>
      <c r="B561" s="110"/>
      <c r="C561" s="118"/>
      <c r="D561" s="110" t="s">
        <v>407</v>
      </c>
      <c r="E561" s="288" t="s">
        <v>408</v>
      </c>
      <c r="F561" s="286"/>
      <c r="G561" s="110"/>
      <c r="H561" s="285"/>
      <c r="I561" s="118" t="s">
        <v>1748</v>
      </c>
      <c r="J561" s="118">
        <v>0.9</v>
      </c>
      <c r="K561" s="110"/>
      <c r="L561" s="118"/>
      <c r="M561" s="286"/>
      <c r="N561" s="286"/>
      <c r="O561" s="118"/>
      <c r="P561" s="110"/>
      <c r="Q561" s="277"/>
    </row>
    <row r="562" spans="1:17" ht="14.25" customHeight="1">
      <c r="A562" s="130"/>
      <c r="B562" s="110"/>
      <c r="C562" s="118"/>
      <c r="D562" s="110" t="s">
        <v>410</v>
      </c>
      <c r="E562" s="838">
        <f>L552</f>
        <v>18.75</v>
      </c>
      <c r="F562" s="838"/>
      <c r="G562" s="118" t="s">
        <v>411</v>
      </c>
      <c r="H562" s="285">
        <f>L540</f>
        <v>0.7</v>
      </c>
      <c r="I562" s="118" t="s">
        <v>86</v>
      </c>
      <c r="J562" s="118">
        <f>J561</f>
        <v>0.9</v>
      </c>
      <c r="K562" s="110" t="s">
        <v>412</v>
      </c>
      <c r="L562" s="118">
        <f>TRUNC(E562/(H562*J562),2)</f>
        <v>29.76</v>
      </c>
      <c r="M562" s="286" t="s">
        <v>969</v>
      </c>
      <c r="N562" s="286"/>
      <c r="O562" s="118"/>
      <c r="P562" s="110"/>
      <c r="Q562" s="277"/>
    </row>
    <row r="563" spans="1:17" ht="14.25" customHeight="1">
      <c r="A563" s="130"/>
      <c r="B563" s="110"/>
      <c r="C563" s="118"/>
      <c r="D563" s="110" t="s">
        <v>413</v>
      </c>
      <c r="E563" s="838">
        <v>0.7</v>
      </c>
      <c r="F563" s="838"/>
      <c r="G563" s="118"/>
      <c r="H563" s="285"/>
      <c r="I563" s="118"/>
      <c r="J563" s="118"/>
      <c r="K563" s="110"/>
      <c r="L563" s="118"/>
      <c r="M563" s="286"/>
      <c r="N563" s="286"/>
      <c r="O563" s="118"/>
      <c r="P563" s="110"/>
      <c r="Q563" s="277"/>
    </row>
    <row r="564" spans="1:17" ht="14.25" customHeight="1">
      <c r="A564" s="130"/>
      <c r="B564" s="110"/>
      <c r="C564" s="118" t="s">
        <v>1601</v>
      </c>
      <c r="D564" s="110" t="s">
        <v>1709</v>
      </c>
      <c r="E564" s="845">
        <f>E559</f>
        <v>20</v>
      </c>
      <c r="F564" s="845"/>
      <c r="G564" s="118" t="s">
        <v>972</v>
      </c>
      <c r="H564" s="285">
        <f>L562</f>
        <v>29.76</v>
      </c>
      <c r="I564" s="118" t="s">
        <v>414</v>
      </c>
      <c r="J564" s="118">
        <v>60</v>
      </c>
      <c r="K564" s="118" t="s">
        <v>972</v>
      </c>
      <c r="L564" s="282">
        <f>E563</f>
        <v>0.7</v>
      </c>
      <c r="M564" s="288" t="s">
        <v>2112</v>
      </c>
      <c r="N564" s="286"/>
      <c r="O564" s="118"/>
      <c r="P564" s="110"/>
      <c r="Q564" s="277"/>
    </row>
    <row r="565" spans="1:17" ht="14.25" customHeight="1">
      <c r="A565" s="130"/>
      <c r="B565" s="110"/>
      <c r="C565" s="118"/>
      <c r="D565" s="110" t="s">
        <v>410</v>
      </c>
      <c r="E565" s="838">
        <f>TRUNC((E564*H564)/(J564*L564),2)</f>
        <v>14.17</v>
      </c>
      <c r="F565" s="838"/>
      <c r="G565" s="110" t="s">
        <v>415</v>
      </c>
      <c r="H565" s="287"/>
      <c r="I565" s="118"/>
      <c r="J565" s="118"/>
      <c r="K565" s="118"/>
      <c r="L565" s="118"/>
      <c r="M565" s="286"/>
      <c r="N565" s="286"/>
      <c r="O565" s="118"/>
      <c r="P565" s="110"/>
      <c r="Q565" s="277"/>
    </row>
    <row r="566" spans="1:17" ht="14.25" customHeight="1">
      <c r="A566" s="130"/>
      <c r="B566" s="110"/>
      <c r="C566" s="118" t="s">
        <v>2110</v>
      </c>
      <c r="D566" s="110" t="s">
        <v>381</v>
      </c>
      <c r="E566" s="791">
        <f>J569</f>
        <v>74.94</v>
      </c>
      <c r="F566" s="791"/>
      <c r="G566" s="110" t="s">
        <v>382</v>
      </c>
      <c r="H566" s="118"/>
      <c r="I566" s="110"/>
      <c r="J566" s="110"/>
      <c r="K566" s="110"/>
      <c r="L566" s="118"/>
      <c r="M566" s="118"/>
      <c r="N566" s="118"/>
      <c r="O566" s="110"/>
      <c r="P566" s="110"/>
      <c r="Q566" s="277"/>
    </row>
    <row r="567" spans="1:17" ht="14.25" customHeight="1">
      <c r="A567" s="130"/>
      <c r="B567" s="110"/>
      <c r="C567" s="280" t="s">
        <v>2111</v>
      </c>
      <c r="D567" s="118">
        <f>H543</f>
        <v>2</v>
      </c>
      <c r="E567" s="118" t="s">
        <v>300</v>
      </c>
      <c r="F567" s="118">
        <f>K543</f>
        <v>20</v>
      </c>
      <c r="G567" s="110" t="s">
        <v>383</v>
      </c>
      <c r="H567" s="118">
        <f>H543</f>
        <v>2</v>
      </c>
      <c r="I567" s="118" t="s">
        <v>300</v>
      </c>
      <c r="J567" s="118">
        <f>O543</f>
        <v>25</v>
      </c>
      <c r="K567" s="118" t="s">
        <v>1757</v>
      </c>
      <c r="L567" s="118">
        <f>H544</f>
        <v>28</v>
      </c>
      <c r="M567" s="118" t="s">
        <v>300</v>
      </c>
      <c r="N567" s="791">
        <f>K544</f>
        <v>50</v>
      </c>
      <c r="O567" s="791"/>
      <c r="P567" s="110" t="s">
        <v>2112</v>
      </c>
      <c r="Q567" s="277"/>
    </row>
    <row r="568" spans="1:17" ht="14.25" customHeight="1">
      <c r="A568" s="130"/>
      <c r="B568" s="110"/>
      <c r="C568" s="309" t="s">
        <v>1758</v>
      </c>
      <c r="D568" s="118">
        <f>H544</f>
        <v>28</v>
      </c>
      <c r="E568" s="118" t="s">
        <v>300</v>
      </c>
      <c r="F568" s="118">
        <f>O544</f>
        <v>55</v>
      </c>
      <c r="G568" s="110" t="s">
        <v>1762</v>
      </c>
      <c r="H568" s="118"/>
      <c r="I568" s="118"/>
      <c r="J568" s="118"/>
      <c r="K568" s="118"/>
      <c r="L568" s="118"/>
      <c r="M568" s="118"/>
      <c r="N568" s="791"/>
      <c r="O568" s="791"/>
      <c r="P568" s="110"/>
      <c r="Q568" s="277"/>
    </row>
    <row r="569" spans="1:17" ht="14.25" customHeight="1">
      <c r="A569" s="130"/>
      <c r="B569" s="110"/>
      <c r="C569" s="118"/>
      <c r="D569" s="280" t="s">
        <v>1582</v>
      </c>
      <c r="E569" s="791">
        <f>(D567/F567)+(H567/J567)+(L567/N567)+(D568/F568)</f>
        <v>1.249090909090909</v>
      </c>
      <c r="F569" s="791"/>
      <c r="G569" s="110" t="s">
        <v>384</v>
      </c>
      <c r="H569" s="118">
        <v>60</v>
      </c>
      <c r="I569" s="118" t="s">
        <v>1582</v>
      </c>
      <c r="J569" s="283">
        <f>TRUNC(E569*H569,2)</f>
        <v>74.94</v>
      </c>
      <c r="K569" s="286" t="s">
        <v>1600</v>
      </c>
      <c r="L569" s="110"/>
      <c r="M569" s="110"/>
      <c r="N569" s="118"/>
      <c r="O569" s="110"/>
      <c r="P569" s="110"/>
      <c r="Q569" s="277"/>
    </row>
    <row r="570" spans="1:17" ht="14.25" customHeight="1">
      <c r="A570" s="130"/>
      <c r="B570" s="110"/>
      <c r="C570" s="118" t="s">
        <v>2113</v>
      </c>
      <c r="D570" s="110" t="s">
        <v>385</v>
      </c>
      <c r="E570" s="846">
        <v>0.8</v>
      </c>
      <c r="F570" s="846"/>
      <c r="G570" s="110" t="s">
        <v>1600</v>
      </c>
      <c r="H570" s="118"/>
      <c r="I570" s="110"/>
      <c r="J570" s="118"/>
      <c r="K570" s="110"/>
      <c r="L570" s="110"/>
      <c r="M570" s="110"/>
      <c r="N570" s="110"/>
      <c r="O570" s="110"/>
      <c r="P570" s="110"/>
      <c r="Q570" s="277"/>
    </row>
    <row r="571" spans="1:17" ht="14.25" customHeight="1">
      <c r="A571" s="130"/>
      <c r="B571" s="110"/>
      <c r="C571" s="118" t="s">
        <v>2114</v>
      </c>
      <c r="D571" s="110" t="s">
        <v>387</v>
      </c>
      <c r="E571" s="791">
        <v>0.42</v>
      </c>
      <c r="F571" s="791"/>
      <c r="G571" s="110" t="s">
        <v>1759</v>
      </c>
      <c r="H571" s="118"/>
      <c r="I571" s="110"/>
      <c r="J571" s="110"/>
      <c r="K571" s="110"/>
      <c r="L571" s="110"/>
      <c r="M571" s="118"/>
      <c r="N571" s="118"/>
      <c r="O571" s="110"/>
      <c r="P571" s="110"/>
      <c r="Q571" s="277"/>
    </row>
    <row r="572" spans="1:17" ht="14.25" customHeight="1">
      <c r="A572" s="130"/>
      <c r="B572" s="110"/>
      <c r="C572" s="118" t="s">
        <v>3112</v>
      </c>
      <c r="D572" s="110" t="s">
        <v>389</v>
      </c>
      <c r="E572" s="791">
        <v>0.5</v>
      </c>
      <c r="F572" s="791"/>
      <c r="G572" s="110" t="s">
        <v>390</v>
      </c>
      <c r="H572" s="110"/>
      <c r="I572" s="110"/>
      <c r="J572" s="110"/>
      <c r="K572" s="110"/>
      <c r="L572" s="110"/>
      <c r="M572" s="110"/>
      <c r="N572" s="110"/>
      <c r="O572" s="110"/>
      <c r="P572" s="110"/>
      <c r="Q572" s="277"/>
    </row>
    <row r="573" spans="1:17" ht="14.25" customHeight="1">
      <c r="A573" s="130"/>
      <c r="B573" s="110"/>
      <c r="C573" s="118"/>
      <c r="D573" s="118" t="s">
        <v>1454</v>
      </c>
      <c r="E573" s="840">
        <f>E557+E566+E570+E571+E572</f>
        <v>90.83</v>
      </c>
      <c r="F573" s="840"/>
      <c r="G573" s="110" t="s">
        <v>1600</v>
      </c>
      <c r="H573" s="110"/>
      <c r="I573" s="110"/>
      <c r="J573" s="110"/>
      <c r="K573" s="110"/>
      <c r="L573" s="110"/>
      <c r="M573" s="110"/>
      <c r="N573" s="110"/>
      <c r="O573" s="110"/>
      <c r="P573" s="110"/>
      <c r="Q573" s="277"/>
    </row>
    <row r="574" spans="1:17" ht="14.25" customHeight="1">
      <c r="A574" s="130"/>
      <c r="B574" s="118"/>
      <c r="C574" s="118"/>
      <c r="D574" s="110"/>
      <c r="E574" s="118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277"/>
    </row>
    <row r="575" spans="1:17" ht="14.25" customHeight="1">
      <c r="A575" s="130" t="s">
        <v>391</v>
      </c>
      <c r="B575" s="110" t="s">
        <v>392</v>
      </c>
      <c r="C575" s="118"/>
      <c r="D575" s="110"/>
      <c r="E575" s="118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277"/>
    </row>
    <row r="576" spans="1:17" ht="14.25" customHeight="1">
      <c r="A576" s="130"/>
      <c r="B576" s="28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277"/>
    </row>
    <row r="577" spans="1:18" ht="14.25" customHeight="1">
      <c r="A577" s="841"/>
      <c r="B577" s="791" t="s">
        <v>1111</v>
      </c>
      <c r="C577" s="791" t="s">
        <v>1582</v>
      </c>
      <c r="D577" s="280" t="s">
        <v>393</v>
      </c>
      <c r="E577" s="286">
        <f>G553</f>
        <v>0.8</v>
      </c>
      <c r="F577" s="118" t="s">
        <v>972</v>
      </c>
      <c r="G577" s="282">
        <f>L552</f>
        <v>18.75</v>
      </c>
      <c r="H577" s="118" t="s">
        <v>972</v>
      </c>
      <c r="I577" s="118">
        <f>G554</f>
        <v>0.9</v>
      </c>
      <c r="J577" s="791" t="s">
        <v>1582</v>
      </c>
      <c r="K577" s="847">
        <f>TRUNC(E577*G577*I577*60,3)</f>
        <v>810</v>
      </c>
      <c r="L577" s="847"/>
      <c r="M577" s="791" t="s">
        <v>1582</v>
      </c>
      <c r="N577" s="838">
        <f>TRUNC(K577/K578,2)</f>
        <v>8.91</v>
      </c>
      <c r="O577" s="838"/>
      <c r="P577" s="110" t="s">
        <v>301</v>
      </c>
      <c r="Q577" s="277"/>
    </row>
    <row r="578" spans="1:18" ht="14.25" customHeight="1">
      <c r="A578" s="841"/>
      <c r="B578" s="791"/>
      <c r="C578" s="791"/>
      <c r="D578" s="848">
        <f>G555</f>
        <v>90.83</v>
      </c>
      <c r="E578" s="848"/>
      <c r="F578" s="848"/>
      <c r="G578" s="848"/>
      <c r="H578" s="848"/>
      <c r="I578" s="848"/>
      <c r="J578" s="791"/>
      <c r="K578" s="839">
        <f>D578</f>
        <v>90.83</v>
      </c>
      <c r="L578" s="839"/>
      <c r="M578" s="791"/>
      <c r="N578" s="838"/>
      <c r="O578" s="838"/>
      <c r="P578" s="110"/>
      <c r="Q578" s="277" t="s">
        <v>394</v>
      </c>
    </row>
    <row r="579" spans="1:18" ht="14.25" customHeight="1">
      <c r="A579" s="13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277"/>
    </row>
    <row r="580" spans="1:18" ht="14.25" customHeight="1">
      <c r="A580" s="130"/>
      <c r="B580" s="110"/>
      <c r="C580" s="110"/>
      <c r="D580" s="110" t="s">
        <v>395</v>
      </c>
      <c r="E580" s="110"/>
      <c r="F580" s="835">
        <f>중기사용료!$M$568</f>
        <v>35386</v>
      </c>
      <c r="G580" s="835"/>
      <c r="H580" s="286" t="s">
        <v>975</v>
      </c>
      <c r="I580" s="118" t="s">
        <v>300</v>
      </c>
      <c r="J580" s="285">
        <f>N577</f>
        <v>8.91</v>
      </c>
      <c r="K580" s="282" t="s">
        <v>1582</v>
      </c>
      <c r="L580" s="121">
        <f>TRUNC(F580/J580)</f>
        <v>3971</v>
      </c>
      <c r="M580" s="118" t="s">
        <v>975</v>
      </c>
      <c r="N580" s="303" t="s">
        <v>416</v>
      </c>
      <c r="O580" s="110"/>
      <c r="P580" s="110"/>
      <c r="Q580" s="277"/>
    </row>
    <row r="581" spans="1:18" ht="14.25" customHeight="1">
      <c r="A581" s="130"/>
      <c r="B581" s="110"/>
      <c r="C581" s="118"/>
      <c r="D581" s="110"/>
      <c r="E581" s="290"/>
      <c r="F581" s="291"/>
      <c r="G581" s="291"/>
      <c r="H581" s="118"/>
      <c r="I581" s="110"/>
      <c r="J581" s="110"/>
      <c r="K581" s="285"/>
      <c r="L581" s="121"/>
      <c r="M581" s="118"/>
      <c r="N581" s="303"/>
      <c r="O581" s="110"/>
      <c r="P581" s="110"/>
      <c r="Q581" s="277"/>
    </row>
    <row r="582" spans="1:18" ht="14.25" customHeight="1">
      <c r="A582" s="130"/>
      <c r="B582" s="110"/>
      <c r="C582" s="110"/>
      <c r="D582" s="110" t="s">
        <v>396</v>
      </c>
      <c r="E582" s="110"/>
      <c r="F582" s="835">
        <f>중기사용료!$M$562</f>
        <v>27168</v>
      </c>
      <c r="G582" s="835"/>
      <c r="H582" s="286" t="s">
        <v>975</v>
      </c>
      <c r="I582" s="118" t="s">
        <v>300</v>
      </c>
      <c r="J582" s="285">
        <f>N577</f>
        <v>8.91</v>
      </c>
      <c r="K582" s="282" t="s">
        <v>1582</v>
      </c>
      <c r="L582" s="121">
        <f>TRUNC(F582/J582)</f>
        <v>3049</v>
      </c>
      <c r="M582" s="118" t="s">
        <v>975</v>
      </c>
      <c r="N582" s="303" t="s">
        <v>416</v>
      </c>
      <c r="O582" s="110"/>
      <c r="P582" s="110"/>
      <c r="Q582" s="277"/>
    </row>
    <row r="583" spans="1:18" ht="14.25" customHeight="1">
      <c r="A583" s="130"/>
      <c r="B583" s="110"/>
      <c r="C583" s="118"/>
      <c r="D583" s="110"/>
      <c r="E583" s="290"/>
      <c r="F583" s="291"/>
      <c r="G583" s="291"/>
      <c r="H583" s="118"/>
      <c r="I583" s="110"/>
      <c r="J583" s="110"/>
      <c r="K583" s="285"/>
      <c r="L583" s="121"/>
      <c r="M583" s="118"/>
      <c r="N583" s="303"/>
      <c r="O583" s="110"/>
      <c r="P583" s="110"/>
      <c r="Q583" s="277"/>
      <c r="R583" s="272" t="s">
        <v>1436</v>
      </c>
    </row>
    <row r="584" spans="1:18" ht="14.25" customHeight="1">
      <c r="A584" s="130"/>
      <c r="B584" s="110"/>
      <c r="C584" s="110"/>
      <c r="D584" s="110" t="s">
        <v>398</v>
      </c>
      <c r="E584" s="110"/>
      <c r="F584" s="835">
        <f>중기사용료!$M$556</f>
        <v>28703</v>
      </c>
      <c r="G584" s="835"/>
      <c r="H584" s="118" t="s">
        <v>975</v>
      </c>
      <c r="I584" s="118" t="s">
        <v>300</v>
      </c>
      <c r="J584" s="285">
        <f>N577</f>
        <v>8.91</v>
      </c>
      <c r="K584" s="282" t="s">
        <v>1582</v>
      </c>
      <c r="L584" s="121">
        <f>TRUNC(F584/J584)</f>
        <v>3221</v>
      </c>
      <c r="M584" s="121" t="s">
        <v>975</v>
      </c>
      <c r="N584" s="303" t="s">
        <v>416</v>
      </c>
      <c r="O584" s="110"/>
      <c r="P584" s="110"/>
      <c r="Q584" s="277"/>
    </row>
    <row r="585" spans="1:18" ht="14.25" customHeight="1">
      <c r="A585" s="130"/>
      <c r="B585" s="110"/>
      <c r="C585" s="118"/>
      <c r="D585" s="110"/>
      <c r="E585" s="110"/>
      <c r="F585" s="110"/>
      <c r="G585" s="110"/>
      <c r="H585" s="110"/>
      <c r="I585" s="110"/>
      <c r="J585" s="110"/>
      <c r="K585" s="110"/>
      <c r="L585" s="110"/>
      <c r="M585" s="118"/>
      <c r="N585" s="303"/>
      <c r="O585" s="110"/>
      <c r="P585" s="110"/>
      <c r="Q585" s="277"/>
    </row>
    <row r="586" spans="1:18" s="302" customFormat="1" ht="14.25" customHeight="1">
      <c r="A586" s="162"/>
      <c r="B586" s="164"/>
      <c r="C586" s="164"/>
      <c r="D586" s="164"/>
      <c r="E586" s="164"/>
      <c r="F586" s="844">
        <f>SUM(F580:G584)</f>
        <v>91257</v>
      </c>
      <c r="G586" s="844"/>
      <c r="H586" s="299"/>
      <c r="I586" s="165"/>
      <c r="J586" s="164"/>
      <c r="K586" s="165" t="s">
        <v>1454</v>
      </c>
      <c r="L586" s="292">
        <f>SUM(L580,L582,L584)</f>
        <v>10241</v>
      </c>
      <c r="M586" s="164" t="s">
        <v>975</v>
      </c>
      <c r="N586" s="310" t="s">
        <v>416</v>
      </c>
      <c r="O586" s="300"/>
      <c r="P586" s="164"/>
      <c r="Q586" s="301"/>
      <c r="R586" s="272"/>
    </row>
    <row r="587" spans="1:18" ht="14.25" customHeight="1">
      <c r="A587" s="135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293"/>
    </row>
    <row r="589" spans="1:18" s="265" customFormat="1" ht="14.25" customHeight="1">
      <c r="A589" s="306"/>
      <c r="B589" s="262" t="s">
        <v>3307</v>
      </c>
      <c r="C589" s="262"/>
      <c r="D589" s="262"/>
      <c r="E589" s="262"/>
      <c r="F589" s="262"/>
      <c r="G589" s="262"/>
      <c r="H589" s="263" t="s">
        <v>3303</v>
      </c>
      <c r="I589" s="263">
        <v>2.5</v>
      </c>
      <c r="J589" s="262" t="s">
        <v>3304</v>
      </c>
      <c r="K589" s="262" t="s">
        <v>3308</v>
      </c>
      <c r="L589" s="262"/>
      <c r="M589" s="262"/>
      <c r="N589" s="262"/>
      <c r="O589" s="261"/>
      <c r="P589" s="261"/>
      <c r="Q589" s="264"/>
      <c r="R589" s="265" t="s">
        <v>3306</v>
      </c>
    </row>
    <row r="590" spans="1:18" ht="14.25" customHeight="1">
      <c r="A590" s="266"/>
      <c r="B590" s="126"/>
      <c r="C590" s="126"/>
      <c r="D590" s="126"/>
      <c r="E590" s="267"/>
      <c r="F590" s="267"/>
      <c r="G590" s="268"/>
      <c r="H590" s="267"/>
      <c r="I590" s="267"/>
      <c r="J590" s="267"/>
      <c r="K590" s="267"/>
      <c r="L590" s="269"/>
      <c r="M590" s="270"/>
      <c r="N590" s="270"/>
      <c r="O590" s="126"/>
      <c r="P590" s="126"/>
      <c r="Q590" s="271"/>
    </row>
    <row r="591" spans="1:18" ht="14.25" customHeight="1">
      <c r="A591" s="273"/>
      <c r="B591" s="110" t="s">
        <v>1592</v>
      </c>
      <c r="C591" s="33" t="s">
        <v>1593</v>
      </c>
      <c r="D591" s="274"/>
      <c r="E591" s="275"/>
      <c r="F591" s="275"/>
      <c r="G591" s="121"/>
      <c r="H591" s="275"/>
      <c r="I591" s="275"/>
      <c r="J591" s="275"/>
      <c r="K591" s="275"/>
      <c r="L591" s="33"/>
      <c r="M591" s="276"/>
      <c r="N591" s="276"/>
      <c r="O591" s="110"/>
      <c r="P591" s="110"/>
      <c r="Q591" s="277"/>
    </row>
    <row r="592" spans="1:18" ht="14.25" customHeight="1">
      <c r="A592" s="273"/>
      <c r="B592" s="118" t="s">
        <v>2267</v>
      </c>
      <c r="C592" s="110" t="s">
        <v>1275</v>
      </c>
      <c r="D592" s="110"/>
      <c r="E592" s="110"/>
      <c r="F592" s="110"/>
      <c r="G592" s="275" t="s">
        <v>1594</v>
      </c>
      <c r="H592" s="275">
        <v>1</v>
      </c>
      <c r="I592" s="275" t="s">
        <v>1595</v>
      </c>
      <c r="J592" s="274" t="s">
        <v>1596</v>
      </c>
      <c r="K592" s="110">
        <v>10</v>
      </c>
      <c r="L592" s="110" t="s">
        <v>1595</v>
      </c>
      <c r="M592" s="33" t="s">
        <v>1597</v>
      </c>
      <c r="N592" s="118"/>
      <c r="O592" s="110">
        <v>10</v>
      </c>
      <c r="P592" s="275" t="s">
        <v>1595</v>
      </c>
      <c r="Q592" s="277"/>
    </row>
    <row r="593" spans="1:17" ht="14.25" customHeight="1">
      <c r="A593" s="273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277"/>
    </row>
    <row r="594" spans="1:17" ht="14.25" customHeight="1">
      <c r="A594" s="273"/>
      <c r="B594" s="118" t="s">
        <v>1598</v>
      </c>
      <c r="C594" s="110" t="str">
        <f>"상차비 - "&amp; G594&amp;" 인 1조 작업 :"</f>
        <v>상차비 - 5 인 1조 작업 :</v>
      </c>
      <c r="D594" s="110"/>
      <c r="E594" s="110"/>
      <c r="F594" s="110"/>
      <c r="G594" s="275">
        <v>5</v>
      </c>
      <c r="H594" s="278" t="s">
        <v>1163</v>
      </c>
      <c r="I594" s="275" t="s">
        <v>1162</v>
      </c>
      <c r="J594" s="274"/>
      <c r="K594" s="110"/>
      <c r="L594" s="110"/>
      <c r="M594" s="33"/>
      <c r="N594" s="118"/>
      <c r="O594" s="110"/>
      <c r="P594" s="275"/>
      <c r="Q594" s="277"/>
    </row>
    <row r="595" spans="1:17" ht="14.25" customHeight="1">
      <c r="A595" s="273"/>
      <c r="B595" s="110"/>
      <c r="C595" s="274"/>
      <c r="D595" s="33" t="s">
        <v>1599</v>
      </c>
      <c r="E595" s="275"/>
      <c r="F595" s="275"/>
      <c r="G595" s="121">
        <v>12</v>
      </c>
      <c r="H595" s="278" t="s">
        <v>1600</v>
      </c>
      <c r="I595" s="275"/>
      <c r="J595" s="275"/>
      <c r="K595" s="275"/>
      <c r="L595" s="33"/>
      <c r="M595" s="276"/>
      <c r="N595" s="276"/>
      <c r="O595" s="110"/>
      <c r="P595" s="110"/>
      <c r="Q595" s="277"/>
    </row>
    <row r="596" spans="1:17" ht="14.25" customHeight="1">
      <c r="A596" s="273"/>
      <c r="B596" s="110"/>
      <c r="C596" s="274" t="s">
        <v>1601</v>
      </c>
      <c r="D596" s="279" t="str">
        <f>G595&amp;"/450×"</f>
        <v>12/450×</v>
      </c>
      <c r="E596" s="275">
        <f>G594</f>
        <v>5</v>
      </c>
      <c r="F596" s="275" t="s">
        <v>972</v>
      </c>
      <c r="G596" s="121">
        <f>SUMIF('노임(2015)'!$B$4:$B$87,I594,'노임(2015)'!$C$4:$C$87)+SUMIF('노임(2015)'!$E$4:$E$87,I594,'노임(2015)'!$F$4:$F$87)</f>
        <v>89566</v>
      </c>
      <c r="H596" s="275" t="s">
        <v>1582</v>
      </c>
      <c r="I596" s="836">
        <f>TRUNC(G595/450*G594*G596)</f>
        <v>11942</v>
      </c>
      <c r="J596" s="836"/>
      <c r="K596" s="276" t="s">
        <v>1602</v>
      </c>
      <c r="L596" s="33"/>
      <c r="M596" s="276"/>
      <c r="N596" s="276"/>
      <c r="O596" s="110"/>
      <c r="P596" s="110"/>
      <c r="Q596" s="277"/>
    </row>
    <row r="597" spans="1:17" ht="14.25" customHeight="1">
      <c r="A597" s="273"/>
      <c r="B597" s="110"/>
      <c r="C597" s="274"/>
      <c r="D597" s="279"/>
      <c r="E597" s="275"/>
      <c r="F597" s="275"/>
      <c r="G597" s="121"/>
      <c r="H597" s="275"/>
      <c r="I597" s="121"/>
      <c r="J597" s="121"/>
      <c r="K597" s="276"/>
      <c r="L597" s="33"/>
      <c r="M597" s="276"/>
      <c r="N597" s="276"/>
      <c r="O597" s="110"/>
      <c r="P597" s="110"/>
      <c r="Q597" s="277"/>
    </row>
    <row r="598" spans="1:17" ht="14.25" customHeight="1">
      <c r="A598" s="130"/>
      <c r="B598" s="110" t="s">
        <v>1592</v>
      </c>
      <c r="C598" s="110" t="s">
        <v>1198</v>
      </c>
      <c r="D598" s="110"/>
      <c r="E598" s="110"/>
      <c r="F598" s="110"/>
      <c r="G598" s="110"/>
      <c r="H598" s="110" t="s">
        <v>1603</v>
      </c>
      <c r="I598" s="110"/>
      <c r="J598" s="118">
        <v>2.2999999999999998</v>
      </c>
      <c r="K598" s="110" t="s">
        <v>1805</v>
      </c>
      <c r="L598" s="110"/>
      <c r="M598" s="110"/>
      <c r="N598" s="110"/>
      <c r="O598" s="110"/>
      <c r="P598" s="110"/>
      <c r="Q598" s="277"/>
    </row>
    <row r="599" spans="1:17" ht="14.25" customHeight="1">
      <c r="A599" s="13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277"/>
    </row>
    <row r="600" spans="1:17" ht="14.25" customHeight="1">
      <c r="A600" s="130"/>
      <c r="B600" s="118"/>
      <c r="C600" s="791" t="s">
        <v>1806</v>
      </c>
      <c r="D600" s="791" t="s">
        <v>1807</v>
      </c>
      <c r="E600" s="791"/>
      <c r="F600" s="791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277"/>
    </row>
    <row r="601" spans="1:17" ht="14.25" customHeight="1">
      <c r="A601" s="130"/>
      <c r="B601" s="118"/>
      <c r="C601" s="791"/>
      <c r="D601" s="843" t="s">
        <v>1583</v>
      </c>
      <c r="E601" s="843"/>
      <c r="F601" s="843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277"/>
    </row>
    <row r="602" spans="1:17" ht="14.25" customHeight="1">
      <c r="A602" s="13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277"/>
    </row>
    <row r="603" spans="1:17" ht="14.25" customHeight="1">
      <c r="A603" s="130"/>
      <c r="B603" s="280"/>
      <c r="C603" s="118" t="s">
        <v>1808</v>
      </c>
      <c r="D603" s="110" t="s">
        <v>1809</v>
      </c>
      <c r="E603" s="110"/>
      <c r="F603" s="110"/>
      <c r="G603" s="118"/>
      <c r="H603" s="280"/>
      <c r="I603" s="118"/>
      <c r="J603" s="110"/>
      <c r="K603" s="110"/>
      <c r="L603" s="110"/>
      <c r="M603" s="110"/>
      <c r="N603" s="110"/>
      <c r="O603" s="110"/>
      <c r="P603" s="110"/>
      <c r="Q603" s="277"/>
    </row>
    <row r="604" spans="1:17" ht="14.25" customHeight="1">
      <c r="A604" s="130"/>
      <c r="B604" s="280"/>
      <c r="C604" s="118" t="s">
        <v>298</v>
      </c>
      <c r="D604" s="110" t="s">
        <v>299</v>
      </c>
      <c r="E604" s="118" t="s">
        <v>1526</v>
      </c>
      <c r="F604" s="281">
        <f>I589</f>
        <v>2.5</v>
      </c>
      <c r="G604" s="118" t="s">
        <v>300</v>
      </c>
      <c r="H604" s="118">
        <f>J598</f>
        <v>2.2999999999999998</v>
      </c>
      <c r="I604" s="118" t="s">
        <v>972</v>
      </c>
      <c r="J604" s="118">
        <v>1.4</v>
      </c>
      <c r="K604" s="118" t="s">
        <v>1582</v>
      </c>
      <c r="L604" s="282">
        <f>TRUNC(F604/H604*J604,2)</f>
        <v>1.52</v>
      </c>
      <c r="M604" s="118" t="s">
        <v>301</v>
      </c>
      <c r="N604" s="110"/>
      <c r="O604" s="110"/>
      <c r="P604" s="110"/>
      <c r="Q604" s="277"/>
    </row>
    <row r="605" spans="1:17" ht="14.25" customHeight="1">
      <c r="A605" s="130"/>
      <c r="B605" s="280"/>
      <c r="C605" s="118" t="s">
        <v>302</v>
      </c>
      <c r="D605" s="110" t="s">
        <v>1156</v>
      </c>
      <c r="E605" s="110"/>
      <c r="F605" s="118" t="s">
        <v>1526</v>
      </c>
      <c r="G605" s="283">
        <f>TRUNC(1/J605,2)</f>
        <v>0.71</v>
      </c>
      <c r="H605" s="280" t="s">
        <v>303</v>
      </c>
      <c r="I605" s="118" t="s">
        <v>300</v>
      </c>
      <c r="J605" s="118">
        <f>J604</f>
        <v>1.4</v>
      </c>
      <c r="K605" s="284" t="s">
        <v>304</v>
      </c>
      <c r="L605" s="110"/>
      <c r="M605" s="110"/>
      <c r="N605" s="110"/>
      <c r="O605" s="110"/>
      <c r="P605" s="110"/>
      <c r="Q605" s="277"/>
    </row>
    <row r="606" spans="1:17" ht="14.25" customHeight="1">
      <c r="A606" s="130"/>
      <c r="B606" s="280"/>
      <c r="C606" s="118" t="s">
        <v>1703</v>
      </c>
      <c r="D606" s="110" t="s">
        <v>1207</v>
      </c>
      <c r="E606" s="110"/>
      <c r="F606" s="118" t="s">
        <v>1526</v>
      </c>
      <c r="G606" s="118">
        <v>0.9</v>
      </c>
      <c r="H606" s="280"/>
      <c r="I606" s="110"/>
      <c r="J606" s="110"/>
      <c r="K606" s="110"/>
      <c r="L606" s="110"/>
      <c r="M606" s="110"/>
      <c r="N606" s="110"/>
      <c r="O606" s="110"/>
      <c r="P606" s="110"/>
      <c r="Q606" s="277"/>
    </row>
    <row r="607" spans="1:17" ht="14.25" customHeight="1">
      <c r="A607" s="130"/>
      <c r="B607" s="280"/>
      <c r="C607" s="118" t="s">
        <v>1704</v>
      </c>
      <c r="D607" s="110" t="s">
        <v>1705</v>
      </c>
      <c r="E607" s="110"/>
      <c r="F607" s="118"/>
      <c r="G607" s="275">
        <f>E618</f>
        <v>31.96</v>
      </c>
      <c r="H607" s="118" t="s">
        <v>1600</v>
      </c>
      <c r="I607" s="110"/>
      <c r="J607" s="110"/>
      <c r="K607" s="110"/>
      <c r="L607" s="110"/>
      <c r="M607" s="110"/>
      <c r="N607" s="110"/>
      <c r="O607" s="110"/>
      <c r="P607" s="110"/>
      <c r="Q607" s="277"/>
    </row>
    <row r="608" spans="1:17" ht="14.25" customHeight="1">
      <c r="A608" s="130"/>
      <c r="B608" s="280"/>
      <c r="C608" s="118" t="s">
        <v>1704</v>
      </c>
      <c r="D608" s="110" t="s">
        <v>3101</v>
      </c>
      <c r="E608" s="110"/>
      <c r="F608" s="110"/>
      <c r="G608" s="110"/>
      <c r="H608" s="280"/>
      <c r="I608" s="110"/>
      <c r="J608" s="110"/>
      <c r="K608" s="110"/>
      <c r="L608" s="110"/>
      <c r="M608" s="110"/>
      <c r="N608" s="110"/>
      <c r="O608" s="110"/>
      <c r="P608" s="110"/>
      <c r="Q608" s="277"/>
    </row>
    <row r="609" spans="1:17" ht="14.25" customHeight="1">
      <c r="A609" s="130"/>
      <c r="B609" s="110"/>
      <c r="C609" s="118" t="s">
        <v>1706</v>
      </c>
      <c r="D609" s="110" t="s">
        <v>1707</v>
      </c>
      <c r="E609" s="838">
        <f>J610</f>
        <v>18.240000000000002</v>
      </c>
      <c r="F609" s="838"/>
      <c r="G609" s="110" t="s">
        <v>1708</v>
      </c>
      <c r="H609" s="285"/>
      <c r="I609" s="118"/>
      <c r="J609" s="118"/>
      <c r="K609" s="110"/>
      <c r="L609" s="118"/>
      <c r="M609" s="286"/>
      <c r="N609" s="286"/>
      <c r="O609" s="118"/>
      <c r="P609" s="110"/>
      <c r="Q609" s="277"/>
    </row>
    <row r="610" spans="1:17" ht="14.25" customHeight="1">
      <c r="A610" s="130"/>
      <c r="B610" s="110"/>
      <c r="C610" s="118" t="s">
        <v>1601</v>
      </c>
      <c r="D610" s="110" t="s">
        <v>1709</v>
      </c>
      <c r="E610" s="842">
        <f>G595</f>
        <v>12</v>
      </c>
      <c r="F610" s="842"/>
      <c r="G610" s="118" t="s">
        <v>972</v>
      </c>
      <c r="H610" s="285">
        <f>L604</f>
        <v>1.52</v>
      </c>
      <c r="I610" s="118" t="s">
        <v>380</v>
      </c>
      <c r="J610" s="118">
        <f>E610*H610</f>
        <v>18.240000000000002</v>
      </c>
      <c r="K610" s="118" t="s">
        <v>1600</v>
      </c>
      <c r="L610" s="282"/>
      <c r="M610" s="288"/>
      <c r="N610" s="286"/>
      <c r="O610" s="118"/>
      <c r="P610" s="110"/>
      <c r="Q610" s="277"/>
    </row>
    <row r="611" spans="1:17" ht="14.25" customHeight="1">
      <c r="A611" s="130"/>
      <c r="B611" s="110"/>
      <c r="C611" s="118"/>
      <c r="D611" s="110"/>
      <c r="E611" s="838"/>
      <c r="F611" s="838"/>
      <c r="G611" s="110"/>
      <c r="H611" s="287"/>
      <c r="I611" s="118"/>
      <c r="J611" s="118"/>
      <c r="K611" s="118"/>
      <c r="L611" s="118"/>
      <c r="M611" s="286"/>
      <c r="N611" s="286"/>
      <c r="O611" s="118"/>
      <c r="P611" s="110"/>
      <c r="Q611" s="277"/>
    </row>
    <row r="612" spans="1:17" ht="14.25" customHeight="1">
      <c r="A612" s="130"/>
      <c r="B612" s="110"/>
      <c r="C612" s="118" t="s">
        <v>2110</v>
      </c>
      <c r="D612" s="110" t="s">
        <v>381</v>
      </c>
      <c r="E612" s="840">
        <f>J614</f>
        <v>12</v>
      </c>
      <c r="F612" s="791"/>
      <c r="G612" s="110" t="s">
        <v>382</v>
      </c>
      <c r="H612" s="118"/>
      <c r="I612" s="110"/>
      <c r="J612" s="110"/>
      <c r="K612" s="110"/>
      <c r="L612" s="118"/>
      <c r="M612" s="118"/>
      <c r="N612" s="118"/>
      <c r="O612" s="110"/>
      <c r="P612" s="110"/>
      <c r="Q612" s="277"/>
    </row>
    <row r="613" spans="1:17" ht="14.25" customHeight="1">
      <c r="A613" s="130"/>
      <c r="B613" s="110"/>
      <c r="C613" s="280" t="s">
        <v>2111</v>
      </c>
      <c r="D613" s="118">
        <f>H592</f>
        <v>1</v>
      </c>
      <c r="E613" s="118" t="s">
        <v>300</v>
      </c>
      <c r="F613" s="118">
        <f>K592</f>
        <v>10</v>
      </c>
      <c r="G613" s="110" t="s">
        <v>383</v>
      </c>
      <c r="H613" s="118">
        <f>H592</f>
        <v>1</v>
      </c>
      <c r="I613" s="118" t="s">
        <v>300</v>
      </c>
      <c r="J613" s="118">
        <f>O592</f>
        <v>10</v>
      </c>
      <c r="K613" s="118" t="s">
        <v>304</v>
      </c>
      <c r="L613" s="118"/>
      <c r="M613" s="118"/>
      <c r="N613" s="118"/>
      <c r="O613" s="110"/>
      <c r="P613" s="110"/>
      <c r="Q613" s="277"/>
    </row>
    <row r="614" spans="1:17" ht="14.25" customHeight="1">
      <c r="A614" s="130"/>
      <c r="B614" s="110"/>
      <c r="C614" s="118"/>
      <c r="D614" s="280" t="s">
        <v>1582</v>
      </c>
      <c r="E614" s="791">
        <f>(D613/F613)+(H613/J613)</f>
        <v>0.2</v>
      </c>
      <c r="F614" s="791"/>
      <c r="G614" s="110" t="s">
        <v>384</v>
      </c>
      <c r="H614" s="118">
        <v>60</v>
      </c>
      <c r="I614" s="118" t="s">
        <v>1582</v>
      </c>
      <c r="J614" s="283">
        <f>TRUNC(E614*H614,2)</f>
        <v>12</v>
      </c>
      <c r="K614" s="286" t="s">
        <v>1600</v>
      </c>
      <c r="L614" s="110"/>
      <c r="M614" s="110"/>
      <c r="N614" s="118"/>
      <c r="O614" s="110"/>
      <c r="P614" s="110"/>
      <c r="Q614" s="277"/>
    </row>
    <row r="615" spans="1:17" ht="14.25" customHeight="1">
      <c r="A615" s="130"/>
      <c r="B615" s="110"/>
      <c r="C615" s="118" t="s">
        <v>2113</v>
      </c>
      <c r="D615" s="110" t="s">
        <v>385</v>
      </c>
      <c r="E615" s="840">
        <v>0.8</v>
      </c>
      <c r="F615" s="840"/>
      <c r="G615" s="110" t="s">
        <v>386</v>
      </c>
      <c r="H615" s="118"/>
      <c r="I615" s="110"/>
      <c r="J615" s="118"/>
      <c r="K615" s="110"/>
      <c r="L615" s="110"/>
      <c r="M615" s="110"/>
      <c r="N615" s="110"/>
      <c r="O615" s="110"/>
      <c r="P615" s="110"/>
      <c r="Q615" s="277"/>
    </row>
    <row r="616" spans="1:17" ht="14.25" customHeight="1">
      <c r="A616" s="130"/>
      <c r="B616" s="110"/>
      <c r="C616" s="118" t="s">
        <v>2114</v>
      </c>
      <c r="D616" s="110" t="s">
        <v>387</v>
      </c>
      <c r="E616" s="791">
        <v>0.42</v>
      </c>
      <c r="F616" s="791"/>
      <c r="G616" s="110" t="s">
        <v>388</v>
      </c>
      <c r="H616" s="118"/>
      <c r="I616" s="110"/>
      <c r="J616" s="110"/>
      <c r="K616" s="110"/>
      <c r="L616" s="110"/>
      <c r="M616" s="118"/>
      <c r="N616" s="118"/>
      <c r="O616" s="110"/>
      <c r="P616" s="110"/>
      <c r="Q616" s="277"/>
    </row>
    <row r="617" spans="1:17" ht="14.25" customHeight="1">
      <c r="A617" s="130"/>
      <c r="B617" s="110"/>
      <c r="C617" s="118" t="s">
        <v>3102</v>
      </c>
      <c r="D617" s="110" t="s">
        <v>389</v>
      </c>
      <c r="E617" s="791">
        <v>0.5</v>
      </c>
      <c r="F617" s="791"/>
      <c r="G617" s="110" t="s">
        <v>390</v>
      </c>
      <c r="H617" s="110"/>
      <c r="I617" s="110"/>
      <c r="J617" s="110"/>
      <c r="K617" s="110"/>
      <c r="L617" s="110"/>
      <c r="M617" s="110"/>
      <c r="N617" s="110"/>
      <c r="O617" s="110"/>
      <c r="P617" s="110"/>
      <c r="Q617" s="277"/>
    </row>
    <row r="618" spans="1:17" ht="14.25" customHeight="1">
      <c r="A618" s="130"/>
      <c r="B618" s="110"/>
      <c r="C618" s="118"/>
      <c r="D618" s="118" t="s">
        <v>1454</v>
      </c>
      <c r="E618" s="840">
        <f>TRUNC(E609+E612+E615+E616+E617,2)</f>
        <v>31.96</v>
      </c>
      <c r="F618" s="840"/>
      <c r="G618" s="110" t="s">
        <v>1600</v>
      </c>
      <c r="H618" s="110"/>
      <c r="I618" s="110"/>
      <c r="J618" s="110"/>
      <c r="K618" s="110"/>
      <c r="L618" s="110"/>
      <c r="M618" s="110"/>
      <c r="N618" s="110"/>
      <c r="O618" s="110"/>
      <c r="P618" s="110"/>
      <c r="Q618" s="277"/>
    </row>
    <row r="619" spans="1:17" ht="14.25" customHeight="1">
      <c r="A619" s="130"/>
      <c r="B619" s="110"/>
      <c r="C619" s="118"/>
      <c r="D619" s="118"/>
      <c r="E619" s="286"/>
      <c r="F619" s="286"/>
      <c r="G619" s="110"/>
      <c r="H619" s="110"/>
      <c r="I619" s="110"/>
      <c r="J619" s="110"/>
      <c r="K619" s="110"/>
      <c r="L619" s="110"/>
      <c r="M619" s="110"/>
      <c r="N619" s="110"/>
      <c r="O619" s="110"/>
      <c r="P619" s="110"/>
      <c r="Q619" s="277"/>
    </row>
    <row r="620" spans="1:17" ht="14.25" customHeight="1">
      <c r="A620" s="130"/>
      <c r="B620" s="118"/>
      <c r="C620" s="118"/>
      <c r="D620" s="110"/>
      <c r="E620" s="118"/>
      <c r="F620" s="110"/>
      <c r="G620" s="110"/>
      <c r="H620" s="110"/>
      <c r="I620" s="110"/>
      <c r="J620" s="110"/>
      <c r="K620" s="110"/>
      <c r="L620" s="110"/>
      <c r="M620" s="110"/>
      <c r="N620" s="110"/>
      <c r="O620" s="110"/>
      <c r="P620" s="110"/>
      <c r="Q620" s="277"/>
    </row>
    <row r="621" spans="1:17" ht="14.25" customHeight="1">
      <c r="A621" s="130" t="s">
        <v>391</v>
      </c>
      <c r="B621" s="110" t="s">
        <v>392</v>
      </c>
      <c r="C621" s="118"/>
      <c r="D621" s="110"/>
      <c r="E621" s="118"/>
      <c r="F621" s="110"/>
      <c r="G621" s="110"/>
      <c r="H621" s="110"/>
      <c r="I621" s="110"/>
      <c r="J621" s="110"/>
      <c r="K621" s="110"/>
      <c r="L621" s="110"/>
      <c r="M621" s="110"/>
      <c r="N621" s="110"/>
      <c r="O621" s="110"/>
      <c r="P621" s="110"/>
      <c r="Q621" s="277"/>
    </row>
    <row r="622" spans="1:17" ht="14.25" customHeight="1">
      <c r="A622" s="130"/>
      <c r="B622" s="118"/>
      <c r="C622" s="118"/>
      <c r="D622" s="110"/>
      <c r="E622" s="118"/>
      <c r="F622" s="110"/>
      <c r="G622" s="110"/>
      <c r="H622" s="110"/>
      <c r="I622" s="110"/>
      <c r="J622" s="110"/>
      <c r="K622" s="110"/>
      <c r="L622" s="110"/>
      <c r="M622" s="110"/>
      <c r="N622" s="110"/>
      <c r="O622" s="110"/>
      <c r="P622" s="110"/>
      <c r="Q622" s="277"/>
    </row>
    <row r="623" spans="1:17" ht="14.25" customHeight="1">
      <c r="A623" s="130"/>
      <c r="B623" s="280"/>
      <c r="C623" s="110"/>
      <c r="D623" s="110"/>
      <c r="E623" s="110"/>
      <c r="F623" s="110"/>
      <c r="G623" s="110"/>
      <c r="H623" s="110"/>
      <c r="I623" s="110"/>
      <c r="J623" s="110"/>
      <c r="K623" s="110"/>
      <c r="L623" s="110"/>
      <c r="M623" s="110"/>
      <c r="N623" s="110"/>
      <c r="O623" s="110"/>
      <c r="P623" s="110"/>
      <c r="Q623" s="277"/>
    </row>
    <row r="624" spans="1:17" ht="14.25" customHeight="1">
      <c r="A624" s="841"/>
      <c r="B624" s="791" t="s">
        <v>1111</v>
      </c>
      <c r="C624" s="791" t="s">
        <v>1582</v>
      </c>
      <c r="D624" s="280" t="s">
        <v>393</v>
      </c>
      <c r="E624" s="318">
        <f>G605</f>
        <v>0.71</v>
      </c>
      <c r="F624" s="118" t="s">
        <v>972</v>
      </c>
      <c r="G624" s="282">
        <f>L604</f>
        <v>1.52</v>
      </c>
      <c r="H624" s="118" t="s">
        <v>972</v>
      </c>
      <c r="I624" s="118">
        <f>G606</f>
        <v>0.9</v>
      </c>
      <c r="J624" s="791" t="s">
        <v>1582</v>
      </c>
      <c r="K624" s="837">
        <f>TRUNC(E624*G624*I624*60,3)</f>
        <v>58.276000000000003</v>
      </c>
      <c r="L624" s="837"/>
      <c r="M624" s="791" t="s">
        <v>1582</v>
      </c>
      <c r="N624" s="838">
        <f>TRUNC(K624/K625,2)</f>
        <v>1.82</v>
      </c>
      <c r="O624" s="838"/>
      <c r="P624" s="110" t="s">
        <v>301</v>
      </c>
      <c r="Q624" s="277"/>
    </row>
    <row r="625" spans="1:18" ht="14.25" customHeight="1">
      <c r="A625" s="841"/>
      <c r="B625" s="791"/>
      <c r="C625" s="791"/>
      <c r="D625" s="839">
        <f>G607</f>
        <v>31.96</v>
      </c>
      <c r="E625" s="839"/>
      <c r="F625" s="839"/>
      <c r="G625" s="839"/>
      <c r="H625" s="839"/>
      <c r="I625" s="839"/>
      <c r="J625" s="791"/>
      <c r="K625" s="839">
        <f>D625</f>
        <v>31.96</v>
      </c>
      <c r="L625" s="839"/>
      <c r="M625" s="791"/>
      <c r="N625" s="838"/>
      <c r="O625" s="838"/>
      <c r="P625" s="110"/>
      <c r="Q625" s="277" t="s">
        <v>394</v>
      </c>
    </row>
    <row r="626" spans="1:18" ht="14.25" customHeight="1">
      <c r="A626" s="130"/>
      <c r="B626" s="110"/>
      <c r="C626" s="110"/>
      <c r="D626" s="110"/>
      <c r="E626" s="110"/>
      <c r="F626" s="110"/>
      <c r="G626" s="110"/>
      <c r="H626" s="110"/>
      <c r="I626" s="110"/>
      <c r="J626" s="110"/>
      <c r="K626" s="110"/>
      <c r="L626" s="110"/>
      <c r="M626" s="110"/>
      <c r="N626" s="110"/>
      <c r="O626" s="110"/>
      <c r="P626" s="110"/>
      <c r="Q626" s="277"/>
    </row>
    <row r="627" spans="1:18" ht="14.25" customHeight="1">
      <c r="A627" s="130"/>
      <c r="B627" s="110"/>
      <c r="C627" s="110"/>
      <c r="D627" s="110"/>
      <c r="E627" s="110"/>
      <c r="F627" s="110"/>
      <c r="G627" s="110"/>
      <c r="H627" s="110"/>
      <c r="I627" s="110"/>
      <c r="J627" s="110"/>
      <c r="K627" s="110"/>
      <c r="L627" s="110"/>
      <c r="M627" s="110"/>
      <c r="N627" s="110"/>
      <c r="O627" s="110"/>
      <c r="P627" s="110"/>
      <c r="Q627" s="277"/>
    </row>
    <row r="628" spans="1:18" ht="14.25" customHeight="1">
      <c r="A628" s="130"/>
      <c r="B628" s="110"/>
      <c r="C628" s="110"/>
      <c r="D628" s="110" t="s">
        <v>395</v>
      </c>
      <c r="E628" s="110"/>
      <c r="F628" s="835">
        <f>중기사용료!$M$473</f>
        <v>4461</v>
      </c>
      <c r="G628" s="835"/>
      <c r="H628" s="286" t="s">
        <v>975</v>
      </c>
      <c r="I628" s="118" t="s">
        <v>300</v>
      </c>
      <c r="J628" s="282">
        <f>N624</f>
        <v>1.82</v>
      </c>
      <c r="K628" s="282" t="s">
        <v>972</v>
      </c>
      <c r="L628" s="289" t="str">
        <f>(E612+E615+E616+E617)&amp;"/"&amp;G607</f>
        <v>13.72/31.96</v>
      </c>
      <c r="M628" s="118" t="s">
        <v>1582</v>
      </c>
      <c r="N628" s="836">
        <f>F628/J628*(E612+E615+E616+E617)/G607</f>
        <v>1052.223933763358</v>
      </c>
      <c r="O628" s="836"/>
      <c r="P628" s="836"/>
      <c r="Q628" s="277" t="s">
        <v>975</v>
      </c>
    </row>
    <row r="629" spans="1:18" ht="14.25" customHeight="1">
      <c r="A629" s="130"/>
      <c r="B629" s="110"/>
      <c r="C629" s="118"/>
      <c r="D629" s="110"/>
      <c r="E629" s="290"/>
      <c r="F629" s="291"/>
      <c r="G629" s="291"/>
      <c r="H629" s="118"/>
      <c r="I629" s="110"/>
      <c r="J629" s="118"/>
      <c r="K629" s="285"/>
      <c r="L629" s="121"/>
      <c r="M629" s="118"/>
      <c r="N629" s="160"/>
      <c r="O629" s="110"/>
      <c r="P629" s="110"/>
      <c r="Q629" s="277"/>
    </row>
    <row r="630" spans="1:18" ht="14.25" customHeight="1">
      <c r="A630" s="130"/>
      <c r="B630" s="110"/>
      <c r="C630" s="110"/>
      <c r="D630" s="110" t="s">
        <v>396</v>
      </c>
      <c r="E630" s="110"/>
      <c r="F630" s="835">
        <f>중기사용료!$M$467</f>
        <v>24483</v>
      </c>
      <c r="G630" s="835"/>
      <c r="H630" s="286" t="s">
        <v>975</v>
      </c>
      <c r="I630" s="118" t="s">
        <v>300</v>
      </c>
      <c r="J630" s="282">
        <f>N624</f>
        <v>1.82</v>
      </c>
      <c r="K630" s="282" t="s">
        <v>397</v>
      </c>
      <c r="L630" s="33">
        <f>I596</f>
        <v>11942</v>
      </c>
      <c r="M630" s="118" t="s">
        <v>1582</v>
      </c>
      <c r="N630" s="836">
        <f>TRUNC(F630/J630+L630)</f>
        <v>25394</v>
      </c>
      <c r="O630" s="836"/>
      <c r="P630" s="836"/>
      <c r="Q630" s="277" t="s">
        <v>975</v>
      </c>
    </row>
    <row r="631" spans="1:18" ht="14.25" customHeight="1">
      <c r="A631" s="130"/>
      <c r="B631" s="110"/>
      <c r="C631" s="118"/>
      <c r="D631" s="110"/>
      <c r="E631" s="290"/>
      <c r="F631" s="291"/>
      <c r="G631" s="291"/>
      <c r="H631" s="118"/>
      <c r="I631" s="110"/>
      <c r="J631" s="118"/>
      <c r="K631" s="285"/>
      <c r="L631" s="121"/>
      <c r="M631" s="118"/>
      <c r="N631" s="160"/>
      <c r="O631" s="110"/>
      <c r="P631" s="110"/>
      <c r="Q631" s="277"/>
    </row>
    <row r="632" spans="1:18" ht="14.25" customHeight="1">
      <c r="A632" s="130"/>
      <c r="B632" s="110"/>
      <c r="C632" s="110"/>
      <c r="D632" s="110" t="s">
        <v>398</v>
      </c>
      <c r="E632" s="110"/>
      <c r="F632" s="835">
        <f>중기사용료!$M$461</f>
        <v>5567</v>
      </c>
      <c r="G632" s="835"/>
      <c r="H632" s="118" t="s">
        <v>975</v>
      </c>
      <c r="I632" s="118" t="s">
        <v>300</v>
      </c>
      <c r="J632" s="282">
        <f>N624</f>
        <v>1.82</v>
      </c>
      <c r="K632" s="282" t="s">
        <v>1582</v>
      </c>
      <c r="L632" s="121">
        <f>TRUNC(F632/J632)</f>
        <v>3058</v>
      </c>
      <c r="M632" s="121" t="s">
        <v>975</v>
      </c>
      <c r="N632" s="160"/>
      <c r="O632" s="110"/>
      <c r="P632" s="110"/>
      <c r="Q632" s="277"/>
      <c r="R632" s="272" t="s">
        <v>1436</v>
      </c>
    </row>
    <row r="633" spans="1:18" ht="14.25" customHeight="1">
      <c r="A633" s="130"/>
      <c r="B633" s="110"/>
      <c r="C633" s="118"/>
      <c r="D633" s="110"/>
      <c r="E633" s="110"/>
      <c r="F633" s="110"/>
      <c r="G633" s="110"/>
      <c r="H633" s="110"/>
      <c r="I633" s="110"/>
      <c r="J633" s="110"/>
      <c r="K633" s="110"/>
      <c r="L633" s="110"/>
      <c r="M633" s="118"/>
      <c r="N633" s="291"/>
      <c r="O633" s="110"/>
      <c r="P633" s="110"/>
      <c r="Q633" s="277"/>
    </row>
    <row r="634" spans="1:18" s="302" customFormat="1" ht="14.25" customHeight="1">
      <c r="A634" s="162"/>
      <c r="B634" s="164"/>
      <c r="C634" s="164"/>
      <c r="D634" s="164"/>
      <c r="E634" s="164"/>
      <c r="F634" s="299"/>
      <c r="G634" s="299"/>
      <c r="H634" s="299"/>
      <c r="I634" s="165"/>
      <c r="J634" s="164"/>
      <c r="K634" s="165" t="s">
        <v>1454</v>
      </c>
      <c r="L634" s="292">
        <f>SUM(N628,N630,L632)</f>
        <v>29504.223933763358</v>
      </c>
      <c r="M634" s="164" t="s">
        <v>975</v>
      </c>
      <c r="N634" s="300"/>
      <c r="O634" s="300"/>
      <c r="P634" s="164"/>
      <c r="Q634" s="301"/>
      <c r="R634" s="272"/>
    </row>
    <row r="635" spans="1:18" ht="14.25" customHeight="1">
      <c r="A635" s="130"/>
      <c r="B635" s="110"/>
      <c r="C635" s="110"/>
      <c r="D635" s="110"/>
      <c r="E635" s="110"/>
      <c r="F635" s="110"/>
      <c r="G635" s="110"/>
      <c r="H635" s="110"/>
      <c r="I635" s="110"/>
      <c r="J635" s="110"/>
      <c r="K635" s="110"/>
      <c r="L635" s="110"/>
      <c r="M635" s="110"/>
      <c r="N635" s="110"/>
      <c r="O635" s="110"/>
      <c r="P635" s="110"/>
      <c r="Q635" s="277"/>
    </row>
    <row r="636" spans="1:18" ht="14.25" customHeight="1">
      <c r="A636" s="135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293"/>
    </row>
    <row r="637" spans="1:18" ht="14.25" customHeight="1">
      <c r="A637" s="294"/>
      <c r="C637" s="295"/>
      <c r="D637" s="295"/>
      <c r="E637" s="296"/>
      <c r="F637" s="296"/>
      <c r="G637" s="297"/>
      <c r="H637" s="296"/>
      <c r="I637" s="296"/>
      <c r="J637" s="296"/>
      <c r="K637" s="296"/>
      <c r="L637" s="298"/>
      <c r="M637" s="294"/>
      <c r="N637" s="294"/>
    </row>
    <row r="638" spans="1:18" s="265" customFormat="1" ht="14.25" customHeight="1">
      <c r="A638" s="306"/>
      <c r="B638" s="262" t="s">
        <v>3307</v>
      </c>
      <c r="C638" s="262"/>
      <c r="D638" s="262"/>
      <c r="E638" s="262"/>
      <c r="F638" s="262"/>
      <c r="G638" s="262"/>
      <c r="H638" s="263" t="s">
        <v>3303</v>
      </c>
      <c r="I638" s="263">
        <v>4.5</v>
      </c>
      <c r="J638" s="262" t="s">
        <v>3304</v>
      </c>
      <c r="K638" s="262" t="s">
        <v>3309</v>
      </c>
      <c r="L638" s="262"/>
      <c r="M638" s="262"/>
      <c r="N638" s="262"/>
      <c r="O638" s="261"/>
      <c r="P638" s="261"/>
      <c r="Q638" s="264"/>
      <c r="R638" s="265" t="s">
        <v>3306</v>
      </c>
    </row>
    <row r="639" spans="1:18" ht="14.25" customHeight="1">
      <c r="A639" s="266"/>
      <c r="B639" s="126"/>
      <c r="C639" s="126"/>
      <c r="D639" s="126"/>
      <c r="E639" s="267"/>
      <c r="F639" s="267"/>
      <c r="G639" s="268"/>
      <c r="H639" s="267"/>
      <c r="I639" s="267"/>
      <c r="J639" s="267"/>
      <c r="K639" s="267"/>
      <c r="L639" s="269"/>
      <c r="M639" s="270"/>
      <c r="N639" s="270"/>
      <c r="O639" s="126"/>
      <c r="P639" s="126"/>
      <c r="Q639" s="271"/>
    </row>
    <row r="640" spans="1:18" ht="14.25" customHeight="1">
      <c r="A640" s="273"/>
      <c r="B640" s="110" t="s">
        <v>1592</v>
      </c>
      <c r="C640" s="33" t="s">
        <v>1593</v>
      </c>
      <c r="D640" s="274"/>
      <c r="E640" s="275"/>
      <c r="F640" s="275"/>
      <c r="G640" s="121"/>
      <c r="H640" s="275"/>
      <c r="I640" s="275"/>
      <c r="J640" s="275"/>
      <c r="K640" s="275"/>
      <c r="L640" s="33"/>
      <c r="M640" s="276"/>
      <c r="N640" s="276"/>
      <c r="O640" s="110"/>
      <c r="P640" s="110"/>
      <c r="Q640" s="277"/>
    </row>
    <row r="641" spans="1:17" ht="14.25" customHeight="1">
      <c r="A641" s="273"/>
      <c r="B641" s="118" t="s">
        <v>2267</v>
      </c>
      <c r="C641" s="110" t="s">
        <v>1422</v>
      </c>
      <c r="D641" s="110"/>
      <c r="E641" s="110"/>
      <c r="F641" s="110"/>
      <c r="G641" s="275" t="s">
        <v>1594</v>
      </c>
      <c r="H641" s="275">
        <v>1</v>
      </c>
      <c r="I641" s="275" t="s">
        <v>1595</v>
      </c>
      <c r="J641" s="274" t="s">
        <v>1596</v>
      </c>
      <c r="K641" s="110">
        <v>10</v>
      </c>
      <c r="L641" s="110" t="s">
        <v>1595</v>
      </c>
      <c r="M641" s="33" t="s">
        <v>1597</v>
      </c>
      <c r="N641" s="118"/>
      <c r="O641" s="110">
        <v>10</v>
      </c>
      <c r="P641" s="275" t="s">
        <v>1595</v>
      </c>
      <c r="Q641" s="277"/>
    </row>
    <row r="642" spans="1:17" ht="14.25" customHeight="1">
      <c r="A642" s="273"/>
      <c r="B642" s="118"/>
      <c r="C642" s="110"/>
      <c r="D642" s="110"/>
      <c r="E642" s="110"/>
      <c r="F642" s="110"/>
      <c r="G642" s="275"/>
      <c r="H642" s="275"/>
      <c r="I642" s="275"/>
      <c r="J642" s="274"/>
      <c r="K642" s="110"/>
      <c r="L642" s="110"/>
      <c r="M642" s="33"/>
      <c r="N642" s="118"/>
      <c r="O642" s="110"/>
      <c r="P642" s="275"/>
      <c r="Q642" s="277"/>
    </row>
    <row r="643" spans="1:17" ht="14.25" customHeight="1">
      <c r="A643" s="273"/>
      <c r="B643" s="118"/>
      <c r="C643" s="110"/>
      <c r="D643" s="110"/>
      <c r="E643" s="110"/>
      <c r="F643" s="110"/>
      <c r="G643" s="275"/>
      <c r="H643" s="275"/>
      <c r="I643" s="275"/>
      <c r="J643" s="274"/>
      <c r="K643" s="110"/>
      <c r="L643" s="110"/>
      <c r="M643" s="33"/>
      <c r="N643" s="118"/>
      <c r="O643" s="110"/>
      <c r="P643" s="275"/>
      <c r="Q643" s="277"/>
    </row>
    <row r="644" spans="1:17" ht="14.25" customHeight="1">
      <c r="A644" s="273"/>
      <c r="B644" s="110"/>
      <c r="C644" s="274"/>
      <c r="D644" s="274"/>
      <c r="E644" s="275"/>
      <c r="F644" s="275"/>
      <c r="G644" s="121"/>
      <c r="H644" s="275"/>
      <c r="I644" s="275"/>
      <c r="J644" s="275"/>
      <c r="K644" s="275"/>
      <c r="L644" s="33"/>
      <c r="M644" s="276"/>
      <c r="N644" s="276"/>
      <c r="O644" s="110"/>
      <c r="P644" s="110"/>
      <c r="Q644" s="277"/>
    </row>
    <row r="645" spans="1:17" ht="14.25" customHeight="1">
      <c r="A645" s="273"/>
      <c r="B645" s="118" t="s">
        <v>1598</v>
      </c>
      <c r="C645" s="110" t="str">
        <f>"상차비 - "&amp; G645&amp;" 인 1조 작업 :"</f>
        <v>상차비 - 5 인 1조 작업 :</v>
      </c>
      <c r="D645" s="110"/>
      <c r="E645" s="110"/>
      <c r="F645" s="110"/>
      <c r="G645" s="275">
        <v>5</v>
      </c>
      <c r="H645" s="278" t="s">
        <v>1163</v>
      </c>
      <c r="I645" s="275" t="s">
        <v>1162</v>
      </c>
      <c r="J645" s="274"/>
      <c r="K645" s="110"/>
      <c r="L645" s="110"/>
      <c r="M645" s="33"/>
      <c r="N645" s="118"/>
      <c r="O645" s="110"/>
      <c r="P645" s="275"/>
      <c r="Q645" s="277"/>
    </row>
    <row r="646" spans="1:17" ht="14.25" customHeight="1">
      <c r="A646" s="273"/>
      <c r="B646" s="110"/>
      <c r="C646" s="274"/>
      <c r="D646" s="33" t="s">
        <v>1599</v>
      </c>
      <c r="E646" s="275"/>
      <c r="F646" s="275"/>
      <c r="G646" s="121">
        <v>12</v>
      </c>
      <c r="H646" s="278" t="s">
        <v>1600</v>
      </c>
      <c r="I646" s="275"/>
      <c r="J646" s="275"/>
      <c r="K646" s="275"/>
      <c r="L646" s="33"/>
      <c r="M646" s="276"/>
      <c r="N646" s="276"/>
      <c r="O646" s="110"/>
      <c r="P646" s="110"/>
      <c r="Q646" s="277"/>
    </row>
    <row r="647" spans="1:17" ht="14.25" customHeight="1">
      <c r="A647" s="273"/>
      <c r="B647" s="110"/>
      <c r="C647" s="274" t="s">
        <v>1601</v>
      </c>
      <c r="D647" s="279" t="str">
        <f>G646&amp;"/450×"</f>
        <v>12/450×</v>
      </c>
      <c r="E647" s="275">
        <f>G645</f>
        <v>5</v>
      </c>
      <c r="F647" s="275" t="s">
        <v>972</v>
      </c>
      <c r="G647" s="121">
        <f>SUMIF('노임(2015)'!$B$4:$B$87,I645,'노임(2015)'!$C$4:$C$87)+SUMIF('노임(2015)'!$E$4:$E$87,I645,'노임(2015)'!$F$4:$F$87)</f>
        <v>89566</v>
      </c>
      <c r="H647" s="275" t="s">
        <v>1582</v>
      </c>
      <c r="I647" s="836">
        <f>TRUNC(G646/450*G645*G647)</f>
        <v>11942</v>
      </c>
      <c r="J647" s="836"/>
      <c r="K647" s="276" t="s">
        <v>1602</v>
      </c>
      <c r="L647" s="33"/>
      <c r="M647" s="276"/>
      <c r="N647" s="276"/>
      <c r="O647" s="110"/>
      <c r="P647" s="110"/>
      <c r="Q647" s="277"/>
    </row>
    <row r="648" spans="1:17" ht="14.25" customHeight="1">
      <c r="A648" s="130"/>
      <c r="B648" s="118"/>
      <c r="C648" s="118"/>
      <c r="D648" s="118"/>
      <c r="E648" s="118"/>
      <c r="F648" s="118"/>
      <c r="G648" s="110"/>
      <c r="H648" s="110"/>
      <c r="I648" s="110"/>
      <c r="J648" s="110"/>
      <c r="K648" s="110"/>
      <c r="L648" s="110"/>
      <c r="M648" s="110"/>
      <c r="N648" s="110"/>
      <c r="O648" s="110"/>
      <c r="P648" s="110"/>
      <c r="Q648" s="277"/>
    </row>
    <row r="649" spans="1:17" ht="14.25" customHeight="1">
      <c r="A649" s="130"/>
      <c r="B649" s="110" t="s">
        <v>1592</v>
      </c>
      <c r="C649" s="110" t="s">
        <v>1198</v>
      </c>
      <c r="D649" s="110"/>
      <c r="E649" s="110"/>
      <c r="F649" s="110"/>
      <c r="G649" s="110"/>
      <c r="H649" s="110" t="s">
        <v>1603</v>
      </c>
      <c r="I649" s="110"/>
      <c r="J649" s="118">
        <v>2.2999999999999998</v>
      </c>
      <c r="K649" s="110" t="s">
        <v>1805</v>
      </c>
      <c r="L649" s="110"/>
      <c r="M649" s="110"/>
      <c r="N649" s="110"/>
      <c r="O649" s="110"/>
      <c r="P649" s="110"/>
      <c r="Q649" s="277"/>
    </row>
    <row r="650" spans="1:17" ht="14.25" customHeight="1">
      <c r="A650" s="130"/>
      <c r="B650" s="110"/>
      <c r="C650" s="110"/>
      <c r="D650" s="110"/>
      <c r="E650" s="110"/>
      <c r="F650" s="110"/>
      <c r="G650" s="110"/>
      <c r="H650" s="110"/>
      <c r="I650" s="110"/>
      <c r="J650" s="110"/>
      <c r="K650" s="110"/>
      <c r="L650" s="110"/>
      <c r="M650" s="110"/>
      <c r="N650" s="110"/>
      <c r="O650" s="110"/>
      <c r="P650" s="110"/>
      <c r="Q650" s="277"/>
    </row>
    <row r="651" spans="1:17" ht="14.25" customHeight="1">
      <c r="A651" s="130"/>
      <c r="B651" s="118"/>
      <c r="C651" s="791" t="s">
        <v>1806</v>
      </c>
      <c r="D651" s="791" t="s">
        <v>1807</v>
      </c>
      <c r="E651" s="791"/>
      <c r="F651" s="791"/>
      <c r="G651" s="110"/>
      <c r="H651" s="110"/>
      <c r="I651" s="110"/>
      <c r="J651" s="110"/>
      <c r="K651" s="110"/>
      <c r="L651" s="110"/>
      <c r="M651" s="110"/>
      <c r="N651" s="110"/>
      <c r="O651" s="110"/>
      <c r="P651" s="110"/>
      <c r="Q651" s="277"/>
    </row>
    <row r="652" spans="1:17" ht="14.25" customHeight="1">
      <c r="A652" s="130"/>
      <c r="B652" s="118"/>
      <c r="C652" s="791"/>
      <c r="D652" s="843" t="s">
        <v>1583</v>
      </c>
      <c r="E652" s="843"/>
      <c r="F652" s="843"/>
      <c r="G652" s="110"/>
      <c r="H652" s="110"/>
      <c r="I652" s="110"/>
      <c r="J652" s="110"/>
      <c r="K652" s="110"/>
      <c r="L652" s="110"/>
      <c r="M652" s="110"/>
      <c r="N652" s="110"/>
      <c r="O652" s="110"/>
      <c r="P652" s="110"/>
      <c r="Q652" s="277"/>
    </row>
    <row r="653" spans="1:17" ht="14.25" customHeight="1">
      <c r="A653" s="130"/>
      <c r="B653" s="110"/>
      <c r="C653" s="110"/>
      <c r="D653" s="110"/>
      <c r="E653" s="110"/>
      <c r="F653" s="110"/>
      <c r="G653" s="110"/>
      <c r="H653" s="110"/>
      <c r="I653" s="110"/>
      <c r="J653" s="110"/>
      <c r="K653" s="110"/>
      <c r="L653" s="110"/>
      <c r="M653" s="110"/>
      <c r="N653" s="110"/>
      <c r="O653" s="110"/>
      <c r="P653" s="110"/>
      <c r="Q653" s="277"/>
    </row>
    <row r="654" spans="1:17" ht="14.25" customHeight="1">
      <c r="A654" s="130"/>
      <c r="B654" s="280"/>
      <c r="C654" s="118" t="s">
        <v>1808</v>
      </c>
      <c r="D654" s="110" t="s">
        <v>1809</v>
      </c>
      <c r="E654" s="110"/>
      <c r="F654" s="110"/>
      <c r="G654" s="118"/>
      <c r="H654" s="280"/>
      <c r="I654" s="118"/>
      <c r="J654" s="110"/>
      <c r="K654" s="110"/>
      <c r="L654" s="110"/>
      <c r="M654" s="110"/>
      <c r="N654" s="110"/>
      <c r="O654" s="110"/>
      <c r="P654" s="110"/>
      <c r="Q654" s="277"/>
    </row>
    <row r="655" spans="1:17" ht="14.25" customHeight="1">
      <c r="A655" s="130"/>
      <c r="B655" s="280"/>
      <c r="C655" s="118" t="s">
        <v>298</v>
      </c>
      <c r="D655" s="110" t="s">
        <v>299</v>
      </c>
      <c r="E655" s="118" t="s">
        <v>1526</v>
      </c>
      <c r="F655" s="281">
        <f>I638</f>
        <v>4.5</v>
      </c>
      <c r="G655" s="118" t="s">
        <v>300</v>
      </c>
      <c r="H655" s="118">
        <f>J649</f>
        <v>2.2999999999999998</v>
      </c>
      <c r="I655" s="118" t="s">
        <v>972</v>
      </c>
      <c r="J655" s="118">
        <v>1.4</v>
      </c>
      <c r="K655" s="118" t="s">
        <v>1582</v>
      </c>
      <c r="L655" s="282">
        <f>TRUNC(F655/H655*J655,2)</f>
        <v>2.73</v>
      </c>
      <c r="M655" s="118" t="s">
        <v>301</v>
      </c>
      <c r="N655" s="110"/>
      <c r="O655" s="110"/>
      <c r="P655" s="110"/>
      <c r="Q655" s="277"/>
    </row>
    <row r="656" spans="1:17" ht="14.25" customHeight="1">
      <c r="A656" s="130"/>
      <c r="B656" s="280"/>
      <c r="C656" s="118" t="s">
        <v>399</v>
      </c>
      <c r="D656" s="110" t="s">
        <v>1156</v>
      </c>
      <c r="E656" s="110"/>
      <c r="F656" s="118" t="s">
        <v>1526</v>
      </c>
      <c r="G656" s="283">
        <f>TRUNC(1/J656,2)</f>
        <v>0.71</v>
      </c>
      <c r="H656" s="280" t="s">
        <v>303</v>
      </c>
      <c r="I656" s="118" t="s">
        <v>300</v>
      </c>
      <c r="J656" s="118">
        <f>J655</f>
        <v>1.4</v>
      </c>
      <c r="K656" s="284" t="s">
        <v>304</v>
      </c>
      <c r="L656" s="110"/>
      <c r="M656" s="110"/>
      <c r="N656" s="110"/>
      <c r="O656" s="110"/>
      <c r="P656" s="110"/>
      <c r="Q656" s="277"/>
    </row>
    <row r="657" spans="1:17" ht="14.25" customHeight="1">
      <c r="A657" s="130"/>
      <c r="B657" s="280"/>
      <c r="C657" s="118" t="s">
        <v>1703</v>
      </c>
      <c r="D657" s="110" t="s">
        <v>1207</v>
      </c>
      <c r="E657" s="110"/>
      <c r="F657" s="118" t="s">
        <v>1526</v>
      </c>
      <c r="G657" s="118">
        <v>0.9</v>
      </c>
      <c r="H657" s="280"/>
      <c r="I657" s="110"/>
      <c r="J657" s="110"/>
      <c r="K657" s="110"/>
      <c r="L657" s="110"/>
      <c r="M657" s="110"/>
      <c r="N657" s="110"/>
      <c r="O657" s="110"/>
      <c r="P657" s="110"/>
      <c r="Q657" s="277"/>
    </row>
    <row r="658" spans="1:17" ht="14.25" customHeight="1">
      <c r="A658" s="130"/>
      <c r="B658" s="280"/>
      <c r="C658" s="118" t="s">
        <v>1704</v>
      </c>
      <c r="D658" s="110" t="s">
        <v>1705</v>
      </c>
      <c r="E658" s="110"/>
      <c r="F658" s="118"/>
      <c r="G658" s="275">
        <f>E668</f>
        <v>46.48</v>
      </c>
      <c r="H658" s="118" t="s">
        <v>1600</v>
      </c>
      <c r="I658" s="110"/>
      <c r="J658" s="110"/>
      <c r="K658" s="110"/>
      <c r="L658" s="110"/>
      <c r="M658" s="110"/>
      <c r="N658" s="110"/>
      <c r="O658" s="110"/>
      <c r="P658" s="110"/>
      <c r="Q658" s="277"/>
    </row>
    <row r="659" spans="1:17" ht="14.25" customHeight="1">
      <c r="A659" s="130"/>
      <c r="B659" s="280"/>
      <c r="C659" s="118" t="s">
        <v>1704</v>
      </c>
      <c r="D659" s="110" t="s">
        <v>3101</v>
      </c>
      <c r="E659" s="110"/>
      <c r="F659" s="110"/>
      <c r="G659" s="110"/>
      <c r="H659" s="280"/>
      <c r="I659" s="110"/>
      <c r="J659" s="110"/>
      <c r="K659" s="110"/>
      <c r="L659" s="110"/>
      <c r="M659" s="110"/>
      <c r="N659" s="110"/>
      <c r="O659" s="110"/>
      <c r="P659" s="110"/>
      <c r="Q659" s="277"/>
    </row>
    <row r="660" spans="1:17" ht="14.25" customHeight="1">
      <c r="A660" s="130"/>
      <c r="B660" s="110"/>
      <c r="C660" s="118" t="s">
        <v>1706</v>
      </c>
      <c r="D660" s="110" t="s">
        <v>1707</v>
      </c>
      <c r="E660" s="838">
        <f>J661</f>
        <v>32.76</v>
      </c>
      <c r="F660" s="838"/>
      <c r="G660" s="110" t="s">
        <v>1708</v>
      </c>
      <c r="H660" s="285"/>
      <c r="I660" s="118"/>
      <c r="J660" s="118"/>
      <c r="K660" s="110"/>
      <c r="L660" s="118"/>
      <c r="M660" s="286"/>
      <c r="N660" s="286"/>
      <c r="O660" s="118"/>
      <c r="P660" s="110"/>
      <c r="Q660" s="277"/>
    </row>
    <row r="661" spans="1:17" ht="14.25" customHeight="1">
      <c r="A661" s="130"/>
      <c r="B661" s="110"/>
      <c r="C661" s="118" t="s">
        <v>1601</v>
      </c>
      <c r="D661" s="110" t="s">
        <v>1709</v>
      </c>
      <c r="E661" s="842">
        <f>G646</f>
        <v>12</v>
      </c>
      <c r="F661" s="842"/>
      <c r="G661" s="118" t="s">
        <v>972</v>
      </c>
      <c r="H661" s="285">
        <f>L655</f>
        <v>2.73</v>
      </c>
      <c r="I661" s="118" t="s">
        <v>380</v>
      </c>
      <c r="J661" s="118">
        <f>E661*H661</f>
        <v>32.76</v>
      </c>
      <c r="K661" s="118" t="s">
        <v>1600</v>
      </c>
      <c r="L661" s="282"/>
      <c r="M661" s="288"/>
      <c r="N661" s="286"/>
      <c r="O661" s="118"/>
      <c r="P661" s="110"/>
      <c r="Q661" s="277"/>
    </row>
    <row r="662" spans="1:17" ht="14.25" customHeight="1">
      <c r="A662" s="130"/>
      <c r="B662" s="110"/>
      <c r="C662" s="118" t="s">
        <v>2110</v>
      </c>
      <c r="D662" s="110" t="s">
        <v>381</v>
      </c>
      <c r="E662" s="791">
        <f>J664</f>
        <v>12</v>
      </c>
      <c r="F662" s="791"/>
      <c r="G662" s="110" t="s">
        <v>382</v>
      </c>
      <c r="H662" s="118"/>
      <c r="I662" s="110"/>
      <c r="J662" s="110"/>
      <c r="K662" s="110"/>
      <c r="L662" s="118"/>
      <c r="M662" s="118"/>
      <c r="N662" s="118"/>
      <c r="O662" s="110"/>
      <c r="P662" s="110"/>
      <c r="Q662" s="277"/>
    </row>
    <row r="663" spans="1:17" ht="14.25" customHeight="1">
      <c r="A663" s="130"/>
      <c r="B663" s="110"/>
      <c r="C663" s="280" t="s">
        <v>2111</v>
      </c>
      <c r="D663" s="118">
        <f>H641</f>
        <v>1</v>
      </c>
      <c r="E663" s="118" t="s">
        <v>300</v>
      </c>
      <c r="F663" s="118">
        <f>K641</f>
        <v>10</v>
      </c>
      <c r="G663" s="110" t="s">
        <v>383</v>
      </c>
      <c r="H663" s="118">
        <f>H641</f>
        <v>1</v>
      </c>
      <c r="I663" s="118" t="s">
        <v>300</v>
      </c>
      <c r="J663" s="118">
        <f>O641</f>
        <v>10</v>
      </c>
      <c r="K663" s="110" t="s">
        <v>2112</v>
      </c>
      <c r="L663" s="118"/>
      <c r="M663" s="118"/>
      <c r="N663" s="118"/>
      <c r="O663" s="118"/>
      <c r="P663" s="110"/>
      <c r="Q663" s="277"/>
    </row>
    <row r="664" spans="1:17" ht="14.25" customHeight="1">
      <c r="A664" s="130"/>
      <c r="B664" s="110"/>
      <c r="C664" s="118"/>
      <c r="D664" s="280" t="s">
        <v>1582</v>
      </c>
      <c r="E664" s="791">
        <f>(D663/F663)+(H663/J663)</f>
        <v>0.2</v>
      </c>
      <c r="F664" s="791"/>
      <c r="G664" s="110" t="s">
        <v>384</v>
      </c>
      <c r="H664" s="118">
        <v>60</v>
      </c>
      <c r="I664" s="118" t="s">
        <v>1582</v>
      </c>
      <c r="J664" s="840">
        <f>ROUND(E664*H664,2)</f>
        <v>12</v>
      </c>
      <c r="K664" s="840"/>
      <c r="L664" s="286" t="s">
        <v>1600</v>
      </c>
      <c r="O664" s="110"/>
      <c r="Q664" s="277"/>
    </row>
    <row r="665" spans="1:17" ht="14.25" customHeight="1">
      <c r="A665" s="130"/>
      <c r="B665" s="110"/>
      <c r="C665" s="118" t="s">
        <v>2113</v>
      </c>
      <c r="D665" s="110" t="s">
        <v>385</v>
      </c>
      <c r="E665" s="840">
        <v>0.8</v>
      </c>
      <c r="F665" s="840"/>
      <c r="G665" s="110" t="s">
        <v>386</v>
      </c>
      <c r="H665" s="118"/>
      <c r="I665" s="110"/>
      <c r="J665" s="118"/>
      <c r="K665" s="110"/>
      <c r="L665" s="110"/>
      <c r="M665" s="110"/>
      <c r="N665" s="110"/>
      <c r="O665" s="110"/>
      <c r="P665" s="110"/>
      <c r="Q665" s="277"/>
    </row>
    <row r="666" spans="1:17" ht="14.25" customHeight="1">
      <c r="A666" s="130"/>
      <c r="B666" s="110"/>
      <c r="C666" s="118" t="s">
        <v>2114</v>
      </c>
      <c r="D666" s="110" t="s">
        <v>387</v>
      </c>
      <c r="E666" s="791">
        <v>0.42</v>
      </c>
      <c r="F666" s="791"/>
      <c r="G666" s="110" t="s">
        <v>388</v>
      </c>
      <c r="H666" s="118"/>
      <c r="I666" s="110"/>
      <c r="J666" s="110"/>
      <c r="K666" s="110"/>
      <c r="L666" s="110"/>
      <c r="M666" s="118"/>
      <c r="N666" s="118"/>
      <c r="O666" s="110"/>
      <c r="P666" s="110"/>
      <c r="Q666" s="277"/>
    </row>
    <row r="667" spans="1:17" ht="14.25" customHeight="1">
      <c r="A667" s="130"/>
      <c r="B667" s="110"/>
      <c r="C667" s="118" t="s">
        <v>3102</v>
      </c>
      <c r="D667" s="110" t="s">
        <v>389</v>
      </c>
      <c r="E667" s="791">
        <v>0.5</v>
      </c>
      <c r="F667" s="791"/>
      <c r="G667" s="110" t="s">
        <v>390</v>
      </c>
      <c r="H667" s="110"/>
      <c r="I667" s="110"/>
      <c r="J667" s="110"/>
      <c r="K667" s="110"/>
      <c r="L667" s="110"/>
      <c r="M667" s="110"/>
      <c r="N667" s="110"/>
      <c r="O667" s="110"/>
      <c r="P667" s="110"/>
      <c r="Q667" s="277"/>
    </row>
    <row r="668" spans="1:17" ht="14.25" customHeight="1">
      <c r="A668" s="130"/>
      <c r="B668" s="110"/>
      <c r="C668" s="118"/>
      <c r="D668" s="118" t="s">
        <v>1454</v>
      </c>
      <c r="E668" s="840">
        <f>TRUNC(SUM(E660,E662,E665,E666,E667),2)</f>
        <v>46.48</v>
      </c>
      <c r="F668" s="840"/>
      <c r="G668" s="110" t="s">
        <v>1600</v>
      </c>
      <c r="H668" s="110"/>
      <c r="I668" s="110"/>
      <c r="J668" s="110"/>
      <c r="K668" s="110"/>
      <c r="L668" s="110"/>
      <c r="M668" s="110"/>
      <c r="N668" s="110"/>
      <c r="O668" s="110"/>
      <c r="P668" s="110"/>
      <c r="Q668" s="277"/>
    </row>
    <row r="669" spans="1:17" ht="14.25" customHeight="1">
      <c r="A669" s="130"/>
      <c r="B669" s="118"/>
      <c r="C669" s="118"/>
      <c r="D669" s="110"/>
      <c r="E669" s="118"/>
      <c r="F669" s="110"/>
      <c r="G669" s="110"/>
      <c r="H669" s="110"/>
      <c r="I669" s="110"/>
      <c r="J669" s="110"/>
      <c r="K669" s="110"/>
      <c r="L669" s="110"/>
      <c r="M669" s="110"/>
      <c r="N669" s="110"/>
      <c r="O669" s="110"/>
      <c r="P669" s="110"/>
      <c r="Q669" s="277"/>
    </row>
    <row r="670" spans="1:17" ht="14.25" customHeight="1">
      <c r="A670" s="130" t="s">
        <v>391</v>
      </c>
      <c r="B670" s="110" t="s">
        <v>392</v>
      </c>
      <c r="C670" s="118"/>
      <c r="D670" s="110"/>
      <c r="E670" s="118"/>
      <c r="F670" s="110"/>
      <c r="G670" s="110"/>
      <c r="H670" s="110"/>
      <c r="I670" s="110"/>
      <c r="J670" s="110"/>
      <c r="K670" s="110"/>
      <c r="L670" s="110"/>
      <c r="M670" s="110"/>
      <c r="N670" s="110"/>
      <c r="O670" s="110"/>
      <c r="P670" s="110"/>
      <c r="Q670" s="277"/>
    </row>
    <row r="671" spans="1:17" ht="14.25" customHeight="1">
      <c r="A671" s="130"/>
      <c r="B671" s="118"/>
      <c r="C671" s="118"/>
      <c r="D671" s="110"/>
      <c r="E671" s="118"/>
      <c r="F671" s="110"/>
      <c r="G671" s="110"/>
      <c r="H671" s="110"/>
      <c r="I671" s="110"/>
      <c r="J671" s="110"/>
      <c r="K671" s="110"/>
      <c r="L671" s="110"/>
      <c r="M671" s="110"/>
      <c r="N671" s="110"/>
      <c r="O671" s="110"/>
      <c r="P671" s="110"/>
      <c r="Q671" s="277"/>
    </row>
    <row r="672" spans="1:17" ht="14.25" customHeight="1">
      <c r="A672" s="130"/>
      <c r="B672" s="280"/>
      <c r="C672" s="110"/>
      <c r="D672" s="110"/>
      <c r="E672" s="110"/>
      <c r="F672" s="110"/>
      <c r="G672" s="110"/>
      <c r="H672" s="110"/>
      <c r="I672" s="110"/>
      <c r="J672" s="110"/>
      <c r="K672" s="110"/>
      <c r="L672" s="110"/>
      <c r="M672" s="110"/>
      <c r="N672" s="110"/>
      <c r="O672" s="110"/>
      <c r="P672" s="110"/>
      <c r="Q672" s="277"/>
    </row>
    <row r="673" spans="1:18" ht="14.25" customHeight="1">
      <c r="A673" s="841"/>
      <c r="B673" s="791" t="s">
        <v>1111</v>
      </c>
      <c r="C673" s="791" t="s">
        <v>1582</v>
      </c>
      <c r="D673" s="280" t="s">
        <v>393</v>
      </c>
      <c r="E673" s="318">
        <f>G656</f>
        <v>0.71</v>
      </c>
      <c r="F673" s="118" t="s">
        <v>972</v>
      </c>
      <c r="G673" s="282">
        <f>G657</f>
        <v>0.9</v>
      </c>
      <c r="H673" s="118" t="s">
        <v>972</v>
      </c>
      <c r="I673" s="282">
        <f>L655</f>
        <v>2.73</v>
      </c>
      <c r="J673" s="791" t="s">
        <v>1582</v>
      </c>
      <c r="K673" s="837">
        <f>TRUNC(E673*G673*I673*60,3)</f>
        <v>104.66800000000001</v>
      </c>
      <c r="L673" s="837"/>
      <c r="M673" s="791" t="s">
        <v>1582</v>
      </c>
      <c r="N673" s="847">
        <f>TRUNC(K673/K674,2)</f>
        <v>2.25</v>
      </c>
      <c r="O673" s="847"/>
      <c r="P673" s="110" t="s">
        <v>301</v>
      </c>
      <c r="Q673" s="277"/>
    </row>
    <row r="674" spans="1:18" ht="14.25" customHeight="1">
      <c r="A674" s="841"/>
      <c r="B674" s="791"/>
      <c r="C674" s="791"/>
      <c r="D674" s="839">
        <f>G658</f>
        <v>46.48</v>
      </c>
      <c r="E674" s="839"/>
      <c r="F674" s="839"/>
      <c r="G674" s="839"/>
      <c r="H674" s="839"/>
      <c r="I674" s="839"/>
      <c r="J674" s="791"/>
      <c r="K674" s="839">
        <f>D674</f>
        <v>46.48</v>
      </c>
      <c r="L674" s="839"/>
      <c r="M674" s="791"/>
      <c r="N674" s="847"/>
      <c r="O674" s="847"/>
      <c r="P674" s="110"/>
      <c r="Q674" s="277" t="s">
        <v>394</v>
      </c>
    </row>
    <row r="675" spans="1:18" ht="14.25" customHeight="1">
      <c r="A675" s="130"/>
      <c r="B675" s="110"/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  <c r="M675" s="110"/>
      <c r="N675" s="110"/>
      <c r="O675" s="110"/>
      <c r="P675" s="110"/>
      <c r="Q675" s="277"/>
    </row>
    <row r="676" spans="1:18" ht="14.25" customHeight="1">
      <c r="A676" s="130"/>
      <c r="B676" s="110"/>
      <c r="C676" s="110"/>
      <c r="D676" s="110"/>
      <c r="E676" s="110"/>
      <c r="F676" s="110"/>
      <c r="G676" s="110"/>
      <c r="H676" s="110"/>
      <c r="I676" s="110"/>
      <c r="J676" s="110"/>
      <c r="K676" s="110"/>
      <c r="L676" s="110"/>
      <c r="M676" s="110"/>
      <c r="N676" s="110"/>
      <c r="O676" s="110"/>
      <c r="P676" s="110"/>
      <c r="Q676" s="277"/>
    </row>
    <row r="677" spans="1:18" ht="14.25" customHeight="1">
      <c r="A677" s="130"/>
      <c r="B677" s="110"/>
      <c r="C677" s="110"/>
      <c r="D677" s="110" t="s">
        <v>395</v>
      </c>
      <c r="E677" s="110"/>
      <c r="F677" s="835">
        <f>중기사용료!$M$492</f>
        <v>7692</v>
      </c>
      <c r="G677" s="835"/>
      <c r="H677" s="286" t="s">
        <v>975</v>
      </c>
      <c r="I677" s="118" t="s">
        <v>300</v>
      </c>
      <c r="J677" s="282">
        <f>N673</f>
        <v>2.25</v>
      </c>
      <c r="K677" s="282" t="s">
        <v>972</v>
      </c>
      <c r="L677" s="289" t="str">
        <f>(E662+E665+E666+E667)&amp;"/"&amp;G658</f>
        <v>13.72/46.48</v>
      </c>
      <c r="M677" s="118" t="s">
        <v>1582</v>
      </c>
      <c r="N677" s="836">
        <f>F677/J677*(E662+E665+E666+E667)/G658</f>
        <v>1009.1244979919679</v>
      </c>
      <c r="O677" s="836"/>
      <c r="P677" s="836"/>
      <c r="Q677" s="277" t="s">
        <v>975</v>
      </c>
    </row>
    <row r="678" spans="1:18" ht="14.25" customHeight="1">
      <c r="A678" s="130"/>
      <c r="B678" s="110"/>
      <c r="C678" s="118"/>
      <c r="D678" s="110"/>
      <c r="E678" s="290"/>
      <c r="F678" s="291"/>
      <c r="G678" s="291"/>
      <c r="H678" s="118"/>
      <c r="I678" s="110"/>
      <c r="J678" s="118"/>
      <c r="K678" s="285"/>
      <c r="L678" s="121"/>
      <c r="M678" s="118"/>
      <c r="N678" s="160"/>
      <c r="O678" s="110"/>
      <c r="P678" s="110"/>
      <c r="Q678" s="277"/>
    </row>
    <row r="679" spans="1:18" ht="14.25" customHeight="1">
      <c r="A679" s="130"/>
      <c r="B679" s="110"/>
      <c r="C679" s="110"/>
      <c r="D679" s="110" t="s">
        <v>396</v>
      </c>
      <c r="E679" s="110"/>
      <c r="F679" s="835">
        <f>중기사용료!$M$486</f>
        <v>24483</v>
      </c>
      <c r="G679" s="835"/>
      <c r="H679" s="286" t="s">
        <v>975</v>
      </c>
      <c r="I679" s="118" t="s">
        <v>300</v>
      </c>
      <c r="J679" s="282">
        <f>N673</f>
        <v>2.25</v>
      </c>
      <c r="K679" s="282" t="s">
        <v>397</v>
      </c>
      <c r="L679" s="33">
        <f>$I$59</f>
        <v>9951</v>
      </c>
      <c r="M679" s="118" t="s">
        <v>1582</v>
      </c>
      <c r="N679" s="836">
        <f>TRUNC(F679/J679+L679)</f>
        <v>20832</v>
      </c>
      <c r="O679" s="836"/>
      <c r="P679" s="836"/>
      <c r="Q679" s="277" t="s">
        <v>975</v>
      </c>
    </row>
    <row r="680" spans="1:18" ht="14.25" customHeight="1">
      <c r="A680" s="130"/>
      <c r="B680" s="110"/>
      <c r="C680" s="118"/>
      <c r="D680" s="110"/>
      <c r="E680" s="290"/>
      <c r="F680" s="291"/>
      <c r="G680" s="291"/>
      <c r="H680" s="118"/>
      <c r="I680" s="110"/>
      <c r="J680" s="118"/>
      <c r="K680" s="285"/>
      <c r="L680" s="121"/>
      <c r="M680" s="118"/>
      <c r="N680" s="160"/>
      <c r="O680" s="110"/>
      <c r="P680" s="110"/>
      <c r="Q680" s="277"/>
    </row>
    <row r="681" spans="1:18" ht="14.25" customHeight="1">
      <c r="A681" s="130"/>
      <c r="B681" s="110"/>
      <c r="C681" s="110"/>
      <c r="D681" s="110" t="s">
        <v>398</v>
      </c>
      <c r="E681" s="110"/>
      <c r="F681" s="835">
        <f>중기사용료!$M$480</f>
        <v>6499</v>
      </c>
      <c r="G681" s="835"/>
      <c r="H681" s="118" t="s">
        <v>975</v>
      </c>
      <c r="I681" s="118" t="s">
        <v>300</v>
      </c>
      <c r="J681" s="282">
        <f>N673</f>
        <v>2.25</v>
      </c>
      <c r="K681" s="282" t="s">
        <v>1582</v>
      </c>
      <c r="L681" s="121">
        <f>TRUNC(F681/J681)</f>
        <v>2888</v>
      </c>
      <c r="M681" s="121" t="s">
        <v>975</v>
      </c>
      <c r="N681" s="160"/>
      <c r="O681" s="110"/>
      <c r="P681" s="110"/>
      <c r="Q681" s="277"/>
      <c r="R681" s="272" t="s">
        <v>1436</v>
      </c>
    </row>
    <row r="682" spans="1:18" ht="14.25" customHeight="1">
      <c r="A682" s="130"/>
      <c r="B682" s="110"/>
      <c r="C682" s="118"/>
      <c r="D682" s="110"/>
      <c r="E682" s="110"/>
      <c r="F682" s="110"/>
      <c r="G682" s="110"/>
      <c r="H682" s="110"/>
      <c r="I682" s="110"/>
      <c r="J682" s="110"/>
      <c r="K682" s="110"/>
      <c r="L682" s="110"/>
      <c r="M682" s="118"/>
      <c r="N682" s="291"/>
      <c r="O682" s="110"/>
      <c r="P682" s="110"/>
      <c r="Q682" s="277"/>
    </row>
    <row r="683" spans="1:18" s="302" customFormat="1" ht="14.25" customHeight="1">
      <c r="A683" s="162"/>
      <c r="B683" s="164"/>
      <c r="C683" s="164"/>
      <c r="D683" s="164"/>
      <c r="E683" s="164"/>
      <c r="F683" s="299"/>
      <c r="G683" s="299"/>
      <c r="H683" s="299"/>
      <c r="I683" s="165"/>
      <c r="J683" s="164"/>
      <c r="K683" s="165" t="s">
        <v>1454</v>
      </c>
      <c r="L683" s="292">
        <f>SUM(N677,N679,L681)</f>
        <v>24729.124497991968</v>
      </c>
      <c r="M683" s="164" t="s">
        <v>975</v>
      </c>
      <c r="N683" s="300"/>
      <c r="O683" s="300"/>
      <c r="P683" s="164"/>
      <c r="Q683" s="301"/>
      <c r="R683" s="272"/>
    </row>
    <row r="684" spans="1:18" ht="14.25" customHeight="1">
      <c r="A684" s="130"/>
      <c r="B684" s="110"/>
      <c r="C684" s="110"/>
      <c r="D684" s="110"/>
      <c r="E684" s="110"/>
      <c r="F684" s="121"/>
      <c r="G684" s="121"/>
      <c r="H684" s="121"/>
      <c r="I684" s="118"/>
      <c r="J684" s="110"/>
      <c r="K684" s="118"/>
      <c r="L684" s="33"/>
      <c r="M684" s="110"/>
      <c r="N684" s="303"/>
      <c r="O684" s="160"/>
      <c r="P684" s="110"/>
      <c r="Q684" s="277"/>
    </row>
    <row r="685" spans="1:18" ht="14.25" customHeight="1">
      <c r="A685" s="135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293"/>
    </row>
    <row r="686" spans="1:18" ht="14.25" customHeight="1">
      <c r="C686" s="177"/>
      <c r="E686" s="304"/>
      <c r="H686" s="177"/>
      <c r="I686" s="177"/>
      <c r="K686" s="305"/>
      <c r="L686" s="177"/>
      <c r="M686" s="161"/>
      <c r="N686" s="161"/>
      <c r="O686" s="177"/>
    </row>
    <row r="687" spans="1:18" s="265" customFormat="1" ht="14.25" customHeight="1">
      <c r="A687" s="306"/>
      <c r="B687" s="262" t="s">
        <v>2041</v>
      </c>
      <c r="C687" s="262"/>
      <c r="D687" s="262"/>
      <c r="E687" s="262"/>
      <c r="F687" s="262"/>
      <c r="G687" s="262"/>
      <c r="H687" s="263" t="s">
        <v>1418</v>
      </c>
      <c r="I687" s="263">
        <v>2.5</v>
      </c>
      <c r="J687" s="262" t="s">
        <v>1419</v>
      </c>
      <c r="K687" s="262"/>
      <c r="L687" s="263">
        <v>0.2</v>
      </c>
      <c r="M687" s="262" t="s">
        <v>1420</v>
      </c>
      <c r="N687" s="262"/>
      <c r="O687" s="261"/>
      <c r="P687" s="261"/>
      <c r="Q687" s="264"/>
      <c r="R687" s="265" t="s">
        <v>3299</v>
      </c>
    </row>
    <row r="688" spans="1:18" ht="14.25" customHeight="1">
      <c r="A688" s="266"/>
      <c r="B688" s="126"/>
      <c r="C688" s="126"/>
      <c r="D688" s="126"/>
      <c r="E688" s="267"/>
      <c r="F688" s="267"/>
      <c r="G688" s="268"/>
      <c r="H688" s="267"/>
      <c r="I688" s="267"/>
      <c r="J688" s="267"/>
      <c r="K688" s="267"/>
      <c r="L688" s="269"/>
      <c r="M688" s="270"/>
      <c r="N688" s="270"/>
      <c r="O688" s="126"/>
      <c r="P688" s="126"/>
      <c r="Q688" s="271"/>
    </row>
    <row r="689" spans="1:17" ht="14.25" customHeight="1">
      <c r="A689" s="273"/>
      <c r="B689" s="110" t="s">
        <v>1592</v>
      </c>
      <c r="C689" s="33" t="s">
        <v>1593</v>
      </c>
      <c r="D689" s="274"/>
      <c r="E689" s="275"/>
      <c r="F689" s="275"/>
      <c r="G689" s="121"/>
      <c r="H689" s="275"/>
      <c r="I689" s="275"/>
      <c r="J689" s="275"/>
      <c r="K689" s="275"/>
      <c r="L689" s="33"/>
      <c r="M689" s="276"/>
      <c r="N689" s="276"/>
      <c r="O689" s="110"/>
      <c r="P689" s="110"/>
      <c r="Q689" s="277"/>
    </row>
    <row r="690" spans="1:17" ht="14.25" customHeight="1">
      <c r="A690" s="273"/>
      <c r="Q690" s="277"/>
    </row>
    <row r="691" spans="1:17" ht="14.25" customHeight="1">
      <c r="A691" s="273"/>
      <c r="B691" s="118" t="s">
        <v>2267</v>
      </c>
      <c r="C691" s="110" t="s">
        <v>1422</v>
      </c>
      <c r="D691" s="110"/>
      <c r="E691" s="110"/>
      <c r="F691" s="110"/>
      <c r="G691" s="275" t="s">
        <v>1594</v>
      </c>
      <c r="H691" s="275">
        <v>1</v>
      </c>
      <c r="I691" s="275" t="s">
        <v>1595</v>
      </c>
      <c r="J691" s="274" t="s">
        <v>1596</v>
      </c>
      <c r="K691" s="110">
        <v>10</v>
      </c>
      <c r="L691" s="110" t="s">
        <v>1595</v>
      </c>
      <c r="M691" s="33" t="s">
        <v>1597</v>
      </c>
      <c r="N691" s="118"/>
      <c r="O691" s="110">
        <v>10</v>
      </c>
      <c r="P691" s="275" t="s">
        <v>1595</v>
      </c>
      <c r="Q691" s="277"/>
    </row>
    <row r="692" spans="1:17" ht="14.25" customHeight="1">
      <c r="A692" s="273"/>
      <c r="B692" s="118"/>
      <c r="C692" s="110"/>
      <c r="D692" s="110"/>
      <c r="E692" s="110"/>
      <c r="F692" s="110"/>
      <c r="G692" s="275"/>
      <c r="H692" s="275"/>
      <c r="I692" s="275"/>
      <c r="J692" s="274"/>
      <c r="K692" s="110"/>
      <c r="L692" s="110"/>
      <c r="M692" s="33"/>
      <c r="N692" s="118"/>
      <c r="O692" s="110"/>
      <c r="P692" s="275"/>
      <c r="Q692" s="277"/>
    </row>
    <row r="693" spans="1:17" ht="14.25" customHeight="1">
      <c r="A693" s="273"/>
      <c r="B693" s="110"/>
      <c r="C693" s="274"/>
      <c r="D693" s="274"/>
      <c r="E693" s="275"/>
      <c r="F693" s="275"/>
      <c r="G693" s="121"/>
      <c r="H693" s="275"/>
      <c r="I693" s="275"/>
      <c r="J693" s="275"/>
      <c r="K693" s="275"/>
      <c r="L693" s="33"/>
      <c r="M693" s="276"/>
      <c r="N693" s="276"/>
      <c r="O693" s="110"/>
      <c r="P693" s="110"/>
      <c r="Q693" s="277"/>
    </row>
    <row r="694" spans="1:17" ht="14.25" customHeight="1">
      <c r="A694" s="130"/>
      <c r="B694" s="110" t="s">
        <v>1592</v>
      </c>
      <c r="C694" s="110" t="s">
        <v>1198</v>
      </c>
      <c r="D694" s="110"/>
      <c r="E694" s="110"/>
      <c r="F694" s="110"/>
      <c r="G694" s="110"/>
      <c r="H694" s="110"/>
      <c r="I694" s="110"/>
      <c r="J694" s="110" t="s">
        <v>400</v>
      </c>
      <c r="K694" s="110"/>
      <c r="L694" s="118">
        <v>2.2999999999999998</v>
      </c>
      <c r="M694" s="110" t="s">
        <v>1805</v>
      </c>
      <c r="N694" s="110"/>
      <c r="O694" s="110"/>
      <c r="P694" s="110"/>
      <c r="Q694" s="277"/>
    </row>
    <row r="695" spans="1:17" ht="14.25" customHeight="1">
      <c r="A695" s="130"/>
      <c r="B695" s="118"/>
      <c r="C695" s="791" t="s">
        <v>1806</v>
      </c>
      <c r="D695" s="791" t="s">
        <v>1807</v>
      </c>
      <c r="E695" s="791"/>
      <c r="F695" s="791"/>
      <c r="G695" s="110"/>
      <c r="H695" s="110"/>
      <c r="I695" s="110"/>
      <c r="J695" s="110"/>
      <c r="K695" s="110"/>
      <c r="L695" s="110"/>
      <c r="M695" s="110"/>
      <c r="N695" s="110"/>
      <c r="O695" s="110"/>
      <c r="P695" s="110"/>
      <c r="Q695" s="277"/>
    </row>
    <row r="696" spans="1:17" ht="14.25" customHeight="1">
      <c r="A696" s="130"/>
      <c r="B696" s="118"/>
      <c r="C696" s="791"/>
      <c r="D696" s="843" t="s">
        <v>1583</v>
      </c>
      <c r="E696" s="843"/>
      <c r="F696" s="843"/>
      <c r="G696" s="110"/>
      <c r="H696" s="110"/>
      <c r="I696" s="110"/>
      <c r="J696" s="110"/>
      <c r="K696" s="110"/>
      <c r="L696" s="110"/>
      <c r="M696" s="110"/>
      <c r="N696" s="110"/>
      <c r="O696" s="110"/>
      <c r="P696" s="110"/>
      <c r="Q696" s="277"/>
    </row>
    <row r="697" spans="1:17" ht="14.25" customHeight="1">
      <c r="A697" s="130"/>
      <c r="B697" s="110"/>
      <c r="C697" s="110"/>
      <c r="D697" s="110"/>
      <c r="E697" s="110"/>
      <c r="F697" s="110"/>
      <c r="G697" s="110"/>
      <c r="H697" s="110"/>
      <c r="I697" s="110"/>
      <c r="J697" s="110"/>
      <c r="K697" s="110"/>
      <c r="L697" s="110"/>
      <c r="M697" s="110"/>
      <c r="N697" s="110"/>
      <c r="O697" s="110"/>
      <c r="P697" s="110"/>
      <c r="Q697" s="277"/>
    </row>
    <row r="698" spans="1:17" ht="14.25" customHeight="1">
      <c r="A698" s="130"/>
      <c r="B698" s="280"/>
      <c r="C698" s="118" t="s">
        <v>1808</v>
      </c>
      <c r="D698" s="110" t="s">
        <v>1809</v>
      </c>
      <c r="E698" s="110"/>
      <c r="F698" s="110"/>
      <c r="G698" s="118"/>
      <c r="H698" s="280"/>
      <c r="I698" s="118"/>
      <c r="J698" s="110"/>
      <c r="K698" s="110"/>
      <c r="L698" s="110"/>
      <c r="M698" s="110"/>
      <c r="N698" s="110"/>
      <c r="O698" s="110"/>
      <c r="P698" s="110"/>
      <c r="Q698" s="277"/>
    </row>
    <row r="699" spans="1:17" ht="14.25" customHeight="1">
      <c r="A699" s="130"/>
      <c r="B699" s="280"/>
      <c r="C699" s="118" t="s">
        <v>298</v>
      </c>
      <c r="D699" s="110" t="s">
        <v>299</v>
      </c>
      <c r="E699" s="118" t="s">
        <v>1526</v>
      </c>
      <c r="F699" s="281">
        <f>I687</f>
        <v>2.5</v>
      </c>
      <c r="G699" s="118" t="s">
        <v>300</v>
      </c>
      <c r="H699" s="118">
        <f>L694</f>
        <v>2.2999999999999998</v>
      </c>
      <c r="I699" s="118" t="s">
        <v>972</v>
      </c>
      <c r="J699" s="118">
        <v>1.4</v>
      </c>
      <c r="K699" s="118" t="s">
        <v>1582</v>
      </c>
      <c r="L699" s="282">
        <f>TRUNC(F699/H699*J699,2)</f>
        <v>1.52</v>
      </c>
      <c r="M699" s="118" t="s">
        <v>301</v>
      </c>
      <c r="N699" s="110"/>
      <c r="O699" s="110"/>
      <c r="P699" s="110"/>
      <c r="Q699" s="277"/>
    </row>
    <row r="700" spans="1:17" ht="14.25" customHeight="1">
      <c r="A700" s="130"/>
      <c r="B700" s="280"/>
      <c r="C700" s="118" t="s">
        <v>399</v>
      </c>
      <c r="D700" s="110" t="s">
        <v>1156</v>
      </c>
      <c r="E700" s="110"/>
      <c r="F700" s="118" t="s">
        <v>1526</v>
      </c>
      <c r="G700" s="283">
        <f>TRUNC(1/J700,2)</f>
        <v>0.71</v>
      </c>
      <c r="H700" s="280" t="s">
        <v>303</v>
      </c>
      <c r="I700" s="118" t="s">
        <v>300</v>
      </c>
      <c r="J700" s="118">
        <f>J699</f>
        <v>1.4</v>
      </c>
      <c r="K700" s="284" t="s">
        <v>304</v>
      </c>
      <c r="L700" s="110"/>
      <c r="M700" s="110"/>
      <c r="N700" s="110"/>
      <c r="O700" s="110"/>
      <c r="P700" s="110"/>
      <c r="Q700" s="277"/>
    </row>
    <row r="701" spans="1:17" ht="14.25" customHeight="1">
      <c r="A701" s="130"/>
      <c r="B701" s="280"/>
      <c r="C701" s="118" t="s">
        <v>1703</v>
      </c>
      <c r="D701" s="110" t="s">
        <v>1207</v>
      </c>
      <c r="E701" s="110"/>
      <c r="F701" s="118" t="s">
        <v>1526</v>
      </c>
      <c r="G701" s="118">
        <v>0.9</v>
      </c>
      <c r="H701" s="280"/>
      <c r="I701" s="110"/>
      <c r="J701" s="110"/>
      <c r="K701" s="110"/>
      <c r="L701" s="110"/>
      <c r="M701" s="110"/>
      <c r="N701" s="110"/>
      <c r="O701" s="110"/>
      <c r="P701" s="110"/>
      <c r="Q701" s="277"/>
    </row>
    <row r="702" spans="1:17" ht="14.25" customHeight="1">
      <c r="A702" s="130"/>
      <c r="B702" s="280"/>
      <c r="C702" s="118" t="s">
        <v>1704</v>
      </c>
      <c r="D702" s="110" t="s">
        <v>401</v>
      </c>
      <c r="E702" s="110"/>
      <c r="F702" s="118"/>
      <c r="G702" s="840">
        <f>E720</f>
        <v>22.92</v>
      </c>
      <c r="H702" s="840"/>
      <c r="I702" s="118" t="s">
        <v>1600</v>
      </c>
      <c r="J702" s="110"/>
      <c r="K702" s="110"/>
      <c r="L702" s="110"/>
      <c r="M702" s="110"/>
      <c r="N702" s="110"/>
      <c r="O702" s="110"/>
      <c r="P702" s="110"/>
      <c r="Q702" s="277"/>
    </row>
    <row r="703" spans="1:17" ht="14.25" customHeight="1">
      <c r="A703" s="130"/>
      <c r="B703" s="280"/>
      <c r="C703" s="118" t="s">
        <v>1704</v>
      </c>
      <c r="D703" s="110" t="s">
        <v>3101</v>
      </c>
      <c r="E703" s="110"/>
      <c r="F703" s="110"/>
      <c r="G703" s="110"/>
      <c r="H703" s="280"/>
      <c r="I703" s="110"/>
      <c r="J703" s="110"/>
      <c r="K703" s="110"/>
      <c r="L703" s="110"/>
      <c r="M703" s="110"/>
      <c r="N703" s="110"/>
      <c r="O703" s="110"/>
      <c r="P703" s="110"/>
      <c r="Q703" s="277"/>
    </row>
    <row r="704" spans="1:17" ht="14.25" customHeight="1">
      <c r="A704" s="130"/>
      <c r="B704" s="110"/>
      <c r="C704" s="118" t="s">
        <v>1706</v>
      </c>
      <c r="D704" s="110" t="s">
        <v>1707</v>
      </c>
      <c r="E704" s="838">
        <f>E712</f>
        <v>9.1999999999999993</v>
      </c>
      <c r="F704" s="838"/>
      <c r="G704" s="110" t="s">
        <v>402</v>
      </c>
      <c r="H704" s="285" t="s">
        <v>403</v>
      </c>
      <c r="I704" s="118"/>
      <c r="J704" s="118"/>
      <c r="K704" s="110"/>
      <c r="L704" s="118"/>
      <c r="M704" s="286"/>
      <c r="N704" s="286"/>
      <c r="O704" s="118"/>
      <c r="P704" s="110"/>
      <c r="Q704" s="277"/>
    </row>
    <row r="705" spans="1:17" ht="14.25" customHeight="1">
      <c r="A705" s="130"/>
      <c r="B705" s="110"/>
      <c r="C705" s="118"/>
      <c r="E705" s="288"/>
      <c r="F705" s="286"/>
      <c r="G705" s="110"/>
      <c r="H705" s="285"/>
      <c r="I705" s="118"/>
      <c r="J705" s="118"/>
      <c r="K705" s="110"/>
      <c r="L705" s="118"/>
      <c r="M705" s="286"/>
      <c r="N705" s="286"/>
      <c r="O705" s="118"/>
      <c r="P705" s="110"/>
      <c r="Q705" s="277"/>
    </row>
    <row r="706" spans="1:17" ht="14.25" customHeight="1">
      <c r="A706" s="130"/>
      <c r="B706" s="110"/>
      <c r="C706" s="118"/>
      <c r="D706" s="118" t="s">
        <v>404</v>
      </c>
      <c r="E706" s="846">
        <v>18</v>
      </c>
      <c r="F706" s="846"/>
      <c r="G706" s="110" t="s">
        <v>405</v>
      </c>
      <c r="H706" s="285" t="s">
        <v>406</v>
      </c>
      <c r="I706" s="118"/>
      <c r="J706" s="109"/>
      <c r="K706" s="110"/>
      <c r="L706" s="109"/>
      <c r="M706" s="286"/>
      <c r="N706" s="286"/>
      <c r="O706" s="118"/>
      <c r="P706" s="110"/>
      <c r="Q706" s="277"/>
    </row>
    <row r="707" spans="1:17" ht="14.25" customHeight="1">
      <c r="A707" s="130"/>
      <c r="B707" s="110"/>
      <c r="C707" s="118"/>
      <c r="D707" s="280"/>
      <c r="E707" s="288"/>
      <c r="F707" s="286"/>
      <c r="G707" s="110"/>
      <c r="H707" s="285"/>
      <c r="I707" s="307"/>
      <c r="K707" s="110"/>
      <c r="L707" s="118"/>
      <c r="M707" s="286"/>
      <c r="N707" s="286"/>
      <c r="O707" s="118"/>
      <c r="P707" s="110"/>
      <c r="Q707" s="277"/>
    </row>
    <row r="708" spans="1:17" ht="14.25" customHeight="1">
      <c r="A708" s="130"/>
      <c r="B708" s="110"/>
      <c r="C708" s="118"/>
      <c r="D708" s="110" t="s">
        <v>407</v>
      </c>
      <c r="E708" s="288" t="s">
        <v>408</v>
      </c>
      <c r="F708" s="286"/>
      <c r="G708" s="110"/>
      <c r="H708" s="308" t="s">
        <v>409</v>
      </c>
      <c r="I708" s="118">
        <v>0.55000000000000004</v>
      </c>
      <c r="J708" s="118"/>
      <c r="K708" s="110"/>
      <c r="L708" s="118"/>
      <c r="M708" s="286"/>
      <c r="N708" s="286"/>
      <c r="O708" s="118"/>
      <c r="P708" s="110"/>
      <c r="Q708" s="277"/>
    </row>
    <row r="709" spans="1:17" ht="14.25" customHeight="1">
      <c r="A709" s="130"/>
      <c r="B709" s="110"/>
      <c r="C709" s="118"/>
      <c r="D709" s="110" t="s">
        <v>410</v>
      </c>
      <c r="E709" s="838">
        <f>L699</f>
        <v>1.52</v>
      </c>
      <c r="F709" s="838"/>
      <c r="G709" s="118" t="s">
        <v>411</v>
      </c>
      <c r="H709" s="285">
        <f>L687</f>
        <v>0.2</v>
      </c>
      <c r="I709" s="118" t="s">
        <v>86</v>
      </c>
      <c r="J709" s="118">
        <f>I708</f>
        <v>0.55000000000000004</v>
      </c>
      <c r="K709" s="110" t="s">
        <v>412</v>
      </c>
      <c r="L709" s="118">
        <f>TRUNC(E709/(H709*J709),2)</f>
        <v>13.81</v>
      </c>
      <c r="M709" s="286" t="s">
        <v>969</v>
      </c>
      <c r="N709" s="286"/>
      <c r="O709" s="118"/>
      <c r="P709" s="110"/>
      <c r="Q709" s="277"/>
    </row>
    <row r="710" spans="1:17" ht="14.25" customHeight="1">
      <c r="A710" s="130"/>
      <c r="B710" s="110"/>
      <c r="C710" s="118"/>
      <c r="D710" s="110" t="s">
        <v>413</v>
      </c>
      <c r="E710" s="838">
        <v>0.45</v>
      </c>
      <c r="F710" s="838"/>
      <c r="G710" s="118"/>
      <c r="H710" s="285"/>
      <c r="I710" s="118"/>
      <c r="J710" s="118"/>
      <c r="K710" s="110"/>
      <c r="L710" s="118"/>
      <c r="M710" s="286"/>
      <c r="N710" s="286"/>
      <c r="O710" s="118"/>
      <c r="P710" s="110"/>
      <c r="Q710" s="277"/>
    </row>
    <row r="711" spans="1:17" ht="14.25" customHeight="1">
      <c r="A711" s="130"/>
      <c r="B711" s="110"/>
      <c r="C711" s="118" t="s">
        <v>1601</v>
      </c>
      <c r="D711" s="110" t="s">
        <v>1709</v>
      </c>
      <c r="E711" s="845">
        <f>E706</f>
        <v>18</v>
      </c>
      <c r="F711" s="845"/>
      <c r="G711" s="118" t="s">
        <v>972</v>
      </c>
      <c r="H711" s="285">
        <f>L709</f>
        <v>13.81</v>
      </c>
      <c r="I711" s="118" t="s">
        <v>414</v>
      </c>
      <c r="J711" s="118">
        <v>60</v>
      </c>
      <c r="K711" s="118" t="s">
        <v>972</v>
      </c>
      <c r="L711" s="282">
        <f>E710</f>
        <v>0.45</v>
      </c>
      <c r="M711" s="288" t="s">
        <v>2112</v>
      </c>
      <c r="N711" s="286"/>
      <c r="O711" s="118"/>
      <c r="P711" s="110"/>
      <c r="Q711" s="277"/>
    </row>
    <row r="712" spans="1:17" ht="14.25" customHeight="1">
      <c r="A712" s="130"/>
      <c r="B712" s="110"/>
      <c r="C712" s="118"/>
      <c r="D712" s="110" t="s">
        <v>410</v>
      </c>
      <c r="E712" s="838">
        <f>TRUNC((E711*H711)/(J711*L711),2)</f>
        <v>9.1999999999999993</v>
      </c>
      <c r="F712" s="838"/>
      <c r="G712" s="110" t="s">
        <v>415</v>
      </c>
      <c r="H712" s="287"/>
      <c r="I712" s="118"/>
      <c r="J712" s="118"/>
      <c r="K712" s="118"/>
      <c r="L712" s="118"/>
      <c r="M712" s="286"/>
      <c r="N712" s="286"/>
      <c r="O712" s="118"/>
      <c r="P712" s="110"/>
      <c r="Q712" s="277"/>
    </row>
    <row r="713" spans="1:17" ht="14.25" customHeight="1">
      <c r="A713" s="130"/>
      <c r="B713" s="110"/>
      <c r="C713" s="118" t="s">
        <v>2110</v>
      </c>
      <c r="D713" s="110" t="s">
        <v>381</v>
      </c>
      <c r="E713" s="791">
        <f>J716</f>
        <v>12</v>
      </c>
      <c r="F713" s="791"/>
      <c r="G713" s="110" t="s">
        <v>382</v>
      </c>
      <c r="H713" s="118"/>
      <c r="I713" s="110"/>
      <c r="J713" s="110"/>
      <c r="K713" s="110"/>
      <c r="L713" s="118"/>
      <c r="M713" s="118"/>
      <c r="N713" s="118"/>
      <c r="O713" s="110"/>
      <c r="P713" s="110"/>
      <c r="Q713" s="277"/>
    </row>
    <row r="714" spans="1:17" ht="14.25" customHeight="1">
      <c r="A714" s="130"/>
      <c r="B714" s="110"/>
      <c r="C714" s="280" t="s">
        <v>2111</v>
      </c>
      <c r="D714" s="118">
        <f>H691</f>
        <v>1</v>
      </c>
      <c r="E714" s="118" t="s">
        <v>300</v>
      </c>
      <c r="F714" s="118">
        <f>K691</f>
        <v>10</v>
      </c>
      <c r="G714" s="110" t="s">
        <v>383</v>
      </c>
      <c r="H714" s="118">
        <f>H691</f>
        <v>1</v>
      </c>
      <c r="I714" s="118" t="s">
        <v>300</v>
      </c>
      <c r="J714" s="118">
        <f>O691</f>
        <v>10</v>
      </c>
      <c r="K714" s="118" t="s">
        <v>304</v>
      </c>
      <c r="L714" s="118"/>
      <c r="M714" s="118"/>
      <c r="N714" s="118"/>
      <c r="O714" s="118"/>
      <c r="P714" s="110"/>
      <c r="Q714" s="277"/>
    </row>
    <row r="715" spans="1:17" ht="14.25" customHeight="1">
      <c r="A715" s="130"/>
      <c r="B715" s="110"/>
      <c r="C715" s="309"/>
      <c r="D715" s="118"/>
      <c r="E715" s="118"/>
      <c r="F715" s="118"/>
      <c r="G715" s="110"/>
      <c r="H715" s="118"/>
      <c r="I715" s="118"/>
      <c r="J715" s="118"/>
      <c r="K715" s="118"/>
      <c r="L715" s="118"/>
      <c r="M715" s="118"/>
      <c r="N715" s="118"/>
      <c r="O715" s="118"/>
      <c r="P715" s="110"/>
      <c r="Q715" s="277"/>
    </row>
    <row r="716" spans="1:17" ht="14.25" customHeight="1">
      <c r="A716" s="130"/>
      <c r="B716" s="110"/>
      <c r="C716" s="118"/>
      <c r="D716" s="280" t="s">
        <v>1582</v>
      </c>
      <c r="E716" s="791">
        <f>(D714/F714)+(H714/J714)</f>
        <v>0.2</v>
      </c>
      <c r="F716" s="791"/>
      <c r="G716" s="110" t="s">
        <v>384</v>
      </c>
      <c r="H716" s="118">
        <v>60</v>
      </c>
      <c r="I716" s="118" t="s">
        <v>1582</v>
      </c>
      <c r="J716" s="283">
        <f>TRUNC(E716*H716,2)</f>
        <v>12</v>
      </c>
      <c r="K716" s="286" t="s">
        <v>1600</v>
      </c>
      <c r="L716" s="110"/>
      <c r="M716" s="110"/>
      <c r="N716" s="118"/>
      <c r="O716" s="110"/>
      <c r="P716" s="110"/>
      <c r="Q716" s="277"/>
    </row>
    <row r="717" spans="1:17" ht="14.25" customHeight="1">
      <c r="A717" s="130"/>
      <c r="B717" s="110"/>
      <c r="C717" s="118" t="s">
        <v>2113</v>
      </c>
      <c r="D717" s="110" t="s">
        <v>385</v>
      </c>
      <c r="E717" s="840">
        <v>0.8</v>
      </c>
      <c r="F717" s="840"/>
      <c r="G717" s="110" t="s">
        <v>1600</v>
      </c>
      <c r="H717" s="118"/>
      <c r="I717" s="110"/>
      <c r="J717" s="118"/>
      <c r="K717" s="110"/>
      <c r="L717" s="110"/>
      <c r="M717" s="110"/>
      <c r="N717" s="110"/>
      <c r="O717" s="110"/>
      <c r="P717" s="110"/>
      <c r="Q717" s="277"/>
    </row>
    <row r="718" spans="1:17" ht="14.25" customHeight="1">
      <c r="A718" s="130"/>
      <c r="B718" s="110"/>
      <c r="C718" s="118" t="s">
        <v>2114</v>
      </c>
      <c r="D718" s="110" t="s">
        <v>387</v>
      </c>
      <c r="E718" s="791">
        <v>0.42</v>
      </c>
      <c r="F718" s="791"/>
      <c r="G718" s="110" t="s">
        <v>388</v>
      </c>
      <c r="H718" s="118"/>
      <c r="I718" s="110"/>
      <c r="J718" s="110"/>
      <c r="K718" s="110"/>
      <c r="L718" s="110"/>
      <c r="M718" s="118"/>
      <c r="N718" s="118"/>
      <c r="O718" s="110"/>
      <c r="P718" s="110"/>
      <c r="Q718" s="277"/>
    </row>
    <row r="719" spans="1:17" ht="14.25" customHeight="1">
      <c r="A719" s="130"/>
      <c r="B719" s="110"/>
      <c r="C719" s="118" t="s">
        <v>3102</v>
      </c>
      <c r="D719" s="110" t="s">
        <v>389</v>
      </c>
      <c r="E719" s="791">
        <v>0.5</v>
      </c>
      <c r="F719" s="791"/>
      <c r="G719" s="110" t="s">
        <v>390</v>
      </c>
      <c r="H719" s="110"/>
      <c r="I719" s="110"/>
      <c r="J719" s="110"/>
      <c r="K719" s="110"/>
      <c r="L719" s="110"/>
      <c r="M719" s="110"/>
      <c r="N719" s="110"/>
      <c r="O719" s="110"/>
      <c r="P719" s="110"/>
      <c r="Q719" s="277"/>
    </row>
    <row r="720" spans="1:17" ht="14.25" customHeight="1">
      <c r="A720" s="130"/>
      <c r="B720" s="110"/>
      <c r="C720" s="118"/>
      <c r="D720" s="118" t="s">
        <v>1454</v>
      </c>
      <c r="E720" s="840">
        <f>E704+E713+E717+E718+E719</f>
        <v>22.92</v>
      </c>
      <c r="F720" s="840"/>
      <c r="G720" s="110" t="s">
        <v>1600</v>
      </c>
      <c r="H720" s="110"/>
      <c r="I720" s="110"/>
      <c r="J720" s="110"/>
      <c r="K720" s="110"/>
      <c r="L720" s="110"/>
      <c r="M720" s="110"/>
      <c r="N720" s="110"/>
      <c r="O720" s="110"/>
      <c r="P720" s="110"/>
      <c r="Q720" s="277"/>
    </row>
    <row r="721" spans="1:18" ht="14.25" customHeight="1">
      <c r="A721" s="130"/>
      <c r="B721" s="118"/>
      <c r="C721" s="118"/>
      <c r="D721" s="110"/>
      <c r="E721" s="118"/>
      <c r="F721" s="110"/>
      <c r="G721" s="110"/>
      <c r="H721" s="110"/>
      <c r="I721" s="110"/>
      <c r="J721" s="110"/>
      <c r="K721" s="110"/>
      <c r="L721" s="110"/>
      <c r="M721" s="110"/>
      <c r="N721" s="110"/>
      <c r="O721" s="110"/>
      <c r="P721" s="110"/>
      <c r="Q721" s="277"/>
    </row>
    <row r="722" spans="1:18" ht="14.25" customHeight="1">
      <c r="A722" s="130" t="s">
        <v>391</v>
      </c>
      <c r="B722" s="110" t="s">
        <v>392</v>
      </c>
      <c r="C722" s="118"/>
      <c r="D722" s="110"/>
      <c r="E722" s="118"/>
      <c r="F722" s="110"/>
      <c r="G722" s="110"/>
      <c r="H722" s="110"/>
      <c r="I722" s="110"/>
      <c r="J722" s="110"/>
      <c r="K722" s="110"/>
      <c r="L722" s="110"/>
      <c r="M722" s="110"/>
      <c r="N722" s="110"/>
      <c r="O722" s="110"/>
      <c r="P722" s="110"/>
      <c r="Q722" s="277"/>
    </row>
    <row r="723" spans="1:18" ht="14.25" customHeight="1">
      <c r="A723" s="130"/>
      <c r="B723" s="280"/>
      <c r="C723" s="110"/>
      <c r="D723" s="110"/>
      <c r="E723" s="110"/>
      <c r="F723" s="110"/>
      <c r="G723" s="110"/>
      <c r="H723" s="110"/>
      <c r="I723" s="110"/>
      <c r="J723" s="110"/>
      <c r="K723" s="110"/>
      <c r="L723" s="110"/>
      <c r="M723" s="110"/>
      <c r="N723" s="110"/>
      <c r="O723" s="110"/>
      <c r="P723" s="110"/>
      <c r="Q723" s="277"/>
    </row>
    <row r="724" spans="1:18" ht="14.25" customHeight="1">
      <c r="A724" s="841"/>
      <c r="B724" s="791" t="s">
        <v>1111</v>
      </c>
      <c r="C724" s="791" t="s">
        <v>1582</v>
      </c>
      <c r="D724" s="280" t="s">
        <v>393</v>
      </c>
      <c r="E724" s="286">
        <f>G700</f>
        <v>0.71</v>
      </c>
      <c r="F724" s="118" t="s">
        <v>972</v>
      </c>
      <c r="G724" s="282">
        <f>L699</f>
        <v>1.52</v>
      </c>
      <c r="H724" s="118" t="s">
        <v>972</v>
      </c>
      <c r="I724" s="118">
        <f>G701</f>
        <v>0.9</v>
      </c>
      <c r="J724" s="791" t="s">
        <v>1582</v>
      </c>
      <c r="K724" s="837">
        <f>TRUNC(E724*G724*I724*60,3)</f>
        <v>58.276000000000003</v>
      </c>
      <c r="L724" s="837"/>
      <c r="M724" s="791" t="s">
        <v>1582</v>
      </c>
      <c r="N724" s="838">
        <f>TRUNC(K724/K725,2)</f>
        <v>2.54</v>
      </c>
      <c r="O724" s="838"/>
      <c r="P724" s="110" t="s">
        <v>301</v>
      </c>
      <c r="Q724" s="277"/>
    </row>
    <row r="725" spans="1:18" ht="14.25" customHeight="1">
      <c r="A725" s="841"/>
      <c r="B725" s="791"/>
      <c r="C725" s="791"/>
      <c r="D725" s="850">
        <f>G702</f>
        <v>22.92</v>
      </c>
      <c r="E725" s="850"/>
      <c r="F725" s="850"/>
      <c r="G725" s="850"/>
      <c r="H725" s="850"/>
      <c r="I725" s="850"/>
      <c r="J725" s="791"/>
      <c r="K725" s="839">
        <f>D725</f>
        <v>22.92</v>
      </c>
      <c r="L725" s="839"/>
      <c r="M725" s="791"/>
      <c r="N725" s="838"/>
      <c r="O725" s="838"/>
      <c r="P725" s="110"/>
      <c r="Q725" s="277" t="s">
        <v>394</v>
      </c>
    </row>
    <row r="726" spans="1:18" ht="14.25" customHeight="1">
      <c r="A726" s="130"/>
      <c r="B726" s="110"/>
      <c r="C726" s="110"/>
      <c r="D726" s="110"/>
      <c r="E726" s="110"/>
      <c r="F726" s="110"/>
      <c r="G726" s="110"/>
      <c r="H726" s="110"/>
      <c r="I726" s="110"/>
      <c r="J726" s="110"/>
      <c r="K726" s="110"/>
      <c r="L726" s="110"/>
      <c r="M726" s="110"/>
      <c r="N726" s="110"/>
      <c r="O726" s="110"/>
      <c r="P726" s="110"/>
      <c r="Q726" s="277"/>
    </row>
    <row r="727" spans="1:18" ht="14.25" customHeight="1">
      <c r="A727" s="130"/>
      <c r="B727" s="110"/>
      <c r="C727" s="110"/>
      <c r="D727" s="110" t="s">
        <v>395</v>
      </c>
      <c r="E727" s="110"/>
      <c r="F727" s="835">
        <f>중기사용료!$M$473</f>
        <v>4461</v>
      </c>
      <c r="G727" s="835"/>
      <c r="H727" s="286" t="s">
        <v>975</v>
      </c>
      <c r="I727" s="118" t="s">
        <v>300</v>
      </c>
      <c r="J727" s="285">
        <f>N724</f>
        <v>2.54</v>
      </c>
      <c r="K727" s="282" t="s">
        <v>1582</v>
      </c>
      <c r="L727" s="121">
        <f>TRUNC(F727/J727)</f>
        <v>1756</v>
      </c>
      <c r="M727" s="118" t="s">
        <v>975</v>
      </c>
      <c r="N727" s="303" t="s">
        <v>416</v>
      </c>
      <c r="O727" s="110"/>
      <c r="P727" s="110"/>
      <c r="Q727" s="277"/>
    </row>
    <row r="728" spans="1:18" ht="14.25" customHeight="1">
      <c r="A728" s="130"/>
      <c r="B728" s="110"/>
      <c r="C728" s="118"/>
      <c r="D728" s="110"/>
      <c r="E728" s="290"/>
      <c r="F728" s="291"/>
      <c r="G728" s="291"/>
      <c r="H728" s="118"/>
      <c r="I728" s="110"/>
      <c r="J728" s="110"/>
      <c r="K728" s="285"/>
      <c r="L728" s="121"/>
      <c r="M728" s="118"/>
      <c r="N728" s="303"/>
      <c r="O728" s="110"/>
      <c r="P728" s="110"/>
      <c r="Q728" s="277"/>
    </row>
    <row r="729" spans="1:18" ht="14.25" customHeight="1">
      <c r="A729" s="130"/>
      <c r="B729" s="110"/>
      <c r="C729" s="110"/>
      <c r="D729" s="110" t="s">
        <v>396</v>
      </c>
      <c r="E729" s="110"/>
      <c r="F729" s="835">
        <f>중기사용료!$M$467</f>
        <v>24483</v>
      </c>
      <c r="G729" s="835"/>
      <c r="H729" s="286" t="s">
        <v>975</v>
      </c>
      <c r="I729" s="118" t="s">
        <v>300</v>
      </c>
      <c r="J729" s="285">
        <f>N724</f>
        <v>2.54</v>
      </c>
      <c r="K729" s="282" t="s">
        <v>1582</v>
      </c>
      <c r="L729" s="121">
        <f>TRUNC(F729/J729)</f>
        <v>9638</v>
      </c>
      <c r="M729" s="118" t="s">
        <v>975</v>
      </c>
      <c r="N729" s="303" t="s">
        <v>416</v>
      </c>
      <c r="O729" s="110"/>
      <c r="P729" s="110"/>
      <c r="Q729" s="277"/>
    </row>
    <row r="730" spans="1:18" ht="14.25" customHeight="1">
      <c r="A730" s="130"/>
      <c r="B730" s="110"/>
      <c r="C730" s="118"/>
      <c r="D730" s="110"/>
      <c r="E730" s="290"/>
      <c r="F730" s="291"/>
      <c r="G730" s="291"/>
      <c r="H730" s="118"/>
      <c r="I730" s="110"/>
      <c r="J730" s="110"/>
      <c r="K730" s="285"/>
      <c r="L730" s="121"/>
      <c r="M730" s="118"/>
      <c r="N730" s="303"/>
      <c r="O730" s="110"/>
      <c r="P730" s="110"/>
      <c r="Q730" s="277"/>
      <c r="R730" s="272" t="s">
        <v>1436</v>
      </c>
    </row>
    <row r="731" spans="1:18" ht="14.25" customHeight="1">
      <c r="A731" s="130"/>
      <c r="B731" s="110"/>
      <c r="C731" s="110"/>
      <c r="D731" s="110" t="s">
        <v>398</v>
      </c>
      <c r="E731" s="110"/>
      <c r="F731" s="835">
        <f>중기사용료!$M$461</f>
        <v>5567</v>
      </c>
      <c r="G731" s="835"/>
      <c r="H731" s="118" t="s">
        <v>975</v>
      </c>
      <c r="I731" s="118" t="s">
        <v>300</v>
      </c>
      <c r="J731" s="285">
        <f>N724</f>
        <v>2.54</v>
      </c>
      <c r="K731" s="282" t="s">
        <v>1582</v>
      </c>
      <c r="L731" s="121">
        <f>TRUNC(F731/J731)</f>
        <v>2191</v>
      </c>
      <c r="M731" s="121" t="s">
        <v>975</v>
      </c>
      <c r="N731" s="303" t="s">
        <v>416</v>
      </c>
      <c r="O731" s="110"/>
      <c r="P731" s="110"/>
      <c r="Q731" s="277"/>
    </row>
    <row r="732" spans="1:18" ht="14.25" customHeight="1">
      <c r="A732" s="130"/>
      <c r="B732" s="110"/>
      <c r="C732" s="118"/>
      <c r="D732" s="110"/>
      <c r="E732" s="110"/>
      <c r="F732" s="110"/>
      <c r="G732" s="110"/>
      <c r="H732" s="110"/>
      <c r="I732" s="110"/>
      <c r="J732" s="110"/>
      <c r="K732" s="110"/>
      <c r="L732" s="110"/>
      <c r="M732" s="118"/>
      <c r="N732" s="303"/>
      <c r="O732" s="110"/>
      <c r="P732" s="110"/>
      <c r="Q732" s="277"/>
    </row>
    <row r="733" spans="1:18" s="302" customFormat="1" ht="14.25" customHeight="1">
      <c r="A733" s="162"/>
      <c r="B733" s="164"/>
      <c r="C733" s="164"/>
      <c r="D733" s="164"/>
      <c r="E733" s="164"/>
      <c r="F733" s="299"/>
      <c r="G733" s="299"/>
      <c r="H733" s="299"/>
      <c r="I733" s="165"/>
      <c r="J733" s="164"/>
      <c r="K733" s="165" t="s">
        <v>1454</v>
      </c>
      <c r="L733" s="292">
        <f>SUM(L727,L729,L731)</f>
        <v>13585</v>
      </c>
      <c r="M733" s="164" t="s">
        <v>975</v>
      </c>
      <c r="N733" s="310" t="s">
        <v>416</v>
      </c>
      <c r="O733" s="300"/>
      <c r="P733" s="164"/>
      <c r="Q733" s="301"/>
      <c r="R733" s="272"/>
    </row>
    <row r="734" spans="1:18" ht="14.25" customHeight="1">
      <c r="A734" s="135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293"/>
    </row>
    <row r="735" spans="1:18" ht="14.25" customHeight="1">
      <c r="C735" s="177"/>
      <c r="E735" s="304"/>
      <c r="H735" s="177"/>
      <c r="I735" s="177"/>
      <c r="K735" s="305"/>
      <c r="L735" s="177"/>
      <c r="M735" s="161"/>
      <c r="N735" s="161"/>
      <c r="O735" s="177"/>
    </row>
    <row r="736" spans="1:18" s="265" customFormat="1" ht="14.25" customHeight="1">
      <c r="A736" s="306"/>
      <c r="B736" s="262" t="s">
        <v>2041</v>
      </c>
      <c r="C736" s="262"/>
      <c r="D736" s="262"/>
      <c r="E736" s="262"/>
      <c r="F736" s="262"/>
      <c r="G736" s="262"/>
      <c r="H736" s="263" t="s">
        <v>1418</v>
      </c>
      <c r="I736" s="263">
        <v>4.5</v>
      </c>
      <c r="J736" s="262" t="s">
        <v>1419</v>
      </c>
      <c r="K736" s="262"/>
      <c r="L736" s="263">
        <v>0.2</v>
      </c>
      <c r="M736" s="262" t="s">
        <v>1420</v>
      </c>
      <c r="N736" s="262"/>
      <c r="O736" s="261"/>
      <c r="P736" s="261"/>
      <c r="Q736" s="264"/>
      <c r="R736" s="265" t="s">
        <v>3299</v>
      </c>
    </row>
    <row r="737" spans="1:17" ht="14.25" customHeight="1">
      <c r="A737" s="266"/>
      <c r="B737" s="126"/>
      <c r="C737" s="126"/>
      <c r="D737" s="126"/>
      <c r="E737" s="267"/>
      <c r="F737" s="267"/>
      <c r="G737" s="268"/>
      <c r="H737" s="267"/>
      <c r="I737" s="267"/>
      <c r="J737" s="267"/>
      <c r="K737" s="267"/>
      <c r="L737" s="269"/>
      <c r="M737" s="270"/>
      <c r="N737" s="270"/>
      <c r="O737" s="126"/>
      <c r="P737" s="126"/>
      <c r="Q737" s="271"/>
    </row>
    <row r="738" spans="1:17" ht="14.25" customHeight="1">
      <c r="A738" s="273"/>
      <c r="B738" s="110" t="s">
        <v>1592</v>
      </c>
      <c r="C738" s="33" t="s">
        <v>1593</v>
      </c>
      <c r="D738" s="274"/>
      <c r="E738" s="275"/>
      <c r="F738" s="275"/>
      <c r="G738" s="121"/>
      <c r="H738" s="275"/>
      <c r="I738" s="275"/>
      <c r="J738" s="275"/>
      <c r="K738" s="275"/>
      <c r="L738" s="33"/>
      <c r="M738" s="276"/>
      <c r="N738" s="276"/>
      <c r="O738" s="110"/>
      <c r="P738" s="110"/>
      <c r="Q738" s="277"/>
    </row>
    <row r="739" spans="1:17" ht="14.25" customHeight="1">
      <c r="A739" s="273"/>
      <c r="Q739" s="277"/>
    </row>
    <row r="740" spans="1:17" ht="14.25" customHeight="1">
      <c r="A740" s="273"/>
      <c r="B740" s="118" t="s">
        <v>2267</v>
      </c>
      <c r="C740" s="110" t="s">
        <v>1422</v>
      </c>
      <c r="D740" s="110"/>
      <c r="E740" s="110"/>
      <c r="F740" s="110"/>
      <c r="G740" s="275" t="s">
        <v>1594</v>
      </c>
      <c r="H740" s="275">
        <v>1</v>
      </c>
      <c r="I740" s="275" t="s">
        <v>1595</v>
      </c>
      <c r="J740" s="274" t="s">
        <v>1596</v>
      </c>
      <c r="K740" s="110">
        <v>10</v>
      </c>
      <c r="L740" s="110" t="s">
        <v>1595</v>
      </c>
      <c r="M740" s="33" t="s">
        <v>1597</v>
      </c>
      <c r="N740" s="118"/>
      <c r="O740" s="110">
        <v>10</v>
      </c>
      <c r="P740" s="275" t="s">
        <v>1595</v>
      </c>
      <c r="Q740" s="277"/>
    </row>
    <row r="741" spans="1:17" ht="14.25" customHeight="1">
      <c r="A741" s="273"/>
      <c r="B741" s="118"/>
      <c r="C741" s="110"/>
      <c r="D741" s="110"/>
      <c r="E741" s="110"/>
      <c r="F741" s="110"/>
      <c r="G741" s="275"/>
      <c r="H741" s="275"/>
      <c r="I741" s="275"/>
      <c r="J741" s="274"/>
      <c r="K741" s="110"/>
      <c r="L741" s="110"/>
      <c r="M741" s="33"/>
      <c r="N741" s="118"/>
      <c r="O741" s="110"/>
      <c r="P741" s="275"/>
      <c r="Q741" s="277"/>
    </row>
    <row r="742" spans="1:17" ht="14.25" customHeight="1">
      <c r="A742" s="273"/>
      <c r="B742" s="110"/>
      <c r="C742" s="274"/>
      <c r="D742" s="274"/>
      <c r="E742" s="275"/>
      <c r="F742" s="275"/>
      <c r="G742" s="121"/>
      <c r="H742" s="275"/>
      <c r="I742" s="275"/>
      <c r="J742" s="275"/>
      <c r="K742" s="275"/>
      <c r="L742" s="33"/>
      <c r="M742" s="276"/>
      <c r="N742" s="276"/>
      <c r="O742" s="110"/>
      <c r="P742" s="110"/>
      <c r="Q742" s="277"/>
    </row>
    <row r="743" spans="1:17" ht="14.25" customHeight="1">
      <c r="A743" s="130"/>
      <c r="B743" s="110" t="s">
        <v>1592</v>
      </c>
      <c r="C743" s="110" t="s">
        <v>1198</v>
      </c>
      <c r="D743" s="110"/>
      <c r="E743" s="110"/>
      <c r="F743" s="110"/>
      <c r="G743" s="110"/>
      <c r="H743" s="110"/>
      <c r="I743" s="110"/>
      <c r="J743" s="110" t="s">
        <v>400</v>
      </c>
      <c r="K743" s="110"/>
      <c r="L743" s="118">
        <v>2.2999999999999998</v>
      </c>
      <c r="M743" s="110" t="s">
        <v>1805</v>
      </c>
      <c r="N743" s="110"/>
      <c r="O743" s="110"/>
      <c r="P743" s="110"/>
      <c r="Q743" s="277"/>
    </row>
    <row r="744" spans="1:17" ht="14.25" customHeight="1">
      <c r="A744" s="130"/>
      <c r="B744" s="118"/>
      <c r="C744" s="791" t="s">
        <v>1806</v>
      </c>
      <c r="D744" s="791" t="s">
        <v>1807</v>
      </c>
      <c r="E744" s="791"/>
      <c r="F744" s="791"/>
      <c r="G744" s="110"/>
      <c r="H744" s="110"/>
      <c r="I744" s="110"/>
      <c r="J744" s="110"/>
      <c r="K744" s="110"/>
      <c r="L744" s="110"/>
      <c r="M744" s="110"/>
      <c r="N744" s="110"/>
      <c r="O744" s="110"/>
      <c r="P744" s="110"/>
      <c r="Q744" s="277"/>
    </row>
    <row r="745" spans="1:17" ht="14.25" customHeight="1">
      <c r="A745" s="130"/>
      <c r="B745" s="118"/>
      <c r="C745" s="791"/>
      <c r="D745" s="843" t="s">
        <v>1583</v>
      </c>
      <c r="E745" s="843"/>
      <c r="F745" s="843"/>
      <c r="G745" s="110"/>
      <c r="H745" s="110"/>
      <c r="I745" s="110"/>
      <c r="J745" s="110"/>
      <c r="K745" s="110"/>
      <c r="L745" s="110"/>
      <c r="M745" s="110"/>
      <c r="N745" s="110"/>
      <c r="O745" s="110"/>
      <c r="P745" s="110"/>
      <c r="Q745" s="277"/>
    </row>
    <row r="746" spans="1:17" ht="14.25" customHeight="1">
      <c r="A746" s="130"/>
      <c r="B746" s="110"/>
      <c r="C746" s="110"/>
      <c r="D746" s="110"/>
      <c r="E746" s="110"/>
      <c r="F746" s="110"/>
      <c r="G746" s="110"/>
      <c r="H746" s="110"/>
      <c r="I746" s="110"/>
      <c r="J746" s="110"/>
      <c r="K746" s="110"/>
      <c r="L746" s="110"/>
      <c r="M746" s="110"/>
      <c r="N746" s="110"/>
      <c r="O746" s="110"/>
      <c r="P746" s="110"/>
      <c r="Q746" s="277"/>
    </row>
    <row r="747" spans="1:17" ht="14.25" customHeight="1">
      <c r="A747" s="130"/>
      <c r="B747" s="280"/>
      <c r="C747" s="118" t="s">
        <v>1808</v>
      </c>
      <c r="D747" s="110" t="s">
        <v>1809</v>
      </c>
      <c r="E747" s="110"/>
      <c r="F747" s="110"/>
      <c r="G747" s="118"/>
      <c r="H747" s="280"/>
      <c r="I747" s="118"/>
      <c r="J747" s="110"/>
      <c r="K747" s="110"/>
      <c r="L747" s="110"/>
      <c r="M747" s="110"/>
      <c r="N747" s="110"/>
      <c r="O747" s="110"/>
      <c r="P747" s="110"/>
      <c r="Q747" s="277"/>
    </row>
    <row r="748" spans="1:17" ht="14.25" customHeight="1">
      <c r="A748" s="130"/>
      <c r="B748" s="280"/>
      <c r="C748" s="118" t="s">
        <v>298</v>
      </c>
      <c r="D748" s="110" t="s">
        <v>299</v>
      </c>
      <c r="E748" s="118" t="s">
        <v>1526</v>
      </c>
      <c r="F748" s="281">
        <f>I736</f>
        <v>4.5</v>
      </c>
      <c r="G748" s="118" t="s">
        <v>300</v>
      </c>
      <c r="H748" s="118">
        <f>L743</f>
        <v>2.2999999999999998</v>
      </c>
      <c r="I748" s="118" t="s">
        <v>972</v>
      </c>
      <c r="J748" s="118">
        <v>1.4</v>
      </c>
      <c r="K748" s="118" t="s">
        <v>1582</v>
      </c>
      <c r="L748" s="282">
        <f>TRUNC(F748/H748*J748,2)</f>
        <v>2.73</v>
      </c>
      <c r="M748" s="118" t="s">
        <v>301</v>
      </c>
      <c r="N748" s="110"/>
      <c r="O748" s="110"/>
      <c r="P748" s="110"/>
      <c r="Q748" s="277"/>
    </row>
    <row r="749" spans="1:17" ht="14.25" customHeight="1">
      <c r="A749" s="130"/>
      <c r="B749" s="280"/>
      <c r="C749" s="118" t="s">
        <v>399</v>
      </c>
      <c r="D749" s="110" t="s">
        <v>1156</v>
      </c>
      <c r="E749" s="110"/>
      <c r="F749" s="118" t="s">
        <v>1526</v>
      </c>
      <c r="G749" s="283">
        <f>TRUNC(1/J749,2)</f>
        <v>0.71</v>
      </c>
      <c r="H749" s="280" t="s">
        <v>303</v>
      </c>
      <c r="I749" s="118" t="s">
        <v>300</v>
      </c>
      <c r="J749" s="118">
        <f>J748</f>
        <v>1.4</v>
      </c>
      <c r="K749" s="284" t="s">
        <v>304</v>
      </c>
      <c r="L749" s="110"/>
      <c r="M749" s="110"/>
      <c r="N749" s="110"/>
      <c r="O749" s="110"/>
      <c r="P749" s="110"/>
      <c r="Q749" s="277"/>
    </row>
    <row r="750" spans="1:17" ht="14.25" customHeight="1">
      <c r="A750" s="130"/>
      <c r="B750" s="280"/>
      <c r="C750" s="118" t="s">
        <v>1703</v>
      </c>
      <c r="D750" s="110" t="s">
        <v>1207</v>
      </c>
      <c r="E750" s="110"/>
      <c r="F750" s="118" t="s">
        <v>1526</v>
      </c>
      <c r="G750" s="118">
        <v>0.9</v>
      </c>
      <c r="H750" s="280"/>
      <c r="I750" s="110"/>
      <c r="J750" s="110"/>
      <c r="K750" s="110"/>
      <c r="L750" s="110"/>
      <c r="M750" s="110"/>
      <c r="N750" s="110"/>
      <c r="O750" s="110"/>
      <c r="P750" s="110"/>
      <c r="Q750" s="277"/>
    </row>
    <row r="751" spans="1:17" ht="14.25" customHeight="1">
      <c r="A751" s="130"/>
      <c r="B751" s="280"/>
      <c r="C751" s="118" t="s">
        <v>1704</v>
      </c>
      <c r="D751" s="110" t="s">
        <v>401</v>
      </c>
      <c r="E751" s="110"/>
      <c r="F751" s="118"/>
      <c r="G751" s="840">
        <f>E769</f>
        <v>30.26</v>
      </c>
      <c r="H751" s="840"/>
      <c r="I751" s="118" t="s">
        <v>1600</v>
      </c>
      <c r="J751" s="110"/>
      <c r="K751" s="110"/>
      <c r="L751" s="110"/>
      <c r="M751" s="110"/>
      <c r="N751" s="110"/>
      <c r="O751" s="110"/>
      <c r="P751" s="110"/>
      <c r="Q751" s="277"/>
    </row>
    <row r="752" spans="1:17" ht="14.25" customHeight="1">
      <c r="A752" s="130"/>
      <c r="B752" s="280"/>
      <c r="C752" s="118" t="s">
        <v>1704</v>
      </c>
      <c r="D752" s="110" t="s">
        <v>1746</v>
      </c>
      <c r="E752" s="110"/>
      <c r="F752" s="110"/>
      <c r="G752" s="110"/>
      <c r="H752" s="280"/>
      <c r="I752" s="110"/>
      <c r="J752" s="110"/>
      <c r="K752" s="110"/>
      <c r="L752" s="110"/>
      <c r="M752" s="110"/>
      <c r="N752" s="110"/>
      <c r="O752" s="110"/>
      <c r="P752" s="110"/>
      <c r="Q752" s="277"/>
    </row>
    <row r="753" spans="1:17" ht="14.25" customHeight="1">
      <c r="A753" s="130"/>
      <c r="B753" s="110"/>
      <c r="C753" s="118" t="s">
        <v>1706</v>
      </c>
      <c r="D753" s="110" t="s">
        <v>1707</v>
      </c>
      <c r="E753" s="838">
        <f>E761</f>
        <v>16.54</v>
      </c>
      <c r="F753" s="838"/>
      <c r="G753" s="110" t="s">
        <v>402</v>
      </c>
      <c r="H753" s="285" t="s">
        <v>403</v>
      </c>
      <c r="I753" s="118"/>
      <c r="J753" s="118"/>
      <c r="K753" s="110"/>
      <c r="L753" s="118"/>
      <c r="M753" s="286"/>
      <c r="N753" s="286"/>
      <c r="O753" s="118"/>
      <c r="P753" s="110"/>
      <c r="Q753" s="277"/>
    </row>
    <row r="754" spans="1:17" ht="14.25" customHeight="1">
      <c r="A754" s="130"/>
      <c r="B754" s="110"/>
      <c r="C754" s="118"/>
      <c r="E754" s="288"/>
      <c r="F754" s="286"/>
      <c r="G754" s="110"/>
      <c r="H754" s="285"/>
      <c r="I754" s="118"/>
      <c r="J754" s="118"/>
      <c r="K754" s="110"/>
      <c r="L754" s="118"/>
      <c r="M754" s="286"/>
      <c r="N754" s="286"/>
      <c r="O754" s="118"/>
      <c r="P754" s="110"/>
      <c r="Q754" s="277"/>
    </row>
    <row r="755" spans="1:17" ht="14.25" customHeight="1">
      <c r="A755" s="130"/>
      <c r="B755" s="110"/>
      <c r="C755" s="118"/>
      <c r="D755" s="118" t="s">
        <v>404</v>
      </c>
      <c r="E755" s="846">
        <v>18</v>
      </c>
      <c r="F755" s="846"/>
      <c r="G755" s="110" t="s">
        <v>405</v>
      </c>
      <c r="H755" s="285" t="s">
        <v>406</v>
      </c>
      <c r="I755" s="118"/>
      <c r="J755" s="109"/>
      <c r="K755" s="110"/>
      <c r="L755" s="109"/>
      <c r="M755" s="286"/>
      <c r="N755" s="286"/>
      <c r="O755" s="118"/>
      <c r="P755" s="110"/>
      <c r="Q755" s="277"/>
    </row>
    <row r="756" spans="1:17" ht="14.25" customHeight="1">
      <c r="A756" s="130"/>
      <c r="B756" s="110"/>
      <c r="C756" s="118"/>
      <c r="D756" s="280"/>
      <c r="E756" s="288"/>
      <c r="F756" s="286"/>
      <c r="G756" s="110"/>
      <c r="H756" s="285"/>
      <c r="I756" s="307"/>
      <c r="K756" s="110"/>
      <c r="L756" s="118"/>
      <c r="M756" s="286"/>
      <c r="N756" s="286"/>
      <c r="O756" s="118"/>
      <c r="P756" s="110"/>
      <c r="Q756" s="277"/>
    </row>
    <row r="757" spans="1:17" ht="14.25" customHeight="1">
      <c r="A757" s="130"/>
      <c r="B757" s="110"/>
      <c r="C757" s="118"/>
      <c r="D757" s="110" t="s">
        <v>407</v>
      </c>
      <c r="E757" s="288" t="s">
        <v>408</v>
      </c>
      <c r="F757" s="286"/>
      <c r="G757" s="110"/>
      <c r="H757" s="308" t="s">
        <v>409</v>
      </c>
      <c r="I757" s="118">
        <v>0.55000000000000004</v>
      </c>
      <c r="J757" s="118"/>
      <c r="K757" s="110"/>
      <c r="L757" s="118"/>
      <c r="M757" s="286"/>
      <c r="N757" s="286"/>
      <c r="O757" s="118"/>
      <c r="P757" s="110"/>
      <c r="Q757" s="277"/>
    </row>
    <row r="758" spans="1:17" ht="14.25" customHeight="1">
      <c r="A758" s="130"/>
      <c r="B758" s="110"/>
      <c r="C758" s="118"/>
      <c r="D758" s="110" t="s">
        <v>410</v>
      </c>
      <c r="E758" s="838">
        <f>L748</f>
        <v>2.73</v>
      </c>
      <c r="F758" s="838"/>
      <c r="G758" s="118" t="s">
        <v>411</v>
      </c>
      <c r="H758" s="285">
        <f>L736</f>
        <v>0.2</v>
      </c>
      <c r="I758" s="118" t="s">
        <v>86</v>
      </c>
      <c r="J758" s="118">
        <f>I757</f>
        <v>0.55000000000000004</v>
      </c>
      <c r="K758" s="110" t="s">
        <v>412</v>
      </c>
      <c r="L758" s="118">
        <f>TRUNC(E758/(H758*J758),2)</f>
        <v>24.81</v>
      </c>
      <c r="M758" s="286" t="s">
        <v>969</v>
      </c>
      <c r="N758" s="286"/>
      <c r="O758" s="118"/>
      <c r="P758" s="110"/>
      <c r="Q758" s="277"/>
    </row>
    <row r="759" spans="1:17" ht="14.25" customHeight="1">
      <c r="A759" s="130"/>
      <c r="B759" s="110"/>
      <c r="C759" s="118"/>
      <c r="D759" s="110" t="s">
        <v>413</v>
      </c>
      <c r="E759" s="838">
        <v>0.45</v>
      </c>
      <c r="F759" s="838"/>
      <c r="G759" s="118"/>
      <c r="H759" s="285"/>
      <c r="I759" s="118"/>
      <c r="J759" s="118"/>
      <c r="K759" s="110"/>
      <c r="L759" s="118"/>
      <c r="M759" s="286"/>
      <c r="N759" s="286"/>
      <c r="O759" s="118"/>
      <c r="P759" s="110"/>
      <c r="Q759" s="277"/>
    </row>
    <row r="760" spans="1:17" ht="14.25" customHeight="1">
      <c r="A760" s="130"/>
      <c r="B760" s="110"/>
      <c r="C760" s="118" t="s">
        <v>1601</v>
      </c>
      <c r="D760" s="110" t="s">
        <v>1709</v>
      </c>
      <c r="E760" s="845">
        <f>E755</f>
        <v>18</v>
      </c>
      <c r="F760" s="845"/>
      <c r="G760" s="118" t="s">
        <v>972</v>
      </c>
      <c r="H760" s="285">
        <f>L758</f>
        <v>24.81</v>
      </c>
      <c r="I760" s="118" t="s">
        <v>414</v>
      </c>
      <c r="J760" s="118">
        <v>60</v>
      </c>
      <c r="K760" s="118" t="s">
        <v>972</v>
      </c>
      <c r="L760" s="282">
        <f>E759</f>
        <v>0.45</v>
      </c>
      <c r="M760" s="288" t="s">
        <v>2112</v>
      </c>
      <c r="N760" s="286"/>
      <c r="O760" s="118"/>
      <c r="P760" s="110"/>
      <c r="Q760" s="277"/>
    </row>
    <row r="761" spans="1:17" ht="14.25" customHeight="1">
      <c r="A761" s="130"/>
      <c r="B761" s="110"/>
      <c r="C761" s="118"/>
      <c r="D761" s="110" t="s">
        <v>410</v>
      </c>
      <c r="E761" s="838">
        <f>TRUNC((E760*H760)/(J760*L760),2)</f>
        <v>16.54</v>
      </c>
      <c r="F761" s="838"/>
      <c r="G761" s="110" t="s">
        <v>415</v>
      </c>
      <c r="H761" s="287"/>
      <c r="I761" s="118"/>
      <c r="J761" s="118"/>
      <c r="K761" s="118"/>
      <c r="L761" s="118"/>
      <c r="M761" s="286"/>
      <c r="N761" s="286"/>
      <c r="O761" s="118"/>
      <c r="P761" s="110"/>
      <c r="Q761" s="277"/>
    </row>
    <row r="762" spans="1:17" ht="14.25" customHeight="1">
      <c r="A762" s="130"/>
      <c r="B762" s="110"/>
      <c r="C762" s="118" t="s">
        <v>2110</v>
      </c>
      <c r="D762" s="110" t="s">
        <v>381</v>
      </c>
      <c r="E762" s="791">
        <f>J765</f>
        <v>12</v>
      </c>
      <c r="F762" s="791"/>
      <c r="G762" s="110" t="s">
        <v>382</v>
      </c>
      <c r="H762" s="118"/>
      <c r="I762" s="110"/>
      <c r="J762" s="110"/>
      <c r="K762" s="110"/>
      <c r="L762" s="118"/>
      <c r="M762" s="118"/>
      <c r="N762" s="118"/>
      <c r="O762" s="110"/>
      <c r="P762" s="110"/>
      <c r="Q762" s="277"/>
    </row>
    <row r="763" spans="1:17" ht="14.25" customHeight="1">
      <c r="A763" s="130"/>
      <c r="B763" s="110"/>
      <c r="C763" s="280" t="s">
        <v>2111</v>
      </c>
      <c r="D763" s="118">
        <f>H740</f>
        <v>1</v>
      </c>
      <c r="E763" s="118" t="s">
        <v>300</v>
      </c>
      <c r="F763" s="118">
        <f>K740</f>
        <v>10</v>
      </c>
      <c r="G763" s="110" t="s">
        <v>383</v>
      </c>
      <c r="H763" s="118">
        <f>H740</f>
        <v>1</v>
      </c>
      <c r="I763" s="118" t="s">
        <v>300</v>
      </c>
      <c r="J763" s="118">
        <f>O740</f>
        <v>10</v>
      </c>
      <c r="K763" s="118" t="s">
        <v>304</v>
      </c>
      <c r="L763" s="118"/>
      <c r="M763" s="118"/>
      <c r="N763" s="118"/>
      <c r="O763" s="118"/>
      <c r="P763" s="110"/>
      <c r="Q763" s="277"/>
    </row>
    <row r="764" spans="1:17" ht="14.25" customHeight="1">
      <c r="A764" s="130"/>
      <c r="B764" s="110"/>
      <c r="C764" s="309"/>
      <c r="D764" s="118"/>
      <c r="E764" s="118"/>
      <c r="F764" s="118"/>
      <c r="G764" s="110"/>
      <c r="H764" s="118"/>
      <c r="I764" s="118"/>
      <c r="J764" s="118"/>
      <c r="K764" s="118"/>
      <c r="L764" s="118"/>
      <c r="M764" s="118"/>
      <c r="N764" s="118"/>
      <c r="O764" s="118"/>
      <c r="P764" s="110"/>
      <c r="Q764" s="277"/>
    </row>
    <row r="765" spans="1:17" ht="14.25" customHeight="1">
      <c r="A765" s="130"/>
      <c r="B765" s="110"/>
      <c r="C765" s="118"/>
      <c r="D765" s="280" t="s">
        <v>1582</v>
      </c>
      <c r="E765" s="791">
        <f>(D763/F763)+(H763/J763)</f>
        <v>0.2</v>
      </c>
      <c r="F765" s="791"/>
      <c r="G765" s="110" t="s">
        <v>384</v>
      </c>
      <c r="H765" s="118">
        <v>60</v>
      </c>
      <c r="I765" s="118" t="s">
        <v>1582</v>
      </c>
      <c r="J765" s="283">
        <f>TRUNC(E765*H765,2)</f>
        <v>12</v>
      </c>
      <c r="K765" s="286" t="s">
        <v>1600</v>
      </c>
      <c r="L765" s="110"/>
      <c r="M765" s="110"/>
      <c r="N765" s="118"/>
      <c r="O765" s="110"/>
      <c r="P765" s="110"/>
      <c r="Q765" s="277"/>
    </row>
    <row r="766" spans="1:17" ht="14.25" customHeight="1">
      <c r="A766" s="130"/>
      <c r="B766" s="110"/>
      <c r="C766" s="118" t="s">
        <v>2113</v>
      </c>
      <c r="D766" s="110" t="s">
        <v>385</v>
      </c>
      <c r="E766" s="840">
        <v>0.8</v>
      </c>
      <c r="F766" s="840"/>
      <c r="G766" s="110" t="s">
        <v>1600</v>
      </c>
      <c r="H766" s="118"/>
      <c r="I766" s="110"/>
      <c r="J766" s="118"/>
      <c r="K766" s="110"/>
      <c r="L766" s="110"/>
      <c r="M766" s="110"/>
      <c r="N766" s="110"/>
      <c r="O766" s="110"/>
      <c r="P766" s="110"/>
      <c r="Q766" s="277"/>
    </row>
    <row r="767" spans="1:17" ht="14.25" customHeight="1">
      <c r="A767" s="130"/>
      <c r="B767" s="110"/>
      <c r="C767" s="118" t="s">
        <v>2114</v>
      </c>
      <c r="D767" s="110" t="s">
        <v>387</v>
      </c>
      <c r="E767" s="791">
        <v>0.42</v>
      </c>
      <c r="F767" s="791"/>
      <c r="G767" s="110" t="s">
        <v>388</v>
      </c>
      <c r="H767" s="118"/>
      <c r="I767" s="110"/>
      <c r="J767" s="110"/>
      <c r="K767" s="110"/>
      <c r="L767" s="110"/>
      <c r="M767" s="118"/>
      <c r="N767" s="118"/>
      <c r="O767" s="110"/>
      <c r="P767" s="110"/>
      <c r="Q767" s="277"/>
    </row>
    <row r="768" spans="1:17" ht="14.25" customHeight="1">
      <c r="A768" s="130"/>
      <c r="B768" s="110"/>
      <c r="C768" s="118" t="s">
        <v>3102</v>
      </c>
      <c r="D768" s="110" t="s">
        <v>389</v>
      </c>
      <c r="E768" s="791">
        <v>0.5</v>
      </c>
      <c r="F768" s="791"/>
      <c r="G768" s="110" t="s">
        <v>390</v>
      </c>
      <c r="H768" s="110"/>
      <c r="I768" s="110"/>
      <c r="J768" s="110"/>
      <c r="K768" s="110"/>
      <c r="L768" s="110"/>
      <c r="M768" s="110"/>
      <c r="N768" s="110"/>
      <c r="O768" s="110"/>
      <c r="P768" s="110"/>
      <c r="Q768" s="277"/>
    </row>
    <row r="769" spans="1:18" ht="14.25" customHeight="1">
      <c r="A769" s="130"/>
      <c r="B769" s="110"/>
      <c r="C769" s="118"/>
      <c r="D769" s="118" t="s">
        <v>1454</v>
      </c>
      <c r="E769" s="840">
        <f>E753+E762+E766+E767+E768</f>
        <v>30.26</v>
      </c>
      <c r="F769" s="840"/>
      <c r="G769" s="110" t="s">
        <v>1600</v>
      </c>
      <c r="H769" s="110"/>
      <c r="I769" s="110"/>
      <c r="J769" s="110"/>
      <c r="K769" s="110"/>
      <c r="L769" s="110"/>
      <c r="M769" s="110"/>
      <c r="N769" s="110"/>
      <c r="O769" s="110"/>
      <c r="P769" s="110"/>
      <c r="Q769" s="277"/>
    </row>
    <row r="770" spans="1:18" ht="14.25" customHeight="1">
      <c r="A770" s="130"/>
      <c r="B770" s="118"/>
      <c r="C770" s="118"/>
      <c r="D770" s="110"/>
      <c r="E770" s="118"/>
      <c r="F770" s="110"/>
      <c r="G770" s="110"/>
      <c r="H770" s="110"/>
      <c r="I770" s="110"/>
      <c r="J770" s="110"/>
      <c r="K770" s="110"/>
      <c r="L770" s="110"/>
      <c r="M770" s="110"/>
      <c r="N770" s="110"/>
      <c r="O770" s="110"/>
      <c r="P770" s="110"/>
      <c r="Q770" s="277"/>
    </row>
    <row r="771" spans="1:18" ht="14.25" customHeight="1">
      <c r="A771" s="130" t="s">
        <v>391</v>
      </c>
      <c r="B771" s="110" t="s">
        <v>392</v>
      </c>
      <c r="C771" s="118"/>
      <c r="D771" s="110"/>
      <c r="E771" s="118"/>
      <c r="F771" s="110"/>
      <c r="G771" s="110"/>
      <c r="H771" s="110"/>
      <c r="I771" s="110"/>
      <c r="J771" s="110"/>
      <c r="K771" s="110"/>
      <c r="L771" s="110"/>
      <c r="M771" s="110"/>
      <c r="N771" s="110"/>
      <c r="O771" s="110"/>
      <c r="P771" s="110"/>
      <c r="Q771" s="277"/>
    </row>
    <row r="772" spans="1:18" ht="14.25" customHeight="1">
      <c r="A772" s="130"/>
      <c r="B772" s="280"/>
      <c r="C772" s="110"/>
      <c r="D772" s="110"/>
      <c r="E772" s="110"/>
      <c r="F772" s="110"/>
      <c r="G772" s="110"/>
      <c r="H772" s="110"/>
      <c r="I772" s="110"/>
      <c r="J772" s="110"/>
      <c r="K772" s="110"/>
      <c r="L772" s="110"/>
      <c r="M772" s="110"/>
      <c r="N772" s="110"/>
      <c r="O772" s="110"/>
      <c r="P772" s="110"/>
      <c r="Q772" s="277"/>
    </row>
    <row r="773" spans="1:18" ht="14.25" customHeight="1">
      <c r="A773" s="841"/>
      <c r="B773" s="791" t="s">
        <v>1111</v>
      </c>
      <c r="C773" s="791" t="s">
        <v>1582</v>
      </c>
      <c r="D773" s="280" t="s">
        <v>393</v>
      </c>
      <c r="E773" s="318">
        <f>G749</f>
        <v>0.71</v>
      </c>
      <c r="F773" s="118" t="s">
        <v>972</v>
      </c>
      <c r="G773" s="282">
        <f>L748</f>
        <v>2.73</v>
      </c>
      <c r="H773" s="118" t="s">
        <v>972</v>
      </c>
      <c r="I773" s="118">
        <f>G750</f>
        <v>0.9</v>
      </c>
      <c r="J773" s="791" t="s">
        <v>1582</v>
      </c>
      <c r="K773" s="837">
        <f>TRUNC(E773*G773*I773*60,3)</f>
        <v>104.66800000000001</v>
      </c>
      <c r="L773" s="837"/>
      <c r="M773" s="791" t="s">
        <v>1582</v>
      </c>
      <c r="N773" s="838">
        <f>TRUNC(K773/K774,2)</f>
        <v>3.45</v>
      </c>
      <c r="O773" s="838"/>
      <c r="P773" s="110" t="s">
        <v>301</v>
      </c>
      <c r="Q773" s="277"/>
    </row>
    <row r="774" spans="1:18" ht="14.25" customHeight="1">
      <c r="A774" s="841"/>
      <c r="B774" s="791"/>
      <c r="C774" s="791"/>
      <c r="D774" s="850">
        <f>G751</f>
        <v>30.26</v>
      </c>
      <c r="E774" s="850"/>
      <c r="F774" s="850"/>
      <c r="G774" s="850"/>
      <c r="H774" s="850"/>
      <c r="I774" s="850"/>
      <c r="J774" s="791"/>
      <c r="K774" s="839">
        <f>D774</f>
        <v>30.26</v>
      </c>
      <c r="L774" s="839"/>
      <c r="M774" s="791"/>
      <c r="N774" s="838"/>
      <c r="O774" s="838"/>
      <c r="P774" s="110"/>
      <c r="Q774" s="277" t="s">
        <v>394</v>
      </c>
    </row>
    <row r="775" spans="1:18" ht="14.25" customHeight="1">
      <c r="A775" s="130"/>
      <c r="B775" s="110"/>
      <c r="C775" s="110"/>
      <c r="D775" s="110"/>
      <c r="E775" s="110"/>
      <c r="F775" s="110"/>
      <c r="G775" s="110"/>
      <c r="H775" s="110"/>
      <c r="I775" s="110"/>
      <c r="J775" s="110"/>
      <c r="K775" s="110"/>
      <c r="L775" s="110"/>
      <c r="M775" s="110"/>
      <c r="N775" s="110"/>
      <c r="O775" s="110"/>
      <c r="P775" s="110"/>
      <c r="Q775" s="277"/>
    </row>
    <row r="776" spans="1:18" ht="14.25" customHeight="1">
      <c r="A776" s="130"/>
      <c r="B776" s="110"/>
      <c r="C776" s="110"/>
      <c r="D776" s="110" t="s">
        <v>395</v>
      </c>
      <c r="E776" s="110"/>
      <c r="F776" s="835">
        <f>중기사용료!$M$492</f>
        <v>7692</v>
      </c>
      <c r="G776" s="835"/>
      <c r="H776" s="286" t="s">
        <v>975</v>
      </c>
      <c r="I776" s="118" t="s">
        <v>300</v>
      </c>
      <c r="J776" s="285">
        <f>N773</f>
        <v>3.45</v>
      </c>
      <c r="K776" s="282" t="s">
        <v>1582</v>
      </c>
      <c r="L776" s="121">
        <f>TRUNC(F776/J776)</f>
        <v>2229</v>
      </c>
      <c r="M776" s="118" t="s">
        <v>975</v>
      </c>
      <c r="N776" s="303" t="s">
        <v>416</v>
      </c>
      <c r="O776" s="110"/>
      <c r="P776" s="110"/>
      <c r="Q776" s="277"/>
    </row>
    <row r="777" spans="1:18" ht="14.25" customHeight="1">
      <c r="A777" s="130"/>
      <c r="B777" s="110"/>
      <c r="C777" s="118"/>
      <c r="D777" s="110"/>
      <c r="E777" s="290"/>
      <c r="F777" s="291"/>
      <c r="G777" s="291"/>
      <c r="H777" s="118"/>
      <c r="I777" s="110"/>
      <c r="J777" s="110"/>
      <c r="K777" s="285"/>
      <c r="L777" s="121"/>
      <c r="M777" s="118"/>
      <c r="N777" s="303"/>
      <c r="O777" s="110"/>
      <c r="P777" s="110"/>
      <c r="Q777" s="277"/>
    </row>
    <row r="778" spans="1:18" ht="14.25" customHeight="1">
      <c r="A778" s="130"/>
      <c r="B778" s="110"/>
      <c r="C778" s="110"/>
      <c r="D778" s="110" t="s">
        <v>396</v>
      </c>
      <c r="E778" s="110"/>
      <c r="F778" s="835">
        <f>중기사용료!$M$486</f>
        <v>24483</v>
      </c>
      <c r="G778" s="835"/>
      <c r="H778" s="286" t="s">
        <v>975</v>
      </c>
      <c r="I778" s="118" t="s">
        <v>300</v>
      </c>
      <c r="J778" s="285">
        <f>N773</f>
        <v>3.45</v>
      </c>
      <c r="K778" s="282" t="s">
        <v>1582</v>
      </c>
      <c r="L778" s="121">
        <f>TRUNC(F778/J778)</f>
        <v>7096</v>
      </c>
      <c r="M778" s="118" t="s">
        <v>975</v>
      </c>
      <c r="N778" s="303" t="s">
        <v>416</v>
      </c>
      <c r="O778" s="110"/>
      <c r="P778" s="110"/>
      <c r="Q778" s="277"/>
    </row>
    <row r="779" spans="1:18" ht="14.25" customHeight="1">
      <c r="A779" s="130"/>
      <c r="B779" s="110"/>
      <c r="C779" s="118"/>
      <c r="D779" s="110"/>
      <c r="E779" s="290"/>
      <c r="F779" s="291"/>
      <c r="G779" s="291"/>
      <c r="H779" s="118"/>
      <c r="I779" s="110"/>
      <c r="J779" s="110"/>
      <c r="K779" s="285"/>
      <c r="L779" s="121"/>
      <c r="M779" s="118"/>
      <c r="N779" s="303"/>
      <c r="O779" s="110"/>
      <c r="P779" s="110"/>
      <c r="Q779" s="277"/>
      <c r="R779" s="272" t="s">
        <v>1436</v>
      </c>
    </row>
    <row r="780" spans="1:18" ht="14.25" customHeight="1">
      <c r="A780" s="130"/>
      <c r="B780" s="110"/>
      <c r="C780" s="110"/>
      <c r="D780" s="110" t="s">
        <v>398</v>
      </c>
      <c r="E780" s="110"/>
      <c r="F780" s="835">
        <f>중기사용료!$M$480</f>
        <v>6499</v>
      </c>
      <c r="G780" s="835"/>
      <c r="H780" s="118" t="s">
        <v>975</v>
      </c>
      <c r="I780" s="118" t="s">
        <v>300</v>
      </c>
      <c r="J780" s="285">
        <f>N773</f>
        <v>3.45</v>
      </c>
      <c r="K780" s="282" t="s">
        <v>1582</v>
      </c>
      <c r="L780" s="121">
        <f>TRUNC(F780/J780)</f>
        <v>1883</v>
      </c>
      <c r="M780" s="121" t="s">
        <v>975</v>
      </c>
      <c r="N780" s="303" t="s">
        <v>416</v>
      </c>
      <c r="O780" s="110"/>
      <c r="P780" s="110"/>
      <c r="Q780" s="277"/>
    </row>
    <row r="781" spans="1:18" ht="14.25" customHeight="1">
      <c r="A781" s="130"/>
      <c r="B781" s="110"/>
      <c r="C781" s="118"/>
      <c r="D781" s="110"/>
      <c r="E781" s="110"/>
      <c r="F781" s="110"/>
      <c r="G781" s="110"/>
      <c r="H781" s="110"/>
      <c r="I781" s="110"/>
      <c r="J781" s="110"/>
      <c r="K781" s="110"/>
      <c r="L781" s="110"/>
      <c r="M781" s="118"/>
      <c r="N781" s="303"/>
      <c r="O781" s="110"/>
      <c r="P781" s="110"/>
      <c r="Q781" s="277"/>
    </row>
    <row r="782" spans="1:18" s="302" customFormat="1" ht="14.25" customHeight="1">
      <c r="A782" s="162"/>
      <c r="B782" s="164"/>
      <c r="C782" s="164"/>
      <c r="D782" s="164"/>
      <c r="E782" s="164"/>
      <c r="F782" s="299"/>
      <c r="G782" s="299"/>
      <c r="H782" s="299"/>
      <c r="I782" s="165"/>
      <c r="J782" s="164"/>
      <c r="K782" s="165" t="s">
        <v>1454</v>
      </c>
      <c r="L782" s="292">
        <f>SUM(L776,L778,L780)</f>
        <v>11208</v>
      </c>
      <c r="M782" s="164" t="s">
        <v>975</v>
      </c>
      <c r="N782" s="310" t="s">
        <v>416</v>
      </c>
      <c r="O782" s="300"/>
      <c r="P782" s="164"/>
      <c r="Q782" s="301"/>
      <c r="R782" s="272"/>
    </row>
    <row r="783" spans="1:18" ht="14.25" customHeight="1">
      <c r="A783" s="135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293"/>
    </row>
    <row r="784" spans="1:18" ht="14.25" customHeight="1">
      <c r="C784" s="177"/>
      <c r="E784" s="304"/>
      <c r="H784" s="177"/>
      <c r="I784" s="177"/>
      <c r="K784" s="305"/>
      <c r="L784" s="177"/>
      <c r="M784" s="161"/>
      <c r="N784" s="161"/>
      <c r="O784" s="177"/>
    </row>
    <row r="785" spans="1:18" s="265" customFormat="1" ht="14.25" customHeight="1">
      <c r="A785" s="306"/>
      <c r="B785" s="262" t="s">
        <v>1763</v>
      </c>
      <c r="C785" s="262"/>
      <c r="D785" s="262"/>
      <c r="E785" s="262"/>
      <c r="F785" s="262"/>
      <c r="G785" s="262"/>
      <c r="H785" s="263" t="s">
        <v>1421</v>
      </c>
      <c r="I785" s="263">
        <v>4.5</v>
      </c>
      <c r="J785" s="262" t="s">
        <v>1419</v>
      </c>
      <c r="K785" s="262"/>
      <c r="L785" s="263">
        <v>0.4</v>
      </c>
      <c r="M785" s="262" t="s">
        <v>1420</v>
      </c>
      <c r="N785" s="262"/>
      <c r="O785" s="261"/>
      <c r="P785" s="261"/>
      <c r="Q785" s="264"/>
      <c r="R785" s="265" t="s">
        <v>3299</v>
      </c>
    </row>
    <row r="786" spans="1:18" ht="14.25" customHeight="1">
      <c r="A786" s="266"/>
      <c r="B786" s="126"/>
      <c r="C786" s="126"/>
      <c r="D786" s="126"/>
      <c r="E786" s="267"/>
      <c r="F786" s="267"/>
      <c r="G786" s="268"/>
      <c r="H786" s="267"/>
      <c r="I786" s="267"/>
      <c r="J786" s="267"/>
      <c r="K786" s="267"/>
      <c r="L786" s="269"/>
      <c r="M786" s="270"/>
      <c r="N786" s="270"/>
      <c r="O786" s="126"/>
      <c r="P786" s="126"/>
      <c r="Q786" s="271"/>
    </row>
    <row r="787" spans="1:18" ht="14.25" customHeight="1">
      <c r="A787" s="273"/>
      <c r="B787" s="110" t="s">
        <v>1592</v>
      </c>
      <c r="C787" s="33" t="s">
        <v>1593</v>
      </c>
      <c r="D787" s="274"/>
      <c r="E787" s="275"/>
      <c r="F787" s="275"/>
      <c r="G787" s="121"/>
      <c r="H787" s="275"/>
      <c r="I787" s="275"/>
      <c r="J787" s="275"/>
      <c r="K787" s="275"/>
      <c r="L787" s="33"/>
      <c r="M787" s="276"/>
      <c r="N787" s="276"/>
      <c r="O787" s="110"/>
      <c r="P787" s="110"/>
      <c r="Q787" s="277"/>
    </row>
    <row r="788" spans="1:18" ht="14.25" customHeight="1">
      <c r="A788" s="273"/>
      <c r="Q788" s="277"/>
    </row>
    <row r="789" spans="1:18" ht="14.25" customHeight="1">
      <c r="A789" s="273"/>
      <c r="B789" s="118" t="s">
        <v>2267</v>
      </c>
      <c r="C789" s="110" t="s">
        <v>1422</v>
      </c>
      <c r="D789" s="110"/>
      <c r="E789" s="110"/>
      <c r="F789" s="110"/>
      <c r="G789" s="275" t="s">
        <v>1594</v>
      </c>
      <c r="H789" s="275">
        <v>1</v>
      </c>
      <c r="I789" s="275" t="s">
        <v>1595</v>
      </c>
      <c r="J789" s="274" t="s">
        <v>1596</v>
      </c>
      <c r="K789" s="110">
        <v>10</v>
      </c>
      <c r="L789" s="110" t="s">
        <v>1595</v>
      </c>
      <c r="M789" s="33" t="s">
        <v>1597</v>
      </c>
      <c r="N789" s="118"/>
      <c r="O789" s="110">
        <v>10</v>
      </c>
      <c r="P789" s="275" t="s">
        <v>1595</v>
      </c>
      <c r="Q789" s="277"/>
    </row>
    <row r="790" spans="1:18" ht="14.25" customHeight="1">
      <c r="A790" s="273"/>
      <c r="B790" s="118"/>
      <c r="C790" s="110"/>
      <c r="D790" s="110"/>
      <c r="E790" s="110"/>
      <c r="F790" s="110"/>
      <c r="G790" s="275"/>
      <c r="H790" s="275"/>
      <c r="I790" s="275"/>
      <c r="J790" s="274"/>
      <c r="K790" s="110"/>
      <c r="L790" s="110"/>
      <c r="M790" s="33"/>
      <c r="N790" s="118"/>
      <c r="O790" s="110"/>
      <c r="P790" s="275"/>
      <c r="Q790" s="277"/>
    </row>
    <row r="791" spans="1:18" ht="14.25" customHeight="1">
      <c r="A791" s="273"/>
      <c r="B791" s="110"/>
      <c r="C791" s="274"/>
      <c r="D791" s="274"/>
      <c r="E791" s="275"/>
      <c r="F791" s="275"/>
      <c r="G791" s="121"/>
      <c r="H791" s="275"/>
      <c r="I791" s="275"/>
      <c r="J791" s="275"/>
      <c r="K791" s="275"/>
      <c r="L791" s="33"/>
      <c r="M791" s="276"/>
      <c r="N791" s="276"/>
      <c r="O791" s="110"/>
      <c r="P791" s="110"/>
      <c r="Q791" s="277"/>
    </row>
    <row r="792" spans="1:18" ht="14.25" customHeight="1">
      <c r="A792" s="130"/>
      <c r="B792" s="110" t="s">
        <v>1592</v>
      </c>
      <c r="C792" s="110" t="s">
        <v>1198</v>
      </c>
      <c r="D792" s="110"/>
      <c r="E792" s="110"/>
      <c r="F792" s="110"/>
      <c r="G792" s="110"/>
      <c r="H792" s="110"/>
      <c r="I792" s="110"/>
      <c r="J792" s="110" t="s">
        <v>400</v>
      </c>
      <c r="K792" s="110"/>
      <c r="L792" s="118">
        <v>2.2999999999999998</v>
      </c>
      <c r="M792" s="110" t="s">
        <v>1805</v>
      </c>
      <c r="N792" s="110"/>
      <c r="O792" s="110"/>
      <c r="P792" s="110"/>
      <c r="Q792" s="277"/>
    </row>
    <row r="793" spans="1:18" ht="14.25" customHeight="1">
      <c r="A793" s="130"/>
      <c r="B793" s="118"/>
      <c r="C793" s="791" t="s">
        <v>1806</v>
      </c>
      <c r="D793" s="791" t="s">
        <v>1807</v>
      </c>
      <c r="E793" s="791"/>
      <c r="F793" s="791"/>
      <c r="G793" s="110"/>
      <c r="H793" s="110"/>
      <c r="I793" s="110"/>
      <c r="J793" s="110"/>
      <c r="K793" s="110"/>
      <c r="L793" s="110"/>
      <c r="M793" s="110"/>
      <c r="N793" s="110"/>
      <c r="O793" s="110"/>
      <c r="P793" s="110"/>
      <c r="Q793" s="277"/>
    </row>
    <row r="794" spans="1:18" ht="14.25" customHeight="1">
      <c r="A794" s="130"/>
      <c r="B794" s="118"/>
      <c r="C794" s="791"/>
      <c r="D794" s="843" t="s">
        <v>1583</v>
      </c>
      <c r="E794" s="843"/>
      <c r="F794" s="843"/>
      <c r="G794" s="110"/>
      <c r="H794" s="110"/>
      <c r="I794" s="110"/>
      <c r="J794" s="110"/>
      <c r="K794" s="110"/>
      <c r="L794" s="110"/>
      <c r="M794" s="110"/>
      <c r="N794" s="110"/>
      <c r="O794" s="110"/>
      <c r="P794" s="110"/>
      <c r="Q794" s="277"/>
    </row>
    <row r="795" spans="1:18" ht="14.25" customHeight="1">
      <c r="A795" s="130"/>
      <c r="B795" s="110"/>
      <c r="C795" s="110"/>
      <c r="D795" s="110"/>
      <c r="E795" s="110"/>
      <c r="F795" s="110"/>
      <c r="G795" s="110"/>
      <c r="H795" s="110"/>
      <c r="I795" s="110"/>
      <c r="J795" s="110"/>
      <c r="K795" s="110"/>
      <c r="L795" s="110"/>
      <c r="M795" s="110"/>
      <c r="N795" s="110"/>
      <c r="O795" s="110"/>
      <c r="P795" s="110"/>
      <c r="Q795" s="277"/>
    </row>
    <row r="796" spans="1:18" ht="14.25" customHeight="1">
      <c r="A796" s="130"/>
      <c r="B796" s="280"/>
      <c r="C796" s="118" t="s">
        <v>1808</v>
      </c>
      <c r="D796" s="110" t="s">
        <v>1809</v>
      </c>
      <c r="E796" s="110"/>
      <c r="F796" s="110"/>
      <c r="G796" s="118"/>
      <c r="H796" s="280"/>
      <c r="I796" s="118"/>
      <c r="J796" s="110"/>
      <c r="K796" s="110"/>
      <c r="L796" s="110"/>
      <c r="M796" s="110"/>
      <c r="N796" s="110"/>
      <c r="O796" s="110"/>
      <c r="P796" s="110"/>
      <c r="Q796" s="277"/>
    </row>
    <row r="797" spans="1:18" ht="14.25" customHeight="1">
      <c r="A797" s="130"/>
      <c r="B797" s="280"/>
      <c r="C797" s="118" t="s">
        <v>298</v>
      </c>
      <c r="D797" s="110" t="s">
        <v>299</v>
      </c>
      <c r="E797" s="118" t="s">
        <v>1526</v>
      </c>
      <c r="F797" s="281">
        <f>I785</f>
        <v>4.5</v>
      </c>
      <c r="G797" s="118" t="s">
        <v>300</v>
      </c>
      <c r="H797" s="118">
        <f>L792</f>
        <v>2.2999999999999998</v>
      </c>
      <c r="I797" s="118" t="s">
        <v>972</v>
      </c>
      <c r="J797" s="118">
        <v>1.4</v>
      </c>
      <c r="K797" s="118" t="s">
        <v>1582</v>
      </c>
      <c r="L797" s="282">
        <f>TRUNC(F797/H797*J797,2)</f>
        <v>2.73</v>
      </c>
      <c r="M797" s="118" t="s">
        <v>301</v>
      </c>
      <c r="N797" s="110"/>
      <c r="O797" s="110"/>
      <c r="P797" s="110"/>
      <c r="Q797" s="277"/>
    </row>
    <row r="798" spans="1:18" ht="14.25" customHeight="1">
      <c r="A798" s="130"/>
      <c r="B798" s="280"/>
      <c r="C798" s="118" t="s">
        <v>399</v>
      </c>
      <c r="D798" s="110" t="s">
        <v>1156</v>
      </c>
      <c r="E798" s="110"/>
      <c r="F798" s="118" t="s">
        <v>1526</v>
      </c>
      <c r="G798" s="283">
        <f>TRUNC(1/J798,2)</f>
        <v>0.71</v>
      </c>
      <c r="H798" s="280" t="s">
        <v>303</v>
      </c>
      <c r="I798" s="118" t="s">
        <v>300</v>
      </c>
      <c r="J798" s="118">
        <f>J797</f>
        <v>1.4</v>
      </c>
      <c r="K798" s="284" t="s">
        <v>304</v>
      </c>
      <c r="L798" s="110"/>
      <c r="M798" s="110"/>
      <c r="N798" s="110"/>
      <c r="O798" s="110"/>
      <c r="P798" s="110"/>
      <c r="Q798" s="277"/>
    </row>
    <row r="799" spans="1:18" ht="14.25" customHeight="1">
      <c r="A799" s="130"/>
      <c r="B799" s="280"/>
      <c r="C799" s="118" t="s">
        <v>1703</v>
      </c>
      <c r="D799" s="110" t="s">
        <v>1207</v>
      </c>
      <c r="E799" s="110"/>
      <c r="F799" s="118" t="s">
        <v>1526</v>
      </c>
      <c r="G799" s="118">
        <v>0.9</v>
      </c>
      <c r="H799" s="280"/>
      <c r="I799" s="110"/>
      <c r="J799" s="110"/>
      <c r="K799" s="110"/>
      <c r="L799" s="110"/>
      <c r="M799" s="110"/>
      <c r="N799" s="110"/>
      <c r="O799" s="110"/>
      <c r="P799" s="110"/>
      <c r="Q799" s="277"/>
    </row>
    <row r="800" spans="1:18" ht="14.25" customHeight="1">
      <c r="A800" s="130"/>
      <c r="B800" s="280"/>
      <c r="C800" s="118" t="s">
        <v>1704</v>
      </c>
      <c r="D800" s="110" t="s">
        <v>401</v>
      </c>
      <c r="E800" s="110"/>
      <c r="F800" s="118"/>
      <c r="G800" s="840">
        <f>TRUNC(E818,2)</f>
        <v>21.98</v>
      </c>
      <c r="H800" s="840"/>
      <c r="I800" s="118" t="s">
        <v>1600</v>
      </c>
      <c r="J800" s="110"/>
      <c r="K800" s="110"/>
      <c r="L800" s="110"/>
      <c r="M800" s="110"/>
      <c r="N800" s="110"/>
      <c r="O800" s="110"/>
      <c r="P800" s="110"/>
      <c r="Q800" s="277"/>
    </row>
    <row r="801" spans="1:17" ht="14.25" customHeight="1">
      <c r="A801" s="130"/>
      <c r="B801" s="280"/>
      <c r="C801" s="118" t="s">
        <v>1704</v>
      </c>
      <c r="D801" s="110" t="s">
        <v>3101</v>
      </c>
      <c r="E801" s="110"/>
      <c r="F801" s="110"/>
      <c r="G801" s="110"/>
      <c r="H801" s="280"/>
      <c r="I801" s="110"/>
      <c r="J801" s="110"/>
      <c r="K801" s="110"/>
      <c r="L801" s="110"/>
      <c r="M801" s="110"/>
      <c r="N801" s="110"/>
      <c r="O801" s="110"/>
      <c r="P801" s="110"/>
      <c r="Q801" s="277"/>
    </row>
    <row r="802" spans="1:17" ht="14.25" customHeight="1">
      <c r="A802" s="130"/>
      <c r="B802" s="110"/>
      <c r="C802" s="118" t="s">
        <v>1706</v>
      </c>
      <c r="D802" s="110" t="s">
        <v>1707</v>
      </c>
      <c r="E802" s="838">
        <f>E810</f>
        <v>8.26</v>
      </c>
      <c r="F802" s="838"/>
      <c r="G802" s="110" t="s">
        <v>402</v>
      </c>
      <c r="H802" s="285" t="s">
        <v>403</v>
      </c>
      <c r="I802" s="118"/>
      <c r="J802" s="118"/>
      <c r="K802" s="110"/>
      <c r="L802" s="118"/>
      <c r="M802" s="286"/>
      <c r="N802" s="286"/>
      <c r="O802" s="118"/>
      <c r="P802" s="110"/>
      <c r="Q802" s="277"/>
    </row>
    <row r="803" spans="1:17" ht="14.25" customHeight="1">
      <c r="A803" s="130"/>
      <c r="B803" s="110"/>
      <c r="C803" s="118"/>
      <c r="E803" s="288"/>
      <c r="F803" s="286"/>
      <c r="G803" s="110"/>
      <c r="H803" s="285"/>
      <c r="I803" s="118"/>
      <c r="J803" s="118"/>
      <c r="K803" s="110"/>
      <c r="L803" s="118"/>
      <c r="M803" s="286"/>
      <c r="N803" s="286"/>
      <c r="O803" s="118"/>
      <c r="P803" s="110"/>
      <c r="Q803" s="277"/>
    </row>
    <row r="804" spans="1:17" ht="14.25" customHeight="1">
      <c r="A804" s="130"/>
      <c r="B804" s="110"/>
      <c r="C804" s="118"/>
      <c r="D804" s="118" t="s">
        <v>404</v>
      </c>
      <c r="E804" s="846">
        <v>18</v>
      </c>
      <c r="F804" s="846"/>
      <c r="G804" s="110" t="s">
        <v>405</v>
      </c>
      <c r="H804" s="285" t="s">
        <v>1747</v>
      </c>
      <c r="I804" s="118"/>
      <c r="J804" s="109"/>
      <c r="K804" s="110"/>
      <c r="L804" s="109"/>
      <c r="M804" s="286"/>
      <c r="N804" s="286"/>
      <c r="O804" s="118"/>
      <c r="P804" s="110"/>
      <c r="Q804" s="277"/>
    </row>
    <row r="805" spans="1:17" ht="14.25" customHeight="1">
      <c r="A805" s="130"/>
      <c r="B805" s="110"/>
      <c r="C805" s="118"/>
      <c r="D805" s="280"/>
      <c r="E805" s="288"/>
      <c r="F805" s="286"/>
      <c r="G805" s="110"/>
      <c r="H805" s="285"/>
      <c r="I805" s="307"/>
      <c r="K805" s="110"/>
      <c r="L805" s="118"/>
      <c r="M805" s="286"/>
      <c r="N805" s="286"/>
      <c r="O805" s="118"/>
      <c r="P805" s="110"/>
      <c r="Q805" s="277"/>
    </row>
    <row r="806" spans="1:17" ht="14.25" customHeight="1">
      <c r="A806" s="130"/>
      <c r="B806" s="110"/>
      <c r="C806" s="118"/>
      <c r="D806" s="110" t="s">
        <v>407</v>
      </c>
      <c r="E806" s="288" t="s">
        <v>408</v>
      </c>
      <c r="F806" s="286"/>
      <c r="G806" s="110"/>
      <c r="H806" s="285"/>
      <c r="I806" s="118" t="s">
        <v>1748</v>
      </c>
      <c r="J806" s="118">
        <v>0.55000000000000004</v>
      </c>
      <c r="K806" s="110"/>
      <c r="L806" s="118"/>
      <c r="M806" s="286"/>
      <c r="N806" s="286"/>
      <c r="O806" s="118"/>
      <c r="P806" s="110"/>
      <c r="Q806" s="277"/>
    </row>
    <row r="807" spans="1:17" ht="14.25" customHeight="1">
      <c r="A807" s="130"/>
      <c r="B807" s="110"/>
      <c r="C807" s="118"/>
      <c r="D807" s="110" t="s">
        <v>410</v>
      </c>
      <c r="E807" s="838">
        <f>L797</f>
        <v>2.73</v>
      </c>
      <c r="F807" s="838"/>
      <c r="G807" s="118" t="s">
        <v>411</v>
      </c>
      <c r="H807" s="285">
        <f>L785</f>
        <v>0.4</v>
      </c>
      <c r="I807" s="118" t="s">
        <v>86</v>
      </c>
      <c r="J807" s="118">
        <f>J806</f>
        <v>0.55000000000000004</v>
      </c>
      <c r="K807" s="110" t="s">
        <v>412</v>
      </c>
      <c r="L807" s="118">
        <f>TRUNC(E807/(H807*J807),2)</f>
        <v>12.4</v>
      </c>
      <c r="M807" s="286" t="s">
        <v>969</v>
      </c>
      <c r="N807" s="286"/>
      <c r="O807" s="118"/>
      <c r="P807" s="110"/>
      <c r="Q807" s="277"/>
    </row>
    <row r="808" spans="1:17" ht="14.25" customHeight="1">
      <c r="A808" s="130"/>
      <c r="B808" s="110"/>
      <c r="C808" s="118"/>
      <c r="D808" s="110" t="s">
        <v>413</v>
      </c>
      <c r="E808" s="838">
        <v>0.45</v>
      </c>
      <c r="F808" s="838"/>
      <c r="G808" s="118"/>
      <c r="H808" s="285"/>
      <c r="I808" s="118"/>
      <c r="J808" s="118"/>
      <c r="K808" s="110"/>
      <c r="L808" s="118"/>
      <c r="M808" s="286"/>
      <c r="N808" s="286"/>
      <c r="O808" s="118"/>
      <c r="P808" s="110"/>
      <c r="Q808" s="277"/>
    </row>
    <row r="809" spans="1:17" ht="14.25" customHeight="1">
      <c r="A809" s="130"/>
      <c r="B809" s="110"/>
      <c r="C809" s="118" t="s">
        <v>1601</v>
      </c>
      <c r="D809" s="110" t="s">
        <v>1709</v>
      </c>
      <c r="E809" s="845">
        <f>E804</f>
        <v>18</v>
      </c>
      <c r="F809" s="845"/>
      <c r="G809" s="118" t="s">
        <v>972</v>
      </c>
      <c r="H809" s="285">
        <f>L807</f>
        <v>12.4</v>
      </c>
      <c r="I809" s="118" t="s">
        <v>414</v>
      </c>
      <c r="J809" s="118">
        <v>60</v>
      </c>
      <c r="K809" s="118" t="s">
        <v>972</v>
      </c>
      <c r="L809" s="282">
        <f>E808</f>
        <v>0.45</v>
      </c>
      <c r="M809" s="288" t="s">
        <v>2112</v>
      </c>
      <c r="N809" s="286"/>
      <c r="O809" s="118"/>
      <c r="P809" s="110"/>
      <c r="Q809" s="277"/>
    </row>
    <row r="810" spans="1:17" ht="14.25" customHeight="1">
      <c r="A810" s="130"/>
      <c r="B810" s="110"/>
      <c r="C810" s="118"/>
      <c r="D810" s="110" t="s">
        <v>410</v>
      </c>
      <c r="E810" s="838">
        <f>TRUNC((E809*H809)/(J809*L809),2)</f>
        <v>8.26</v>
      </c>
      <c r="F810" s="838"/>
      <c r="G810" s="110" t="s">
        <v>415</v>
      </c>
      <c r="H810" s="287"/>
      <c r="I810" s="118"/>
      <c r="J810" s="118"/>
      <c r="K810" s="118"/>
      <c r="L810" s="118"/>
      <c r="M810" s="286"/>
      <c r="N810" s="286"/>
      <c r="O810" s="118"/>
      <c r="P810" s="110"/>
      <c r="Q810" s="277"/>
    </row>
    <row r="811" spans="1:17" ht="14.25" customHeight="1">
      <c r="A811" s="130"/>
      <c r="B811" s="110"/>
      <c r="C811" s="118" t="s">
        <v>2110</v>
      </c>
      <c r="D811" s="110" t="s">
        <v>381</v>
      </c>
      <c r="E811" s="791">
        <f>J813</f>
        <v>12</v>
      </c>
      <c r="F811" s="791"/>
      <c r="G811" s="110" t="s">
        <v>382</v>
      </c>
      <c r="H811" s="118"/>
      <c r="I811" s="110"/>
      <c r="J811" s="110"/>
      <c r="K811" s="110"/>
      <c r="L811" s="118"/>
      <c r="M811" s="118"/>
      <c r="N811" s="118"/>
      <c r="O811" s="110"/>
      <c r="P811" s="110"/>
      <c r="Q811" s="277"/>
    </row>
    <row r="812" spans="1:17" ht="14.25" customHeight="1">
      <c r="A812" s="130"/>
      <c r="B812" s="110"/>
      <c r="C812" s="280" t="s">
        <v>2111</v>
      </c>
      <c r="D812" s="118">
        <f>H789</f>
        <v>1</v>
      </c>
      <c r="E812" s="118" t="s">
        <v>300</v>
      </c>
      <c r="F812" s="118">
        <f>K789</f>
        <v>10</v>
      </c>
      <c r="G812" s="110" t="s">
        <v>383</v>
      </c>
      <c r="H812" s="118">
        <f>H789</f>
        <v>1</v>
      </c>
      <c r="I812" s="118" t="s">
        <v>300</v>
      </c>
      <c r="J812" s="118">
        <f>O789</f>
        <v>10</v>
      </c>
      <c r="K812" s="118" t="s">
        <v>304</v>
      </c>
      <c r="L812" s="118"/>
      <c r="M812" s="118"/>
      <c r="N812" s="118"/>
      <c r="O812" s="118"/>
      <c r="P812" s="110"/>
      <c r="Q812" s="277"/>
    </row>
    <row r="813" spans="1:17" ht="14.25" customHeight="1">
      <c r="A813" s="130"/>
      <c r="B813" s="110"/>
      <c r="C813" s="280"/>
      <c r="D813" s="280" t="s">
        <v>1582</v>
      </c>
      <c r="E813" s="791">
        <f>(D812/F812)+(H812/J812)</f>
        <v>0.2</v>
      </c>
      <c r="F813" s="791"/>
      <c r="G813" s="110" t="s">
        <v>384</v>
      </c>
      <c r="H813" s="118">
        <v>60</v>
      </c>
      <c r="I813" s="118" t="s">
        <v>1582</v>
      </c>
      <c r="J813" s="283">
        <f>TRUNC(E813*H813,2)</f>
        <v>12</v>
      </c>
      <c r="K813" s="286" t="s">
        <v>1600</v>
      </c>
      <c r="L813" s="118"/>
      <c r="M813" s="118"/>
      <c r="N813" s="118"/>
      <c r="O813" s="118"/>
      <c r="P813" s="110"/>
      <c r="Q813" s="277"/>
    </row>
    <row r="814" spans="1:17" ht="14.25" customHeight="1">
      <c r="A814" s="130"/>
      <c r="B814" s="110"/>
      <c r="C814" s="118"/>
      <c r="L814" s="110"/>
      <c r="M814" s="110"/>
      <c r="N814" s="118"/>
      <c r="O814" s="110"/>
      <c r="P814" s="110"/>
      <c r="Q814" s="277"/>
    </row>
    <row r="815" spans="1:17" ht="14.25" customHeight="1">
      <c r="A815" s="130"/>
      <c r="B815" s="110"/>
      <c r="C815" s="118" t="s">
        <v>2113</v>
      </c>
      <c r="D815" s="110" t="s">
        <v>385</v>
      </c>
      <c r="E815" s="840">
        <v>0.8</v>
      </c>
      <c r="F815" s="840"/>
      <c r="G815" s="110" t="s">
        <v>1600</v>
      </c>
      <c r="H815" s="118"/>
      <c r="I815" s="110"/>
      <c r="J815" s="118"/>
      <c r="K815" s="110"/>
      <c r="L815" s="110"/>
      <c r="M815" s="110"/>
      <c r="N815" s="110"/>
      <c r="O815" s="110"/>
      <c r="P815" s="110"/>
      <c r="Q815" s="277"/>
    </row>
    <row r="816" spans="1:17" ht="14.25" customHeight="1">
      <c r="A816" s="130"/>
      <c r="B816" s="110"/>
      <c r="C816" s="118" t="s">
        <v>2114</v>
      </c>
      <c r="D816" s="110" t="s">
        <v>387</v>
      </c>
      <c r="E816" s="791">
        <v>0.42</v>
      </c>
      <c r="F816" s="791"/>
      <c r="G816" s="110" t="s">
        <v>388</v>
      </c>
      <c r="H816" s="118"/>
      <c r="I816" s="110"/>
      <c r="J816" s="110"/>
      <c r="K816" s="110"/>
      <c r="L816" s="110"/>
      <c r="M816" s="118"/>
      <c r="N816" s="118"/>
      <c r="O816" s="110"/>
      <c r="P816" s="110"/>
      <c r="Q816" s="277"/>
    </row>
    <row r="817" spans="1:18" ht="14.25" customHeight="1">
      <c r="A817" s="130"/>
      <c r="B817" s="110"/>
      <c r="C817" s="118" t="s">
        <v>3102</v>
      </c>
      <c r="D817" s="110" t="s">
        <v>389</v>
      </c>
      <c r="E817" s="791">
        <v>0.5</v>
      </c>
      <c r="F817" s="791"/>
      <c r="G817" s="110" t="s">
        <v>390</v>
      </c>
      <c r="H817" s="110"/>
      <c r="I817" s="110"/>
      <c r="J817" s="110"/>
      <c r="K817" s="110"/>
      <c r="L817" s="110"/>
      <c r="M817" s="110"/>
      <c r="N817" s="110"/>
      <c r="O817" s="110"/>
      <c r="P817" s="110"/>
      <c r="Q817" s="277"/>
    </row>
    <row r="818" spans="1:18" ht="14.25" customHeight="1">
      <c r="A818" s="130"/>
      <c r="B818" s="110"/>
      <c r="C818" s="118"/>
      <c r="D818" s="118" t="s">
        <v>1454</v>
      </c>
      <c r="E818" s="840">
        <f>E802+E811+E815+E816+E817</f>
        <v>21.98</v>
      </c>
      <c r="F818" s="840"/>
      <c r="G818" s="110" t="s">
        <v>1600</v>
      </c>
      <c r="H818" s="110"/>
      <c r="I818" s="110"/>
      <c r="J818" s="110"/>
      <c r="K818" s="110"/>
      <c r="L818" s="110"/>
      <c r="M818" s="110"/>
      <c r="N818" s="110"/>
      <c r="O818" s="110"/>
      <c r="P818" s="110"/>
      <c r="Q818" s="277"/>
    </row>
    <row r="819" spans="1:18" ht="14.25" customHeight="1">
      <c r="A819" s="130"/>
      <c r="B819" s="118"/>
      <c r="C819" s="118"/>
      <c r="D819" s="110"/>
      <c r="E819" s="118"/>
      <c r="F819" s="110"/>
      <c r="G819" s="110"/>
      <c r="H819" s="110"/>
      <c r="I819" s="110"/>
      <c r="J819" s="110"/>
      <c r="K819" s="110"/>
      <c r="L819" s="110"/>
      <c r="M819" s="110"/>
      <c r="N819" s="110"/>
      <c r="O819" s="110"/>
      <c r="P819" s="110"/>
      <c r="Q819" s="277"/>
    </row>
    <row r="820" spans="1:18" ht="14.25" customHeight="1">
      <c r="A820" s="130" t="s">
        <v>391</v>
      </c>
      <c r="B820" s="110" t="s">
        <v>392</v>
      </c>
      <c r="C820" s="118"/>
      <c r="D820" s="110"/>
      <c r="E820" s="118"/>
      <c r="F820" s="110"/>
      <c r="G820" s="110"/>
      <c r="H820" s="110"/>
      <c r="I820" s="110"/>
      <c r="J820" s="110"/>
      <c r="K820" s="110"/>
      <c r="L820" s="110"/>
      <c r="M820" s="110"/>
      <c r="N820" s="110"/>
      <c r="O820" s="110"/>
      <c r="P820" s="110"/>
      <c r="Q820" s="277"/>
    </row>
    <row r="821" spans="1:18" ht="14.25" customHeight="1">
      <c r="A821" s="130"/>
      <c r="B821" s="280"/>
      <c r="C821" s="110"/>
      <c r="D821" s="110"/>
      <c r="E821" s="110"/>
      <c r="F821" s="110"/>
      <c r="G821" s="110"/>
      <c r="H821" s="110"/>
      <c r="I821" s="110"/>
      <c r="J821" s="110"/>
      <c r="K821" s="110"/>
      <c r="L821" s="110"/>
      <c r="M821" s="110"/>
      <c r="N821" s="110"/>
      <c r="O821" s="110"/>
      <c r="P821" s="110"/>
      <c r="Q821" s="277"/>
    </row>
    <row r="822" spans="1:18" ht="14.25" customHeight="1">
      <c r="A822" s="841"/>
      <c r="B822" s="791" t="s">
        <v>1111</v>
      </c>
      <c r="C822" s="791" t="s">
        <v>1582</v>
      </c>
      <c r="D822" s="280" t="s">
        <v>393</v>
      </c>
      <c r="E822" s="318">
        <f>G798</f>
        <v>0.71</v>
      </c>
      <c r="F822" s="118" t="s">
        <v>972</v>
      </c>
      <c r="G822" s="282">
        <f>L797</f>
        <v>2.73</v>
      </c>
      <c r="H822" s="118" t="s">
        <v>972</v>
      </c>
      <c r="I822" s="118">
        <f>G799</f>
        <v>0.9</v>
      </c>
      <c r="J822" s="791" t="s">
        <v>1582</v>
      </c>
      <c r="K822" s="837">
        <f>E822*G822*I822*60</f>
        <v>104.6682</v>
      </c>
      <c r="L822" s="837"/>
      <c r="M822" s="791" t="s">
        <v>1582</v>
      </c>
      <c r="N822" s="838">
        <f>TRUNC(K822/K823,2)</f>
        <v>4.76</v>
      </c>
      <c r="O822" s="838"/>
      <c r="P822" s="110" t="s">
        <v>301</v>
      </c>
      <c r="Q822" s="277"/>
    </row>
    <row r="823" spans="1:18" ht="14.25" customHeight="1">
      <c r="A823" s="841"/>
      <c r="B823" s="791"/>
      <c r="C823" s="791"/>
      <c r="D823" s="850">
        <f>G800</f>
        <v>21.98</v>
      </c>
      <c r="E823" s="850"/>
      <c r="F823" s="850"/>
      <c r="G823" s="850"/>
      <c r="H823" s="850"/>
      <c r="I823" s="850"/>
      <c r="J823" s="791"/>
      <c r="K823" s="850">
        <f>D823</f>
        <v>21.98</v>
      </c>
      <c r="L823" s="850"/>
      <c r="M823" s="791"/>
      <c r="N823" s="838"/>
      <c r="O823" s="838"/>
      <c r="P823" s="110"/>
      <c r="Q823" s="277" t="s">
        <v>394</v>
      </c>
    </row>
    <row r="824" spans="1:18" ht="14.25" customHeight="1">
      <c r="A824" s="130"/>
      <c r="B824" s="110"/>
      <c r="C824" s="110"/>
      <c r="D824" s="110"/>
      <c r="E824" s="110"/>
      <c r="F824" s="110"/>
      <c r="G824" s="110"/>
      <c r="H824" s="110"/>
      <c r="I824" s="110"/>
      <c r="J824" s="110"/>
      <c r="K824" s="110"/>
      <c r="L824" s="110"/>
      <c r="M824" s="110"/>
      <c r="N824" s="110"/>
      <c r="O824" s="110"/>
      <c r="P824" s="110"/>
      <c r="Q824" s="277"/>
    </row>
    <row r="825" spans="1:18" ht="14.25" customHeight="1">
      <c r="A825" s="130"/>
      <c r="B825" s="110"/>
      <c r="C825" s="110"/>
      <c r="D825" s="110" t="s">
        <v>395</v>
      </c>
      <c r="E825" s="110"/>
      <c r="F825" s="835">
        <f>중기사용료!$M$492</f>
        <v>7692</v>
      </c>
      <c r="G825" s="835"/>
      <c r="H825" s="286" t="s">
        <v>975</v>
      </c>
      <c r="I825" s="118" t="s">
        <v>300</v>
      </c>
      <c r="J825" s="282">
        <f>N822</f>
        <v>4.76</v>
      </c>
      <c r="K825" s="282" t="s">
        <v>1582</v>
      </c>
      <c r="L825" s="121">
        <f>TRUNC(F825/J825)</f>
        <v>1615</v>
      </c>
      <c r="M825" s="118" t="s">
        <v>975</v>
      </c>
      <c r="N825" s="303" t="s">
        <v>416</v>
      </c>
      <c r="O825" s="110"/>
      <c r="P825" s="110"/>
      <c r="Q825" s="277"/>
    </row>
    <row r="826" spans="1:18" ht="14.25" customHeight="1">
      <c r="A826" s="130"/>
      <c r="B826" s="110"/>
      <c r="C826" s="118"/>
      <c r="D826" s="110"/>
      <c r="E826" s="290"/>
      <c r="F826" s="291"/>
      <c r="G826" s="291"/>
      <c r="H826" s="118"/>
      <c r="I826" s="110"/>
      <c r="J826" s="118"/>
      <c r="K826" s="285"/>
      <c r="L826" s="121"/>
      <c r="M826" s="118"/>
      <c r="N826" s="303"/>
      <c r="O826" s="110"/>
      <c r="P826" s="110"/>
      <c r="Q826" s="277"/>
    </row>
    <row r="827" spans="1:18" ht="14.25" customHeight="1">
      <c r="A827" s="130"/>
      <c r="B827" s="110"/>
      <c r="C827" s="110"/>
      <c r="D827" s="110" t="s">
        <v>396</v>
      </c>
      <c r="E827" s="110"/>
      <c r="F827" s="835">
        <f>중기사용료!$M$486</f>
        <v>24483</v>
      </c>
      <c r="G827" s="835"/>
      <c r="H827" s="286" t="s">
        <v>975</v>
      </c>
      <c r="I827" s="118" t="s">
        <v>300</v>
      </c>
      <c r="J827" s="282">
        <f>N822</f>
        <v>4.76</v>
      </c>
      <c r="K827" s="282" t="s">
        <v>1582</v>
      </c>
      <c r="L827" s="121">
        <f>TRUNC(F827/J827)</f>
        <v>5143</v>
      </c>
      <c r="M827" s="118" t="s">
        <v>975</v>
      </c>
      <c r="N827" s="303" t="s">
        <v>416</v>
      </c>
      <c r="O827" s="110"/>
      <c r="P827" s="110"/>
      <c r="Q827" s="277"/>
    </row>
    <row r="828" spans="1:18" ht="14.25" customHeight="1">
      <c r="A828" s="130"/>
      <c r="B828" s="110"/>
      <c r="C828" s="118"/>
      <c r="D828" s="110"/>
      <c r="E828" s="290"/>
      <c r="F828" s="291"/>
      <c r="G828" s="291"/>
      <c r="H828" s="118"/>
      <c r="I828" s="110"/>
      <c r="J828" s="118"/>
      <c r="K828" s="285"/>
      <c r="L828" s="121"/>
      <c r="M828" s="118"/>
      <c r="N828" s="303"/>
      <c r="O828" s="110"/>
      <c r="P828" s="110"/>
      <c r="Q828" s="277"/>
      <c r="R828" s="272" t="s">
        <v>1436</v>
      </c>
    </row>
    <row r="829" spans="1:18" ht="14.25" customHeight="1">
      <c r="A829" s="130"/>
      <c r="B829" s="110"/>
      <c r="C829" s="110"/>
      <c r="D829" s="110" t="s">
        <v>398</v>
      </c>
      <c r="E829" s="110"/>
      <c r="F829" s="835">
        <f>중기사용료!$M$480</f>
        <v>6499</v>
      </c>
      <c r="G829" s="835"/>
      <c r="H829" s="118" t="s">
        <v>975</v>
      </c>
      <c r="I829" s="118" t="s">
        <v>300</v>
      </c>
      <c r="J829" s="282">
        <f>N822</f>
        <v>4.76</v>
      </c>
      <c r="K829" s="282" t="s">
        <v>1582</v>
      </c>
      <c r="L829" s="121">
        <f>TRUNC(F829/J829)</f>
        <v>1365</v>
      </c>
      <c r="M829" s="121" t="s">
        <v>975</v>
      </c>
      <c r="N829" s="303" t="s">
        <v>416</v>
      </c>
      <c r="O829" s="110"/>
      <c r="P829" s="110"/>
      <c r="Q829" s="277"/>
    </row>
    <row r="830" spans="1:18" ht="14.25" customHeight="1">
      <c r="A830" s="130"/>
      <c r="B830" s="110"/>
      <c r="C830" s="118"/>
      <c r="D830" s="110"/>
      <c r="E830" s="110"/>
      <c r="F830" s="110"/>
      <c r="G830" s="110"/>
      <c r="H830" s="110"/>
      <c r="I830" s="110"/>
      <c r="J830" s="110"/>
      <c r="K830" s="110"/>
      <c r="L830" s="110"/>
      <c r="M830" s="118"/>
      <c r="N830" s="303"/>
      <c r="O830" s="110"/>
      <c r="P830" s="110"/>
      <c r="Q830" s="277"/>
    </row>
    <row r="831" spans="1:18" s="302" customFormat="1" ht="14.25" customHeight="1">
      <c r="A831" s="162"/>
      <c r="B831" s="164"/>
      <c r="C831" s="164"/>
      <c r="D831" s="164"/>
      <c r="E831" s="164"/>
      <c r="F831" s="299"/>
      <c r="G831" s="299"/>
      <c r="H831" s="299"/>
      <c r="I831" s="165"/>
      <c r="J831" s="164"/>
      <c r="K831" s="165" t="s">
        <v>1454</v>
      </c>
      <c r="L831" s="292">
        <f>SUM(L825,L827,L829)</f>
        <v>8123</v>
      </c>
      <c r="M831" s="164" t="s">
        <v>975</v>
      </c>
      <c r="N831" s="310" t="s">
        <v>416</v>
      </c>
      <c r="O831" s="300"/>
      <c r="P831" s="164"/>
      <c r="Q831" s="301"/>
      <c r="R831" s="272"/>
    </row>
    <row r="832" spans="1:18" ht="14.25" customHeight="1">
      <c r="A832" s="135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293"/>
    </row>
    <row r="833" spans="1:18" ht="14.25" customHeight="1">
      <c r="C833" s="177"/>
      <c r="E833" s="304"/>
      <c r="H833" s="177"/>
      <c r="I833" s="177"/>
      <c r="K833" s="305"/>
      <c r="L833" s="177"/>
      <c r="M833" s="161"/>
      <c r="N833" s="161"/>
      <c r="O833" s="177"/>
    </row>
    <row r="834" spans="1:18" s="265" customFormat="1" ht="14.25" customHeight="1">
      <c r="A834" s="306"/>
      <c r="B834" s="262" t="s">
        <v>2002</v>
      </c>
      <c r="C834" s="262"/>
      <c r="D834" s="262"/>
      <c r="E834" s="262"/>
      <c r="F834" s="262"/>
      <c r="G834" s="262"/>
      <c r="H834" s="263" t="s">
        <v>1421</v>
      </c>
      <c r="I834" s="311">
        <v>15</v>
      </c>
      <c r="J834" s="262" t="s">
        <v>1419</v>
      </c>
      <c r="K834" s="262"/>
      <c r="L834" s="263">
        <v>0.7</v>
      </c>
      <c r="M834" s="262" t="s">
        <v>1420</v>
      </c>
      <c r="N834" s="262"/>
      <c r="O834" s="261"/>
      <c r="P834" s="261"/>
      <c r="Q834" s="264"/>
      <c r="R834" s="265" t="s">
        <v>3299</v>
      </c>
    </row>
    <row r="835" spans="1:18" ht="14.25" customHeight="1">
      <c r="A835" s="266"/>
      <c r="B835" s="126"/>
      <c r="C835" s="126"/>
      <c r="D835" s="126"/>
      <c r="E835" s="267"/>
      <c r="F835" s="267"/>
      <c r="G835" s="268"/>
      <c r="H835" s="267"/>
      <c r="I835" s="267"/>
      <c r="J835" s="267"/>
      <c r="K835" s="267"/>
      <c r="L835" s="269"/>
      <c r="M835" s="270"/>
      <c r="N835" s="270"/>
      <c r="O835" s="126"/>
      <c r="P835" s="126"/>
      <c r="Q835" s="271"/>
    </row>
    <row r="836" spans="1:18" ht="14.25" customHeight="1">
      <c r="A836" s="273"/>
      <c r="B836" s="110" t="s">
        <v>1592</v>
      </c>
      <c r="C836" s="33" t="s">
        <v>1593</v>
      </c>
      <c r="D836" s="274"/>
      <c r="E836" s="275"/>
      <c r="F836" s="275"/>
      <c r="G836" s="121"/>
      <c r="H836" s="275"/>
      <c r="I836" s="275"/>
      <c r="J836" s="275" t="s">
        <v>1749</v>
      </c>
      <c r="K836" s="275"/>
      <c r="L836" s="33"/>
      <c r="M836" s="276" t="s">
        <v>1750</v>
      </c>
      <c r="N836" s="276"/>
      <c r="O836" s="110"/>
      <c r="P836" s="110"/>
      <c r="Q836" s="277"/>
    </row>
    <row r="837" spans="1:18" ht="14.25" customHeight="1">
      <c r="A837" s="273"/>
      <c r="B837" s="118" t="s">
        <v>2267</v>
      </c>
      <c r="C837" s="110" t="s">
        <v>1751</v>
      </c>
      <c r="D837" s="110"/>
      <c r="E837" s="110"/>
      <c r="F837" s="110"/>
      <c r="G837" s="275" t="s">
        <v>3103</v>
      </c>
      <c r="H837" s="275">
        <v>5.6</v>
      </c>
      <c r="I837" s="275" t="s">
        <v>1595</v>
      </c>
      <c r="J837" s="121" t="s">
        <v>3104</v>
      </c>
      <c r="K837" s="110">
        <v>20</v>
      </c>
      <c r="L837" s="110" t="s">
        <v>1595</v>
      </c>
      <c r="M837" s="836" t="s">
        <v>3104</v>
      </c>
      <c r="N837" s="836"/>
      <c r="O837" s="110">
        <v>25</v>
      </c>
      <c r="P837" s="110" t="s">
        <v>1595</v>
      </c>
      <c r="Q837" s="277"/>
    </row>
    <row r="838" spans="1:18" ht="14.25" customHeight="1">
      <c r="A838" s="273"/>
      <c r="B838" s="118" t="s">
        <v>2267</v>
      </c>
      <c r="C838" s="110" t="s">
        <v>1752</v>
      </c>
      <c r="D838" s="110"/>
      <c r="E838" s="110"/>
      <c r="F838" s="110"/>
      <c r="G838" s="275" t="s">
        <v>3105</v>
      </c>
      <c r="H838" s="275">
        <v>17.8</v>
      </c>
      <c r="I838" s="275" t="s">
        <v>1595</v>
      </c>
      <c r="J838" s="121" t="s">
        <v>3106</v>
      </c>
      <c r="K838" s="110">
        <v>35</v>
      </c>
      <c r="L838" s="110" t="s">
        <v>1595</v>
      </c>
      <c r="M838" s="836" t="s">
        <v>3106</v>
      </c>
      <c r="N838" s="836"/>
      <c r="O838" s="110">
        <v>35</v>
      </c>
      <c r="P838" s="110" t="s">
        <v>1595</v>
      </c>
      <c r="Q838" s="277"/>
    </row>
    <row r="839" spans="1:18" ht="14.25" customHeight="1">
      <c r="A839" s="273"/>
      <c r="B839" s="118" t="s">
        <v>2267</v>
      </c>
      <c r="C839" s="110" t="s">
        <v>1753</v>
      </c>
      <c r="D839" s="110"/>
      <c r="E839" s="110"/>
      <c r="F839" s="110"/>
      <c r="G839" s="275" t="s">
        <v>3107</v>
      </c>
      <c r="H839" s="275">
        <v>28.2</v>
      </c>
      <c r="I839" s="275" t="s">
        <v>1595</v>
      </c>
      <c r="J839" s="121" t="s">
        <v>3108</v>
      </c>
      <c r="K839" s="110">
        <v>35</v>
      </c>
      <c r="L839" s="110" t="s">
        <v>1595</v>
      </c>
      <c r="M839" s="836" t="s">
        <v>3108</v>
      </c>
      <c r="N839" s="836"/>
      <c r="O839" s="110">
        <v>35</v>
      </c>
      <c r="P839" s="110" t="s">
        <v>1595</v>
      </c>
      <c r="Q839" s="277"/>
    </row>
    <row r="840" spans="1:18" ht="14.25" customHeight="1">
      <c r="A840" s="273"/>
      <c r="B840" s="118" t="s">
        <v>2267</v>
      </c>
      <c r="C840" s="110" t="s">
        <v>1754</v>
      </c>
      <c r="D840" s="274"/>
      <c r="E840" s="275"/>
      <c r="F840" s="275"/>
      <c r="G840" s="275" t="s">
        <v>3109</v>
      </c>
      <c r="H840" s="275">
        <v>2</v>
      </c>
      <c r="I840" s="275" t="s">
        <v>1595</v>
      </c>
      <c r="J840" s="121" t="s">
        <v>3110</v>
      </c>
      <c r="K840" s="110">
        <v>20</v>
      </c>
      <c r="L840" s="110" t="s">
        <v>1595</v>
      </c>
      <c r="M840" s="836" t="s">
        <v>3110</v>
      </c>
      <c r="N840" s="836"/>
      <c r="O840" s="110">
        <v>25</v>
      </c>
      <c r="P840" s="110" t="s">
        <v>1595</v>
      </c>
      <c r="Q840" s="277"/>
    </row>
    <row r="841" spans="1:18" ht="14.25" customHeight="1">
      <c r="A841" s="130"/>
      <c r="B841" s="110" t="s">
        <v>1592</v>
      </c>
      <c r="C841" s="110" t="s">
        <v>1198</v>
      </c>
      <c r="D841" s="110"/>
      <c r="E841" s="110"/>
      <c r="F841" s="110"/>
      <c r="G841" s="110"/>
      <c r="H841" s="110">
        <f>SUM(H837:H840)</f>
        <v>53.599999999999994</v>
      </c>
      <c r="I841" s="110"/>
      <c r="J841" s="110" t="s">
        <v>400</v>
      </c>
      <c r="K841" s="110"/>
      <c r="L841" s="118">
        <v>2.2999999999999998</v>
      </c>
      <c r="M841" s="110" t="s">
        <v>1805</v>
      </c>
      <c r="N841" s="110"/>
      <c r="O841" s="110"/>
      <c r="P841" s="110"/>
      <c r="Q841" s="277"/>
    </row>
    <row r="842" spans="1:18" ht="14.25" customHeight="1">
      <c r="A842" s="130"/>
      <c r="B842" s="118"/>
      <c r="C842" s="851" t="s">
        <v>1806</v>
      </c>
      <c r="D842" s="791" t="s">
        <v>1807</v>
      </c>
      <c r="E842" s="791"/>
      <c r="F842" s="791"/>
      <c r="G842" s="110"/>
      <c r="H842" s="110"/>
      <c r="I842" s="110"/>
      <c r="J842" s="110"/>
      <c r="K842" s="110"/>
      <c r="L842" s="110"/>
      <c r="M842" s="110"/>
      <c r="N842" s="110"/>
      <c r="O842" s="110"/>
      <c r="P842" s="110"/>
      <c r="Q842" s="277"/>
    </row>
    <row r="843" spans="1:18" ht="14.25" customHeight="1">
      <c r="A843" s="130"/>
      <c r="B843" s="118"/>
      <c r="C843" s="851"/>
      <c r="D843" s="843" t="s">
        <v>1583</v>
      </c>
      <c r="E843" s="843"/>
      <c r="F843" s="843"/>
      <c r="G843" s="110"/>
      <c r="H843" s="110"/>
      <c r="I843" s="110"/>
      <c r="J843" s="110"/>
      <c r="K843" s="110"/>
      <c r="L843" s="110"/>
      <c r="M843" s="110"/>
      <c r="N843" s="110"/>
      <c r="O843" s="110"/>
      <c r="P843" s="110"/>
      <c r="Q843" s="277"/>
    </row>
    <row r="844" spans="1:18" ht="14.25" customHeight="1">
      <c r="A844" s="130"/>
      <c r="B844" s="110"/>
      <c r="C844" s="109"/>
      <c r="D844" s="110"/>
      <c r="E844" s="110"/>
      <c r="F844" s="110"/>
      <c r="G844" s="110"/>
      <c r="H844" s="110"/>
      <c r="I844" s="110"/>
      <c r="J844" s="110"/>
      <c r="K844" s="110"/>
      <c r="L844" s="110"/>
      <c r="M844" s="110"/>
      <c r="N844" s="110"/>
      <c r="O844" s="110"/>
      <c r="P844" s="110"/>
      <c r="Q844" s="277"/>
    </row>
    <row r="845" spans="1:18" ht="14.25" customHeight="1">
      <c r="A845" s="130"/>
      <c r="B845" s="280"/>
      <c r="C845" s="109" t="s">
        <v>1808</v>
      </c>
      <c r="D845" s="110" t="s">
        <v>1809</v>
      </c>
      <c r="E845" s="110"/>
      <c r="F845" s="110"/>
      <c r="G845" s="118"/>
      <c r="H845" s="280"/>
      <c r="I845" s="118"/>
      <c r="J845" s="110"/>
      <c r="K845" s="110"/>
      <c r="L845" s="110"/>
      <c r="M845" s="110"/>
      <c r="N845" s="110"/>
      <c r="O845" s="110"/>
      <c r="P845" s="110"/>
      <c r="Q845" s="277"/>
    </row>
    <row r="846" spans="1:18" ht="14.25" customHeight="1">
      <c r="A846" s="130"/>
      <c r="B846" s="280"/>
      <c r="C846" s="109" t="s">
        <v>298</v>
      </c>
      <c r="D846" s="110" t="s">
        <v>1755</v>
      </c>
      <c r="E846" s="845">
        <f>I834</f>
        <v>15</v>
      </c>
      <c r="F846" s="845"/>
      <c r="G846" s="118" t="s">
        <v>300</v>
      </c>
      <c r="H846" s="118">
        <f>L841</f>
        <v>2.2999999999999998</v>
      </c>
      <c r="I846" s="118" t="s">
        <v>972</v>
      </c>
      <c r="J846" s="118">
        <v>1.4</v>
      </c>
      <c r="K846" s="118" t="s">
        <v>1582</v>
      </c>
      <c r="L846" s="282">
        <f>TRUNC(E846/H846*J846,2)</f>
        <v>9.1300000000000008</v>
      </c>
      <c r="M846" s="118" t="s">
        <v>301</v>
      </c>
      <c r="N846" s="110"/>
      <c r="O846" s="110"/>
      <c r="P846" s="110"/>
      <c r="Q846" s="277"/>
    </row>
    <row r="847" spans="1:18" ht="14.25" customHeight="1">
      <c r="A847" s="130"/>
      <c r="B847" s="280"/>
      <c r="C847" s="109" t="s">
        <v>302</v>
      </c>
      <c r="D847" s="110" t="s">
        <v>1156</v>
      </c>
      <c r="E847" s="110"/>
      <c r="F847" s="118" t="s">
        <v>1526</v>
      </c>
      <c r="G847" s="283">
        <f>TRUNC(1/J847,2)</f>
        <v>0.71</v>
      </c>
      <c r="H847" s="280" t="s">
        <v>303</v>
      </c>
      <c r="I847" s="118" t="s">
        <v>300</v>
      </c>
      <c r="J847" s="118">
        <f>J846</f>
        <v>1.4</v>
      </c>
      <c r="K847" s="284" t="s">
        <v>304</v>
      </c>
      <c r="L847" s="110"/>
      <c r="M847" s="110"/>
      <c r="N847" s="110"/>
      <c r="O847" s="110"/>
      <c r="P847" s="110"/>
      <c r="Q847" s="277"/>
    </row>
    <row r="848" spans="1:18" ht="14.25" customHeight="1">
      <c r="A848" s="130"/>
      <c r="B848" s="280"/>
      <c r="C848" s="109" t="s">
        <v>1703</v>
      </c>
      <c r="D848" s="110" t="s">
        <v>1207</v>
      </c>
      <c r="E848" s="110"/>
      <c r="F848" s="118" t="s">
        <v>1526</v>
      </c>
      <c r="G848" s="118">
        <v>0.9</v>
      </c>
      <c r="H848" s="280"/>
      <c r="I848" s="110"/>
      <c r="J848" s="110"/>
      <c r="K848" s="110"/>
      <c r="L848" s="110"/>
      <c r="M848" s="110"/>
      <c r="N848" s="110"/>
      <c r="O848" s="110"/>
      <c r="P848" s="110"/>
      <c r="Q848" s="277"/>
    </row>
    <row r="849" spans="1:17" ht="14.25" customHeight="1">
      <c r="A849" s="130"/>
      <c r="B849" s="280"/>
      <c r="C849" s="109" t="s">
        <v>1704</v>
      </c>
      <c r="D849" s="110" t="s">
        <v>401</v>
      </c>
      <c r="E849" s="110"/>
      <c r="F849" s="118"/>
      <c r="G849" s="840">
        <f>TRUNC(E867,2)</f>
        <v>211.2</v>
      </c>
      <c r="H849" s="840"/>
      <c r="I849" s="118" t="s">
        <v>1600</v>
      </c>
      <c r="J849" s="110"/>
      <c r="K849" s="110"/>
      <c r="L849" s="110"/>
      <c r="M849" s="110"/>
      <c r="N849" s="110"/>
      <c r="O849" s="110"/>
      <c r="P849" s="110"/>
      <c r="Q849" s="277"/>
    </row>
    <row r="850" spans="1:17" ht="14.25" customHeight="1">
      <c r="A850" s="130"/>
      <c r="B850" s="280"/>
      <c r="C850" s="109" t="s">
        <v>1704</v>
      </c>
      <c r="D850" s="110" t="s">
        <v>3101</v>
      </c>
      <c r="E850" s="110"/>
      <c r="F850" s="110"/>
      <c r="G850" s="110"/>
      <c r="H850" s="280"/>
      <c r="I850" s="110"/>
      <c r="J850" s="110"/>
      <c r="K850" s="110"/>
      <c r="L850" s="110"/>
      <c r="M850" s="110"/>
      <c r="N850" s="110"/>
      <c r="O850" s="110"/>
      <c r="P850" s="110"/>
      <c r="Q850" s="277"/>
    </row>
    <row r="851" spans="1:17" ht="14.25" customHeight="1">
      <c r="A851" s="130"/>
      <c r="B851" s="110"/>
      <c r="C851" s="109" t="s">
        <v>1706</v>
      </c>
      <c r="D851" s="110" t="s">
        <v>1707</v>
      </c>
      <c r="E851" s="838">
        <f>E858</f>
        <v>10.73</v>
      </c>
      <c r="F851" s="838"/>
      <c r="G851" s="110" t="s">
        <v>402</v>
      </c>
      <c r="H851" s="285" t="s">
        <v>403</v>
      </c>
      <c r="I851" s="118"/>
      <c r="J851" s="118"/>
      <c r="K851" s="110"/>
      <c r="L851" s="118"/>
      <c r="M851" s="286"/>
      <c r="N851" s="286"/>
      <c r="O851" s="118"/>
      <c r="P851" s="110"/>
      <c r="Q851" s="277"/>
    </row>
    <row r="852" spans="1:17" ht="14.25" customHeight="1">
      <c r="A852" s="130"/>
      <c r="B852" s="110"/>
      <c r="C852" s="118"/>
      <c r="E852" s="288"/>
      <c r="F852" s="286"/>
      <c r="G852" s="110"/>
      <c r="H852" s="285"/>
      <c r="I852" s="118"/>
      <c r="J852" s="118"/>
      <c r="K852" s="110"/>
      <c r="L852" s="118"/>
      <c r="M852" s="286"/>
      <c r="N852" s="286"/>
      <c r="O852" s="118"/>
      <c r="P852" s="110"/>
      <c r="Q852" s="277"/>
    </row>
    <row r="853" spans="1:17" ht="14.25" customHeight="1">
      <c r="A853" s="130"/>
      <c r="B853" s="110"/>
      <c r="C853" s="118"/>
      <c r="D853" s="118" t="s">
        <v>404</v>
      </c>
      <c r="E853" s="846">
        <v>20</v>
      </c>
      <c r="F853" s="846"/>
      <c r="G853" s="110" t="s">
        <v>405</v>
      </c>
      <c r="H853" s="285" t="s">
        <v>1756</v>
      </c>
      <c r="I853" s="118"/>
      <c r="J853" s="109"/>
      <c r="K853" s="110"/>
      <c r="L853" s="109"/>
      <c r="M853" s="286"/>
      <c r="N853" s="286"/>
      <c r="O853" s="118"/>
      <c r="P853" s="110"/>
      <c r="Q853" s="277"/>
    </row>
    <row r="854" spans="1:17" ht="14.25" customHeight="1">
      <c r="A854" s="130"/>
      <c r="B854" s="110"/>
      <c r="C854" s="118"/>
      <c r="D854" s="110" t="s">
        <v>407</v>
      </c>
      <c r="E854" s="288" t="s">
        <v>408</v>
      </c>
      <c r="F854" s="286"/>
      <c r="G854" s="110"/>
      <c r="H854" s="285"/>
      <c r="I854" s="118" t="s">
        <v>1748</v>
      </c>
      <c r="J854" s="118">
        <v>0.9</v>
      </c>
      <c r="K854" s="110"/>
      <c r="L854" s="118"/>
      <c r="M854" s="286"/>
      <c r="N854" s="286"/>
      <c r="O854" s="118"/>
      <c r="P854" s="110"/>
      <c r="Q854" s="277"/>
    </row>
    <row r="855" spans="1:17" ht="14.25" customHeight="1">
      <c r="A855" s="130"/>
      <c r="B855" s="110"/>
      <c r="C855" s="118"/>
      <c r="D855" s="110" t="s">
        <v>410</v>
      </c>
      <c r="E855" s="838">
        <f>L846</f>
        <v>9.1300000000000008</v>
      </c>
      <c r="F855" s="838"/>
      <c r="G855" s="118" t="s">
        <v>411</v>
      </c>
      <c r="H855" s="285">
        <f>L834</f>
        <v>0.7</v>
      </c>
      <c r="I855" s="118" t="s">
        <v>86</v>
      </c>
      <c r="J855" s="118">
        <f>J854</f>
        <v>0.9</v>
      </c>
      <c r="K855" s="110" t="s">
        <v>412</v>
      </c>
      <c r="L855" s="118">
        <f>TRUNC(E855/(H855*J855),2)</f>
        <v>14.49</v>
      </c>
      <c r="M855" s="286" t="s">
        <v>969</v>
      </c>
      <c r="N855" s="286"/>
      <c r="O855" s="118"/>
      <c r="P855" s="110"/>
      <c r="Q855" s="277"/>
    </row>
    <row r="856" spans="1:17" ht="14.25" customHeight="1">
      <c r="A856" s="130"/>
      <c r="B856" s="110"/>
      <c r="C856" s="118"/>
      <c r="D856" s="110" t="s">
        <v>413</v>
      </c>
      <c r="E856" s="838">
        <v>0.45</v>
      </c>
      <c r="F856" s="838"/>
      <c r="G856" s="118"/>
      <c r="H856" s="285"/>
      <c r="I856" s="118"/>
      <c r="J856" s="118"/>
      <c r="K856" s="110"/>
      <c r="L856" s="118"/>
      <c r="M856" s="286"/>
      <c r="N856" s="286"/>
      <c r="O856" s="118"/>
      <c r="P856" s="110"/>
      <c r="Q856" s="277"/>
    </row>
    <row r="857" spans="1:17" ht="14.25" customHeight="1">
      <c r="A857" s="130"/>
      <c r="B857" s="110"/>
      <c r="C857" s="118" t="s">
        <v>1601</v>
      </c>
      <c r="D857" s="110" t="s">
        <v>1709</v>
      </c>
      <c r="E857" s="845">
        <f>E853</f>
        <v>20</v>
      </c>
      <c r="F857" s="845"/>
      <c r="G857" s="118" t="s">
        <v>972</v>
      </c>
      <c r="H857" s="285">
        <f>L855</f>
        <v>14.49</v>
      </c>
      <c r="I857" s="118" t="s">
        <v>414</v>
      </c>
      <c r="J857" s="118">
        <v>60</v>
      </c>
      <c r="K857" s="118" t="s">
        <v>972</v>
      </c>
      <c r="L857" s="282">
        <f>E856</f>
        <v>0.45</v>
      </c>
      <c r="M857" s="288" t="s">
        <v>2112</v>
      </c>
      <c r="N857" s="286"/>
      <c r="O857" s="118"/>
      <c r="P857" s="110"/>
      <c r="Q857" s="277"/>
    </row>
    <row r="858" spans="1:17" ht="14.25" customHeight="1">
      <c r="A858" s="130"/>
      <c r="B858" s="110"/>
      <c r="C858" s="118"/>
      <c r="D858" s="110" t="s">
        <v>410</v>
      </c>
      <c r="E858" s="838">
        <f>TRUNC((E857*H857)/(J857*L857),2)</f>
        <v>10.73</v>
      </c>
      <c r="F858" s="838"/>
      <c r="G858" s="110" t="s">
        <v>415</v>
      </c>
      <c r="H858" s="287"/>
      <c r="I858" s="118"/>
      <c r="J858" s="118"/>
      <c r="K858" s="118"/>
      <c r="L858" s="118"/>
      <c r="M858" s="286"/>
      <c r="N858" s="286"/>
      <c r="O858" s="118"/>
      <c r="P858" s="110"/>
      <c r="Q858" s="277"/>
    </row>
    <row r="859" spans="1:17" ht="14.25" customHeight="1">
      <c r="A859" s="130"/>
      <c r="B859" s="110"/>
      <c r="C859" s="118" t="s">
        <v>2110</v>
      </c>
      <c r="D859" s="110" t="s">
        <v>381</v>
      </c>
      <c r="E859" s="791">
        <f>J863</f>
        <v>198.75</v>
      </c>
      <c r="F859" s="791"/>
      <c r="G859" s="110" t="s">
        <v>382</v>
      </c>
      <c r="H859" s="118"/>
      <c r="I859" s="110"/>
      <c r="J859" s="110"/>
      <c r="K859" s="110"/>
      <c r="L859" s="118"/>
      <c r="M859" s="118"/>
      <c r="N859" s="118"/>
      <c r="O859" s="110"/>
      <c r="P859" s="110"/>
      <c r="Q859" s="277"/>
    </row>
    <row r="860" spans="1:17" ht="14.25" customHeight="1">
      <c r="A860" s="130"/>
      <c r="B860" s="110"/>
      <c r="C860" s="280" t="s">
        <v>2111</v>
      </c>
      <c r="D860" s="118">
        <f>H837</f>
        <v>5.6</v>
      </c>
      <c r="E860" s="118" t="s">
        <v>300</v>
      </c>
      <c r="F860" s="118">
        <f>K837</f>
        <v>20</v>
      </c>
      <c r="G860" s="110" t="s">
        <v>383</v>
      </c>
      <c r="H860" s="118">
        <f>H837</f>
        <v>5.6</v>
      </c>
      <c r="I860" s="118" t="s">
        <v>300</v>
      </c>
      <c r="J860" s="118">
        <f>O837</f>
        <v>25</v>
      </c>
      <c r="K860" s="118" t="s">
        <v>1757</v>
      </c>
      <c r="L860" s="118">
        <f>H838</f>
        <v>17.8</v>
      </c>
      <c r="M860" s="118" t="s">
        <v>300</v>
      </c>
      <c r="N860" s="791">
        <f>K838</f>
        <v>35</v>
      </c>
      <c r="O860" s="791"/>
      <c r="P860" s="110" t="s">
        <v>2112</v>
      </c>
      <c r="Q860" s="277"/>
    </row>
    <row r="861" spans="1:17" ht="14.25" customHeight="1">
      <c r="A861" s="130"/>
      <c r="B861" s="110"/>
      <c r="C861" s="309" t="s">
        <v>1758</v>
      </c>
      <c r="D861" s="118">
        <f>H838</f>
        <v>17.8</v>
      </c>
      <c r="E861" s="118" t="s">
        <v>300</v>
      </c>
      <c r="F861" s="118">
        <f>O838</f>
        <v>35</v>
      </c>
      <c r="G861" s="110" t="s">
        <v>383</v>
      </c>
      <c r="H861" s="118">
        <f>H839</f>
        <v>28.2</v>
      </c>
      <c r="I861" s="118" t="s">
        <v>300</v>
      </c>
      <c r="J861" s="118">
        <f>K839</f>
        <v>35</v>
      </c>
      <c r="K861" s="118" t="s">
        <v>1757</v>
      </c>
      <c r="L861" s="118">
        <f>H839</f>
        <v>28.2</v>
      </c>
      <c r="M861" s="118" t="s">
        <v>300</v>
      </c>
      <c r="N861" s="791">
        <f>O839</f>
        <v>35</v>
      </c>
      <c r="O861" s="791"/>
      <c r="P861" s="110" t="s">
        <v>2112</v>
      </c>
      <c r="Q861" s="277"/>
    </row>
    <row r="862" spans="1:17" ht="14.25" customHeight="1">
      <c r="A862" s="130"/>
      <c r="B862" s="110"/>
      <c r="C862" s="309" t="s">
        <v>1758</v>
      </c>
      <c r="D862" s="118">
        <f>H840</f>
        <v>2</v>
      </c>
      <c r="E862" s="118" t="s">
        <v>300</v>
      </c>
      <c r="F862" s="118">
        <f>K840</f>
        <v>20</v>
      </c>
      <c r="G862" s="110" t="s">
        <v>383</v>
      </c>
      <c r="H862" s="118">
        <f>H840</f>
        <v>2</v>
      </c>
      <c r="I862" s="118" t="s">
        <v>300</v>
      </c>
      <c r="J862" s="118">
        <f>O840</f>
        <v>25</v>
      </c>
      <c r="K862" s="109" t="s">
        <v>2112</v>
      </c>
      <c r="L862" s="118"/>
      <c r="M862" s="118"/>
      <c r="N862" s="791"/>
      <c r="O862" s="791"/>
      <c r="P862" s="110"/>
      <c r="Q862" s="277"/>
    </row>
    <row r="863" spans="1:17" ht="14.25" customHeight="1">
      <c r="A863" s="130"/>
      <c r="B863" s="110"/>
      <c r="C863" s="118"/>
      <c r="D863" s="280" t="s">
        <v>1582</v>
      </c>
      <c r="E863" s="791">
        <f>(D860/F860)+(H860/J860)+(L860/N860)+(D861/F861)+(H861/J861)+(L861/N861)+(D862/F862)+(H862/J862)</f>
        <v>3.3125714285714283</v>
      </c>
      <c r="F863" s="791"/>
      <c r="G863" s="110" t="s">
        <v>384</v>
      </c>
      <c r="H863" s="118">
        <v>60</v>
      </c>
      <c r="I863" s="118" t="s">
        <v>1582</v>
      </c>
      <c r="J863" s="283">
        <f>TRUNC(E863*H863,2)</f>
        <v>198.75</v>
      </c>
      <c r="K863" s="286" t="s">
        <v>1600</v>
      </c>
      <c r="L863" s="110"/>
      <c r="M863" s="110"/>
      <c r="N863" s="118"/>
      <c r="O863" s="110"/>
      <c r="P863" s="110"/>
      <c r="Q863" s="277"/>
    </row>
    <row r="864" spans="1:17" ht="14.25" customHeight="1">
      <c r="A864" s="130"/>
      <c r="B864" s="110"/>
      <c r="C864" s="118" t="s">
        <v>2113</v>
      </c>
      <c r="D864" s="110" t="s">
        <v>385</v>
      </c>
      <c r="E864" s="840">
        <v>0.8</v>
      </c>
      <c r="F864" s="840"/>
      <c r="G864" s="110" t="s">
        <v>1600</v>
      </c>
      <c r="H864" s="118"/>
      <c r="I864" s="110"/>
      <c r="J864" s="118"/>
      <c r="K864" s="110"/>
      <c r="L864" s="110"/>
      <c r="M864" s="110"/>
      <c r="N864" s="110"/>
      <c r="O864" s="110"/>
      <c r="P864" s="110"/>
      <c r="Q864" s="277"/>
    </row>
    <row r="865" spans="1:18" ht="14.25" customHeight="1">
      <c r="A865" s="130"/>
      <c r="B865" s="110"/>
      <c r="C865" s="118" t="s">
        <v>2114</v>
      </c>
      <c r="D865" s="110" t="s">
        <v>387</v>
      </c>
      <c r="E865" s="791">
        <v>0.42</v>
      </c>
      <c r="F865" s="791"/>
      <c r="G865" s="110" t="s">
        <v>1759</v>
      </c>
      <c r="H865" s="118"/>
      <c r="I865" s="110"/>
      <c r="J865" s="110"/>
      <c r="K865" s="110"/>
      <c r="L865" s="110"/>
      <c r="M865" s="118"/>
      <c r="N865" s="118"/>
      <c r="O865" s="110"/>
      <c r="P865" s="110"/>
      <c r="Q865" s="277"/>
    </row>
    <row r="866" spans="1:18" ht="14.25" customHeight="1">
      <c r="A866" s="130"/>
      <c r="B866" s="110"/>
      <c r="C866" s="118" t="s">
        <v>3102</v>
      </c>
      <c r="D866" s="110" t="s">
        <v>389</v>
      </c>
      <c r="E866" s="791">
        <v>0.5</v>
      </c>
      <c r="F866" s="791"/>
      <c r="G866" s="110" t="s">
        <v>390</v>
      </c>
      <c r="H866" s="110"/>
      <c r="I866" s="110"/>
      <c r="J866" s="110"/>
      <c r="K866" s="110"/>
      <c r="L866" s="110"/>
      <c r="M866" s="110"/>
      <c r="N866" s="110"/>
      <c r="O866" s="110"/>
      <c r="P866" s="110"/>
      <c r="Q866" s="277"/>
    </row>
    <row r="867" spans="1:18" ht="14.25" customHeight="1">
      <c r="A867" s="130"/>
      <c r="B867" s="110"/>
      <c r="C867" s="118"/>
      <c r="D867" s="118" t="s">
        <v>1454</v>
      </c>
      <c r="E867" s="840">
        <f>E851+E859+E864+E865+E866</f>
        <v>211.2</v>
      </c>
      <c r="F867" s="840"/>
      <c r="G867" s="110" t="s">
        <v>1600</v>
      </c>
      <c r="H867" s="110"/>
      <c r="I867" s="110"/>
      <c r="J867" s="110"/>
      <c r="K867" s="110"/>
      <c r="L867" s="110"/>
      <c r="M867" s="110"/>
      <c r="N867" s="110"/>
      <c r="O867" s="110"/>
      <c r="P867" s="110"/>
      <c r="Q867" s="277"/>
    </row>
    <row r="868" spans="1:18" ht="14.25" customHeight="1">
      <c r="A868" s="130"/>
      <c r="B868" s="110"/>
      <c r="C868" s="118"/>
      <c r="D868" s="118"/>
      <c r="E868" s="283"/>
      <c r="F868" s="283"/>
      <c r="G868" s="110"/>
      <c r="H868" s="110"/>
      <c r="I868" s="110"/>
      <c r="J868" s="110"/>
      <c r="K868" s="110"/>
      <c r="L868" s="110"/>
      <c r="M868" s="110"/>
      <c r="N868" s="110"/>
      <c r="O868" s="110"/>
      <c r="P868" s="110"/>
      <c r="Q868" s="277"/>
    </row>
    <row r="869" spans="1:18" ht="14.25" customHeight="1">
      <c r="A869" s="130"/>
      <c r="B869" s="118"/>
      <c r="C869" s="118"/>
      <c r="D869" s="110"/>
      <c r="E869" s="118"/>
      <c r="F869" s="110"/>
      <c r="G869" s="110"/>
      <c r="H869" s="110"/>
      <c r="I869" s="110"/>
      <c r="J869" s="110"/>
      <c r="K869" s="110"/>
      <c r="L869" s="110"/>
      <c r="M869" s="110"/>
      <c r="N869" s="110"/>
      <c r="O869" s="110"/>
      <c r="P869" s="110"/>
      <c r="Q869" s="277"/>
    </row>
    <row r="870" spans="1:18" ht="14.25" customHeight="1">
      <c r="A870" s="130" t="s">
        <v>391</v>
      </c>
      <c r="B870" s="110" t="s">
        <v>392</v>
      </c>
      <c r="C870" s="118"/>
      <c r="D870" s="110"/>
      <c r="E870" s="118"/>
      <c r="F870" s="110"/>
      <c r="G870" s="110"/>
      <c r="H870" s="110"/>
      <c r="I870" s="110"/>
      <c r="J870" s="110"/>
      <c r="K870" s="110"/>
      <c r="L870" s="110"/>
      <c r="M870" s="110"/>
      <c r="N870" s="110"/>
      <c r="O870" s="110"/>
      <c r="P870" s="110"/>
      <c r="Q870" s="277"/>
    </row>
    <row r="871" spans="1:18" ht="14.25" customHeight="1">
      <c r="A871" s="130"/>
      <c r="B871" s="280"/>
      <c r="C871" s="110"/>
      <c r="D871" s="110"/>
      <c r="E871" s="110"/>
      <c r="F871" s="110"/>
      <c r="G871" s="110"/>
      <c r="H871" s="110"/>
      <c r="I871" s="110"/>
      <c r="J871" s="110"/>
      <c r="K871" s="110"/>
      <c r="L871" s="110"/>
      <c r="M871" s="110"/>
      <c r="N871" s="110"/>
      <c r="O871" s="110"/>
      <c r="P871" s="110"/>
      <c r="Q871" s="277"/>
    </row>
    <row r="872" spans="1:18" ht="14.25" customHeight="1">
      <c r="A872" s="841"/>
      <c r="B872" s="791" t="s">
        <v>1111</v>
      </c>
      <c r="C872" s="791" t="s">
        <v>1582</v>
      </c>
      <c r="D872" s="280" t="s">
        <v>393</v>
      </c>
      <c r="E872" s="318">
        <f>G847</f>
        <v>0.71</v>
      </c>
      <c r="F872" s="118" t="s">
        <v>972</v>
      </c>
      <c r="G872" s="282">
        <f>L846</f>
        <v>9.1300000000000008</v>
      </c>
      <c r="H872" s="118" t="s">
        <v>972</v>
      </c>
      <c r="I872" s="118">
        <f>G848</f>
        <v>0.9</v>
      </c>
      <c r="J872" s="791" t="s">
        <v>1582</v>
      </c>
      <c r="K872" s="837">
        <f>TRUNC(E872*G872*I872*60,2)</f>
        <v>350.04</v>
      </c>
      <c r="L872" s="837"/>
      <c r="M872" s="791" t="s">
        <v>1582</v>
      </c>
      <c r="N872" s="838">
        <f>TRUNC(K872/K873,2)</f>
        <v>1.65</v>
      </c>
      <c r="O872" s="838"/>
      <c r="P872" s="110" t="s">
        <v>301</v>
      </c>
      <c r="Q872" s="277"/>
    </row>
    <row r="873" spans="1:18" ht="14.25" customHeight="1">
      <c r="A873" s="841"/>
      <c r="B873" s="791"/>
      <c r="C873" s="791"/>
      <c r="D873" s="850">
        <f>G849</f>
        <v>211.2</v>
      </c>
      <c r="E873" s="850"/>
      <c r="F873" s="850"/>
      <c r="G873" s="850"/>
      <c r="H873" s="850"/>
      <c r="I873" s="850"/>
      <c r="J873" s="791"/>
      <c r="K873" s="850">
        <f>D873</f>
        <v>211.2</v>
      </c>
      <c r="L873" s="850"/>
      <c r="M873" s="791"/>
      <c r="N873" s="838"/>
      <c r="O873" s="838"/>
      <c r="P873" s="110"/>
      <c r="Q873" s="277" t="s">
        <v>394</v>
      </c>
    </row>
    <row r="874" spans="1:18" ht="14.25" customHeight="1">
      <c r="A874" s="130"/>
      <c r="B874" s="110"/>
      <c r="C874" s="110"/>
      <c r="D874" s="110"/>
      <c r="E874" s="110"/>
      <c r="F874" s="110"/>
      <c r="G874" s="110"/>
      <c r="H874" s="110"/>
      <c r="I874" s="110"/>
      <c r="J874" s="110"/>
      <c r="K874" s="110"/>
      <c r="L874" s="110"/>
      <c r="M874" s="110"/>
      <c r="N874" s="110"/>
      <c r="O874" s="110"/>
      <c r="P874" s="110"/>
      <c r="Q874" s="277"/>
    </row>
    <row r="875" spans="1:18" ht="14.25" customHeight="1">
      <c r="A875" s="130"/>
      <c r="B875" s="110"/>
      <c r="C875" s="110"/>
      <c r="D875" s="110" t="s">
        <v>395</v>
      </c>
      <c r="E875" s="110"/>
      <c r="F875" s="835">
        <f>중기사용료!$M$530</f>
        <v>24463</v>
      </c>
      <c r="G875" s="835"/>
      <c r="H875" s="286" t="s">
        <v>975</v>
      </c>
      <c r="I875" s="118" t="s">
        <v>300</v>
      </c>
      <c r="J875" s="282">
        <f>N872</f>
        <v>1.65</v>
      </c>
      <c r="K875" s="282" t="s">
        <v>1582</v>
      </c>
      <c r="L875" s="121">
        <f>TRUNC(F875/J875)</f>
        <v>14826</v>
      </c>
      <c r="M875" s="118" t="s">
        <v>975</v>
      </c>
      <c r="N875" s="303" t="s">
        <v>416</v>
      </c>
      <c r="O875" s="110"/>
      <c r="P875" s="110"/>
      <c r="Q875" s="277"/>
    </row>
    <row r="876" spans="1:18" ht="14.25" customHeight="1">
      <c r="A876" s="130"/>
      <c r="B876" s="110"/>
      <c r="C876" s="118"/>
      <c r="D876" s="110"/>
      <c r="E876" s="290"/>
      <c r="F876" s="291"/>
      <c r="G876" s="291"/>
      <c r="H876" s="118"/>
      <c r="I876" s="110"/>
      <c r="J876" s="118"/>
      <c r="K876" s="285"/>
      <c r="L876" s="121"/>
      <c r="M876" s="118"/>
      <c r="N876" s="303"/>
      <c r="O876" s="110"/>
      <c r="P876" s="110"/>
      <c r="Q876" s="277"/>
    </row>
    <row r="877" spans="1:18" ht="14.25" customHeight="1">
      <c r="A877" s="130"/>
      <c r="B877" s="110"/>
      <c r="C877" s="110"/>
      <c r="D877" s="110" t="s">
        <v>396</v>
      </c>
      <c r="E877" s="110"/>
      <c r="F877" s="835">
        <f>중기사용료!$M$524</f>
        <v>27168</v>
      </c>
      <c r="G877" s="835"/>
      <c r="H877" s="286" t="s">
        <v>975</v>
      </c>
      <c r="I877" s="118" t="s">
        <v>300</v>
      </c>
      <c r="J877" s="282">
        <f>N872</f>
        <v>1.65</v>
      </c>
      <c r="K877" s="282" t="s">
        <v>1582</v>
      </c>
      <c r="L877" s="121">
        <f>TRUNC(F877/J877)</f>
        <v>16465</v>
      </c>
      <c r="M877" s="118" t="s">
        <v>975</v>
      </c>
      <c r="N877" s="303" t="s">
        <v>416</v>
      </c>
      <c r="O877" s="110"/>
      <c r="P877" s="110"/>
      <c r="Q877" s="277"/>
      <c r="R877" s="272" t="s">
        <v>1436</v>
      </c>
    </row>
    <row r="878" spans="1:18" ht="14.25" customHeight="1">
      <c r="A878" s="130"/>
      <c r="B878" s="110"/>
      <c r="C878" s="118"/>
      <c r="D878" s="110"/>
      <c r="E878" s="290"/>
      <c r="F878" s="291"/>
      <c r="G878" s="291"/>
      <c r="H878" s="118"/>
      <c r="I878" s="110"/>
      <c r="J878" s="118"/>
      <c r="K878" s="285"/>
      <c r="L878" s="121"/>
      <c r="M878" s="118"/>
      <c r="N878" s="303"/>
      <c r="O878" s="110"/>
      <c r="P878" s="110"/>
      <c r="Q878" s="277"/>
    </row>
    <row r="879" spans="1:18" ht="14.25" customHeight="1">
      <c r="A879" s="130"/>
      <c r="B879" s="110"/>
      <c r="C879" s="110"/>
      <c r="D879" s="110" t="s">
        <v>398</v>
      </c>
      <c r="E879" s="110"/>
      <c r="F879" s="835">
        <f>중기사용료!$M$518</f>
        <v>17612</v>
      </c>
      <c r="G879" s="835"/>
      <c r="H879" s="118" t="s">
        <v>975</v>
      </c>
      <c r="I879" s="118" t="s">
        <v>300</v>
      </c>
      <c r="J879" s="282">
        <f>N872</f>
        <v>1.65</v>
      </c>
      <c r="K879" s="282" t="s">
        <v>1582</v>
      </c>
      <c r="L879" s="121">
        <f>TRUNC(F879/J879)</f>
        <v>10673</v>
      </c>
      <c r="M879" s="121" t="s">
        <v>975</v>
      </c>
      <c r="N879" s="303" t="s">
        <v>416</v>
      </c>
      <c r="O879" s="110"/>
      <c r="P879" s="110"/>
      <c r="Q879" s="277"/>
    </row>
    <row r="880" spans="1:18" ht="14.25" customHeight="1">
      <c r="A880" s="130"/>
      <c r="B880" s="110"/>
      <c r="C880" s="118"/>
      <c r="D880" s="110" t="s">
        <v>1813</v>
      </c>
      <c r="E880" s="110"/>
      <c r="F880" s="835"/>
      <c r="G880" s="791"/>
      <c r="H880" s="110"/>
      <c r="I880" s="110"/>
      <c r="J880" s="110"/>
      <c r="K880" s="110"/>
      <c r="L880" s="110"/>
      <c r="M880" s="118"/>
      <c r="N880" s="303"/>
      <c r="O880" s="110"/>
      <c r="P880" s="110"/>
      <c r="Q880" s="277"/>
    </row>
    <row r="881" spans="1:18" s="302" customFormat="1" ht="14.25" customHeight="1">
      <c r="A881" s="319"/>
      <c r="B881" s="320"/>
      <c r="C881" s="320"/>
      <c r="D881" s="320"/>
      <c r="E881" s="320"/>
      <c r="F881" s="849">
        <f>SUM(F875:G879)</f>
        <v>69243</v>
      </c>
      <c r="G881" s="849"/>
      <c r="H881" s="321"/>
      <c r="I881" s="322"/>
      <c r="J881" s="320"/>
      <c r="K881" s="322" t="s">
        <v>1454</v>
      </c>
      <c r="L881" s="323">
        <f>SUM(L875,L877,L879)</f>
        <v>41964</v>
      </c>
      <c r="M881" s="320" t="s">
        <v>975</v>
      </c>
      <c r="N881" s="324" t="s">
        <v>416</v>
      </c>
      <c r="O881" s="325"/>
      <c r="P881" s="320"/>
      <c r="Q881" s="326"/>
      <c r="R881" s="272"/>
    </row>
    <row r="882" spans="1:18" ht="14.25" customHeight="1">
      <c r="A882" s="126"/>
      <c r="B882" s="126"/>
      <c r="C882" s="142"/>
      <c r="D882" s="313"/>
      <c r="E882" s="314"/>
      <c r="F882" s="315"/>
      <c r="G882" s="126"/>
      <c r="H882" s="316"/>
      <c r="I882" s="317"/>
      <c r="J882" s="126"/>
      <c r="K882" s="126"/>
      <c r="L882" s="142"/>
      <c r="M882" s="315"/>
      <c r="N882" s="315"/>
      <c r="O882" s="142"/>
      <c r="P882" s="126"/>
      <c r="Q882" s="126"/>
    </row>
    <row r="883" spans="1:18" s="265" customFormat="1" ht="14.25" customHeight="1">
      <c r="A883" s="306"/>
      <c r="B883" s="262" t="s">
        <v>982</v>
      </c>
      <c r="C883" s="262"/>
      <c r="D883" s="262"/>
      <c r="E883" s="262"/>
      <c r="F883" s="262"/>
      <c r="G883" s="262"/>
      <c r="H883" s="263"/>
      <c r="I883" s="263" t="s">
        <v>1421</v>
      </c>
      <c r="J883" s="263">
        <v>15</v>
      </c>
      <c r="K883" s="262" t="s">
        <v>1193</v>
      </c>
      <c r="L883" s="263">
        <v>0.7</v>
      </c>
      <c r="M883" s="262" t="s">
        <v>1420</v>
      </c>
      <c r="N883" s="262"/>
      <c r="O883" s="261"/>
      <c r="P883" s="261"/>
      <c r="Q883" s="264"/>
      <c r="R883" s="265" t="s">
        <v>3299</v>
      </c>
    </row>
    <row r="884" spans="1:18" ht="14.25" customHeight="1">
      <c r="A884" s="266"/>
      <c r="B884" s="126"/>
      <c r="C884" s="126"/>
      <c r="D884" s="126"/>
      <c r="E884" s="267"/>
      <c r="F884" s="267"/>
      <c r="G884" s="268"/>
      <c r="H884" s="267"/>
      <c r="I884" s="267"/>
      <c r="J884" s="267"/>
      <c r="K884" s="267"/>
      <c r="L884" s="269"/>
      <c r="M884" s="270"/>
      <c r="N884" s="270"/>
      <c r="O884" s="126"/>
      <c r="P884" s="126"/>
      <c r="Q884" s="271"/>
    </row>
    <row r="885" spans="1:18" ht="14.25" customHeight="1">
      <c r="A885" s="273"/>
      <c r="B885" s="110" t="s">
        <v>1592</v>
      </c>
      <c r="C885" s="33" t="s">
        <v>1593</v>
      </c>
      <c r="D885" s="274"/>
      <c r="E885" s="275"/>
      <c r="F885" s="275"/>
      <c r="G885" s="121"/>
      <c r="H885" s="275"/>
      <c r="I885" s="275"/>
      <c r="J885" s="275" t="s">
        <v>1749</v>
      </c>
      <c r="K885" s="275"/>
      <c r="L885" s="33"/>
      <c r="M885" s="276" t="s">
        <v>1750</v>
      </c>
      <c r="N885" s="276"/>
      <c r="O885" s="110"/>
      <c r="P885" s="110"/>
      <c r="Q885" s="277"/>
    </row>
    <row r="886" spans="1:18" ht="14.25" customHeight="1">
      <c r="A886" s="273"/>
      <c r="B886" s="118" t="s">
        <v>2267</v>
      </c>
      <c r="C886" s="110" t="s">
        <v>1760</v>
      </c>
      <c r="D886" s="110"/>
      <c r="E886" s="110"/>
      <c r="F886" s="110"/>
      <c r="G886" s="275" t="s">
        <v>3103</v>
      </c>
      <c r="H886" s="275">
        <v>2</v>
      </c>
      <c r="I886" s="275" t="s">
        <v>1595</v>
      </c>
      <c r="J886" s="274" t="s">
        <v>1596</v>
      </c>
      <c r="K886" s="110">
        <v>20</v>
      </c>
      <c r="L886" s="110" t="s">
        <v>1595</v>
      </c>
      <c r="M886" s="122" t="s">
        <v>1596</v>
      </c>
      <c r="N886" s="118"/>
      <c r="O886" s="110">
        <v>25</v>
      </c>
      <c r="P886" s="275" t="s">
        <v>1595</v>
      </c>
      <c r="Q886" s="277"/>
    </row>
    <row r="887" spans="1:18" ht="14.25" customHeight="1">
      <c r="A887" s="273"/>
      <c r="B887" s="118" t="s">
        <v>2267</v>
      </c>
      <c r="C887" s="110" t="s">
        <v>1761</v>
      </c>
      <c r="D887" s="110"/>
      <c r="E887" s="110"/>
      <c r="F887" s="110"/>
      <c r="G887" s="275" t="s">
        <v>3105</v>
      </c>
      <c r="H887" s="275">
        <v>28</v>
      </c>
      <c r="I887" s="275" t="s">
        <v>1595</v>
      </c>
      <c r="J887" s="274" t="s">
        <v>1597</v>
      </c>
      <c r="K887" s="110">
        <v>50</v>
      </c>
      <c r="L887" s="110" t="s">
        <v>1595</v>
      </c>
      <c r="M887" s="122" t="s">
        <v>1597</v>
      </c>
      <c r="N887" s="118"/>
      <c r="O887" s="110">
        <v>55</v>
      </c>
      <c r="P887" s="275" t="s">
        <v>1595</v>
      </c>
      <c r="Q887" s="277"/>
    </row>
    <row r="888" spans="1:18" ht="14.25" customHeight="1">
      <c r="A888" s="273"/>
      <c r="B888" s="118"/>
      <c r="C888" s="110"/>
      <c r="D888" s="110"/>
      <c r="E888" s="110"/>
      <c r="F888" s="110"/>
      <c r="G888" s="275"/>
      <c r="H888" s="275"/>
      <c r="I888" s="275"/>
      <c r="J888" s="274"/>
      <c r="K888" s="110"/>
      <c r="L888" s="110"/>
      <c r="M888" s="33"/>
      <c r="N888" s="118"/>
      <c r="O888" s="110"/>
      <c r="P888" s="275"/>
      <c r="Q888" s="277"/>
    </row>
    <row r="889" spans="1:18" ht="14.25" customHeight="1">
      <c r="A889" s="273"/>
      <c r="B889" s="110"/>
      <c r="C889" s="274"/>
      <c r="D889" s="274"/>
      <c r="E889" s="275"/>
      <c r="F889" s="275"/>
      <c r="G889" s="121"/>
      <c r="H889" s="275"/>
      <c r="I889" s="275"/>
      <c r="J889" s="275"/>
      <c r="K889" s="275"/>
      <c r="L889" s="33"/>
      <c r="M889" s="276"/>
      <c r="N889" s="276"/>
      <c r="O889" s="110"/>
      <c r="P889" s="110"/>
      <c r="Q889" s="277"/>
    </row>
    <row r="890" spans="1:18" ht="14.25" customHeight="1">
      <c r="A890" s="130"/>
      <c r="B890" s="110" t="s">
        <v>1592</v>
      </c>
      <c r="C890" s="110" t="s">
        <v>1198</v>
      </c>
      <c r="D890" s="110"/>
      <c r="E890" s="110"/>
      <c r="F890" s="110"/>
      <c r="G890" s="110"/>
      <c r="H890" s="110"/>
      <c r="I890" s="110"/>
      <c r="J890" s="110" t="s">
        <v>400</v>
      </c>
      <c r="K890" s="110"/>
      <c r="L890" s="118">
        <v>2.2999999999999998</v>
      </c>
      <c r="M890" s="110" t="s">
        <v>1805</v>
      </c>
      <c r="N890" s="110"/>
      <c r="O890" s="110"/>
      <c r="P890" s="110"/>
      <c r="Q890" s="277"/>
    </row>
    <row r="891" spans="1:18" ht="14.25" customHeight="1">
      <c r="A891" s="130"/>
      <c r="B891" s="118"/>
      <c r="C891" s="791" t="s">
        <v>1806</v>
      </c>
      <c r="D891" s="791" t="s">
        <v>1807</v>
      </c>
      <c r="E891" s="791"/>
      <c r="F891" s="791"/>
      <c r="G891" s="110"/>
      <c r="H891" s="110"/>
      <c r="I891" s="110"/>
      <c r="J891" s="110"/>
      <c r="K891" s="110"/>
      <c r="L891" s="110"/>
      <c r="M891" s="110"/>
      <c r="N891" s="110"/>
      <c r="O891" s="110"/>
      <c r="P891" s="110"/>
      <c r="Q891" s="277"/>
    </row>
    <row r="892" spans="1:18" ht="14.25" customHeight="1">
      <c r="A892" s="130"/>
      <c r="B892" s="118"/>
      <c r="C892" s="791"/>
      <c r="D892" s="843" t="s">
        <v>1583</v>
      </c>
      <c r="E892" s="843"/>
      <c r="F892" s="843"/>
      <c r="G892" s="110"/>
      <c r="H892" s="110"/>
      <c r="I892" s="110"/>
      <c r="J892" s="110"/>
      <c r="K892" s="110"/>
      <c r="L892" s="110"/>
      <c r="M892" s="110"/>
      <c r="N892" s="110"/>
      <c r="O892" s="110"/>
      <c r="P892" s="110"/>
      <c r="Q892" s="277"/>
    </row>
    <row r="893" spans="1:18" ht="14.25" customHeight="1">
      <c r="A893" s="130"/>
      <c r="B893" s="110"/>
      <c r="C893" s="110"/>
      <c r="D893" s="110"/>
      <c r="E893" s="110"/>
      <c r="F893" s="110"/>
      <c r="G893" s="110"/>
      <c r="H893" s="110"/>
      <c r="I893" s="110"/>
      <c r="J893" s="110"/>
      <c r="K893" s="110"/>
      <c r="L893" s="110"/>
      <c r="M893" s="110"/>
      <c r="N893" s="110"/>
      <c r="O893" s="110"/>
      <c r="P893" s="110"/>
      <c r="Q893" s="277"/>
    </row>
    <row r="894" spans="1:18" ht="14.25" customHeight="1">
      <c r="A894" s="130"/>
      <c r="B894" s="280"/>
      <c r="C894" s="118" t="s">
        <v>1808</v>
      </c>
      <c r="D894" s="110" t="s">
        <v>1809</v>
      </c>
      <c r="E894" s="110"/>
      <c r="F894" s="110"/>
      <c r="G894" s="118"/>
      <c r="H894" s="280"/>
      <c r="I894" s="118"/>
      <c r="J894" s="110"/>
      <c r="K894" s="110"/>
      <c r="L894" s="110"/>
      <c r="M894" s="110"/>
      <c r="N894" s="110"/>
      <c r="O894" s="110"/>
      <c r="P894" s="110"/>
      <c r="Q894" s="277"/>
    </row>
    <row r="895" spans="1:18" ht="14.25" customHeight="1">
      <c r="A895" s="130"/>
      <c r="B895" s="280"/>
      <c r="C895" s="118" t="s">
        <v>298</v>
      </c>
      <c r="D895" s="110" t="s">
        <v>299</v>
      </c>
      <c r="E895" s="845">
        <f>J883</f>
        <v>15</v>
      </c>
      <c r="F895" s="845"/>
      <c r="G895" s="118" t="s">
        <v>300</v>
      </c>
      <c r="H895" s="118">
        <f>L890</f>
        <v>2.2999999999999998</v>
      </c>
      <c r="I895" s="118" t="s">
        <v>972</v>
      </c>
      <c r="J895" s="118">
        <v>1.4</v>
      </c>
      <c r="K895" s="118" t="s">
        <v>1582</v>
      </c>
      <c r="L895" s="282">
        <f>TRUNC(E895/H895*J895,2)</f>
        <v>9.1300000000000008</v>
      </c>
      <c r="M895" s="118" t="s">
        <v>301</v>
      </c>
      <c r="N895" s="110"/>
      <c r="O895" s="110"/>
      <c r="P895" s="110"/>
      <c r="Q895" s="277"/>
    </row>
    <row r="896" spans="1:18" ht="14.25" customHeight="1">
      <c r="A896" s="130"/>
      <c r="B896" s="280"/>
      <c r="C896" s="118" t="s">
        <v>302</v>
      </c>
      <c r="D896" s="110" t="s">
        <v>1156</v>
      </c>
      <c r="E896" s="110"/>
      <c r="F896" s="118" t="s">
        <v>1526</v>
      </c>
      <c r="G896" s="283">
        <f>TRUNC(1/J896,2)</f>
        <v>0.71</v>
      </c>
      <c r="H896" s="280" t="s">
        <v>303</v>
      </c>
      <c r="I896" s="118" t="s">
        <v>300</v>
      </c>
      <c r="J896" s="118">
        <f>J895</f>
        <v>1.4</v>
      </c>
      <c r="K896" s="284" t="s">
        <v>304</v>
      </c>
      <c r="L896" s="110"/>
      <c r="M896" s="110"/>
      <c r="N896" s="110"/>
      <c r="O896" s="110"/>
      <c r="P896" s="110"/>
      <c r="Q896" s="277"/>
    </row>
    <row r="897" spans="1:17" ht="14.25" customHeight="1">
      <c r="A897" s="130"/>
      <c r="B897" s="280"/>
      <c r="C897" s="118" t="s">
        <v>1703</v>
      </c>
      <c r="D897" s="110" t="s">
        <v>1207</v>
      </c>
      <c r="E897" s="110"/>
      <c r="F897" s="118" t="s">
        <v>1526</v>
      </c>
      <c r="G897" s="118">
        <v>0.9</v>
      </c>
      <c r="H897" s="280"/>
      <c r="I897" s="110"/>
      <c r="J897" s="110"/>
      <c r="K897" s="110"/>
      <c r="L897" s="110"/>
      <c r="M897" s="110"/>
      <c r="N897" s="110"/>
      <c r="O897" s="110"/>
      <c r="P897" s="110"/>
      <c r="Q897" s="277"/>
    </row>
    <row r="898" spans="1:17" ht="14.25" customHeight="1">
      <c r="A898" s="130"/>
      <c r="B898" s="280"/>
      <c r="C898" s="118" t="s">
        <v>1704</v>
      </c>
      <c r="D898" s="110" t="s">
        <v>401</v>
      </c>
      <c r="E898" s="110"/>
      <c r="F898" s="118"/>
      <c r="G898" s="286">
        <f>E916</f>
        <v>87.39</v>
      </c>
      <c r="H898" s="118" t="s">
        <v>1600</v>
      </c>
      <c r="I898" s="110"/>
      <c r="J898" s="110"/>
      <c r="K898" s="110"/>
      <c r="L898" s="110"/>
      <c r="M898" s="110"/>
      <c r="N898" s="110"/>
      <c r="O898" s="110"/>
      <c r="P898" s="110"/>
      <c r="Q898" s="277"/>
    </row>
    <row r="899" spans="1:17" ht="14.25" customHeight="1">
      <c r="A899" s="130"/>
      <c r="B899" s="280"/>
      <c r="C899" s="118" t="s">
        <v>1704</v>
      </c>
      <c r="D899" s="110" t="s">
        <v>3111</v>
      </c>
      <c r="E899" s="110"/>
      <c r="F899" s="110"/>
      <c r="G899" s="110"/>
      <c r="H899" s="283"/>
      <c r="I899" s="118"/>
      <c r="J899" s="110"/>
      <c r="K899" s="110"/>
      <c r="L899" s="110"/>
      <c r="M899" s="110"/>
      <c r="N899" s="110"/>
      <c r="O899" s="110"/>
      <c r="P899" s="110"/>
      <c r="Q899" s="277"/>
    </row>
    <row r="900" spans="1:17" ht="14.25" customHeight="1">
      <c r="A900" s="130"/>
      <c r="B900" s="110"/>
      <c r="C900" s="118" t="s">
        <v>1706</v>
      </c>
      <c r="D900" s="110" t="s">
        <v>1707</v>
      </c>
      <c r="E900" s="838">
        <f>E908</f>
        <v>10.73</v>
      </c>
      <c r="F900" s="838"/>
      <c r="G900" s="110" t="s">
        <v>402</v>
      </c>
      <c r="H900" s="285" t="s">
        <v>403</v>
      </c>
      <c r="I900" s="118"/>
      <c r="J900" s="118"/>
      <c r="K900" s="110"/>
      <c r="L900" s="118"/>
      <c r="M900" s="286"/>
      <c r="N900" s="286"/>
      <c r="O900" s="118"/>
      <c r="P900" s="110"/>
      <c r="Q900" s="277"/>
    </row>
    <row r="901" spans="1:17" ht="14.25" customHeight="1">
      <c r="A901" s="130"/>
      <c r="B901" s="110"/>
      <c r="C901" s="118"/>
      <c r="E901" s="288"/>
      <c r="F901" s="286"/>
      <c r="G901" s="110"/>
      <c r="H901" s="285"/>
      <c r="I901" s="118"/>
      <c r="J901" s="118"/>
      <c r="K901" s="110"/>
      <c r="L901" s="118"/>
      <c r="M901" s="286"/>
      <c r="N901" s="286"/>
      <c r="O901" s="118"/>
      <c r="P901" s="110"/>
      <c r="Q901" s="277"/>
    </row>
    <row r="902" spans="1:17" ht="14.25" customHeight="1">
      <c r="A902" s="130"/>
      <c r="B902" s="110"/>
      <c r="C902" s="118"/>
      <c r="D902" s="118" t="s">
        <v>404</v>
      </c>
      <c r="E902" s="846">
        <v>20</v>
      </c>
      <c r="F902" s="846"/>
      <c r="G902" s="110" t="s">
        <v>405</v>
      </c>
      <c r="H902" s="285" t="s">
        <v>1756</v>
      </c>
      <c r="I902" s="118"/>
      <c r="J902" s="109"/>
      <c r="K902" s="110"/>
      <c r="L902" s="109"/>
      <c r="M902" s="286"/>
      <c r="N902" s="286"/>
      <c r="O902" s="118"/>
      <c r="P902" s="110"/>
      <c r="Q902" s="277"/>
    </row>
    <row r="903" spans="1:17" ht="14.25" customHeight="1">
      <c r="A903" s="130"/>
      <c r="B903" s="110"/>
      <c r="C903" s="118"/>
      <c r="D903" s="280"/>
      <c r="E903" s="288"/>
      <c r="F903" s="286"/>
      <c r="G903" s="110"/>
      <c r="H903" s="285"/>
      <c r="I903" s="307"/>
      <c r="K903" s="110"/>
      <c r="L903" s="118"/>
      <c r="M903" s="286"/>
      <c r="N903" s="286"/>
      <c r="O903" s="118"/>
      <c r="P903" s="110"/>
      <c r="Q903" s="277"/>
    </row>
    <row r="904" spans="1:17" ht="14.25" customHeight="1">
      <c r="A904" s="130"/>
      <c r="B904" s="110"/>
      <c r="C904" s="118"/>
      <c r="D904" s="110" t="s">
        <v>407</v>
      </c>
      <c r="E904" s="288" t="s">
        <v>408</v>
      </c>
      <c r="F904" s="286"/>
      <c r="G904" s="110"/>
      <c r="H904" s="285"/>
      <c r="I904" s="118" t="s">
        <v>1748</v>
      </c>
      <c r="J904" s="118">
        <v>0.9</v>
      </c>
      <c r="K904" s="110"/>
      <c r="L904" s="118"/>
      <c r="M904" s="286"/>
      <c r="N904" s="286"/>
      <c r="O904" s="118"/>
      <c r="P904" s="110"/>
      <c r="Q904" s="277"/>
    </row>
    <row r="905" spans="1:17" ht="14.25" customHeight="1">
      <c r="A905" s="130"/>
      <c r="B905" s="110"/>
      <c r="C905" s="118"/>
      <c r="D905" s="110" t="s">
        <v>410</v>
      </c>
      <c r="E905" s="838">
        <f>L895</f>
        <v>9.1300000000000008</v>
      </c>
      <c r="F905" s="838"/>
      <c r="G905" s="118" t="s">
        <v>411</v>
      </c>
      <c r="H905" s="285">
        <f>L883</f>
        <v>0.7</v>
      </c>
      <c r="I905" s="118" t="s">
        <v>86</v>
      </c>
      <c r="J905" s="118">
        <f>J904</f>
        <v>0.9</v>
      </c>
      <c r="K905" s="110" t="s">
        <v>412</v>
      </c>
      <c r="L905" s="118">
        <f>TRUNC(E905/(H905*J905),2)</f>
        <v>14.49</v>
      </c>
      <c r="M905" s="286" t="s">
        <v>969</v>
      </c>
      <c r="N905" s="286"/>
      <c r="O905" s="118"/>
      <c r="P905" s="110"/>
      <c r="Q905" s="277"/>
    </row>
    <row r="906" spans="1:17" ht="14.25" customHeight="1">
      <c r="A906" s="130"/>
      <c r="B906" s="110"/>
      <c r="C906" s="118"/>
      <c r="D906" s="110" t="s">
        <v>413</v>
      </c>
      <c r="E906" s="838">
        <v>0.45</v>
      </c>
      <c r="F906" s="838"/>
      <c r="G906" s="118"/>
      <c r="H906" s="285"/>
      <c r="I906" s="118"/>
      <c r="J906" s="118"/>
      <c r="K906" s="110"/>
      <c r="L906" s="118"/>
      <c r="M906" s="286"/>
      <c r="N906" s="286"/>
      <c r="O906" s="118"/>
      <c r="P906" s="110"/>
      <c r="Q906" s="277"/>
    </row>
    <row r="907" spans="1:17" ht="14.25" customHeight="1">
      <c r="A907" s="130"/>
      <c r="B907" s="110"/>
      <c r="C907" s="118" t="s">
        <v>1601</v>
      </c>
      <c r="D907" s="110" t="s">
        <v>1709</v>
      </c>
      <c r="E907" s="845">
        <f>E902</f>
        <v>20</v>
      </c>
      <c r="F907" s="845"/>
      <c r="G907" s="118" t="s">
        <v>972</v>
      </c>
      <c r="H907" s="285">
        <f>L905</f>
        <v>14.49</v>
      </c>
      <c r="I907" s="118" t="s">
        <v>414</v>
      </c>
      <c r="J907" s="118">
        <v>60</v>
      </c>
      <c r="K907" s="118" t="s">
        <v>972</v>
      </c>
      <c r="L907" s="282">
        <f>E906</f>
        <v>0.45</v>
      </c>
      <c r="M907" s="288" t="s">
        <v>2112</v>
      </c>
      <c r="N907" s="286"/>
      <c r="O907" s="118"/>
      <c r="P907" s="110"/>
      <c r="Q907" s="277"/>
    </row>
    <row r="908" spans="1:17" ht="14.25" customHeight="1">
      <c r="A908" s="130"/>
      <c r="B908" s="110"/>
      <c r="C908" s="118"/>
      <c r="D908" s="110" t="s">
        <v>410</v>
      </c>
      <c r="E908" s="838">
        <f>TRUNC((E907*H907)/(J907*L907),2)</f>
        <v>10.73</v>
      </c>
      <c r="F908" s="838"/>
      <c r="G908" s="110" t="s">
        <v>415</v>
      </c>
      <c r="H908" s="287"/>
      <c r="I908" s="118"/>
      <c r="J908" s="118"/>
      <c r="K908" s="118"/>
      <c r="L908" s="118"/>
      <c r="M908" s="286"/>
      <c r="N908" s="286"/>
      <c r="O908" s="118"/>
      <c r="P908" s="110"/>
      <c r="Q908" s="277"/>
    </row>
    <row r="909" spans="1:17" ht="14.25" customHeight="1">
      <c r="A909" s="130"/>
      <c r="B909" s="110"/>
      <c r="C909" s="118" t="s">
        <v>2110</v>
      </c>
      <c r="D909" s="110" t="s">
        <v>381</v>
      </c>
      <c r="E909" s="791">
        <f>J912</f>
        <v>74.94</v>
      </c>
      <c r="F909" s="791"/>
      <c r="G909" s="110" t="s">
        <v>382</v>
      </c>
      <c r="H909" s="118"/>
      <c r="I909" s="110"/>
      <c r="J909" s="110"/>
      <c r="K909" s="110"/>
      <c r="L909" s="118"/>
      <c r="M909" s="118"/>
      <c r="N909" s="118"/>
      <c r="O909" s="110"/>
      <c r="P909" s="110"/>
      <c r="Q909" s="277"/>
    </row>
    <row r="910" spans="1:17" ht="14.25" customHeight="1">
      <c r="A910" s="130"/>
      <c r="B910" s="110"/>
      <c r="C910" s="280" t="s">
        <v>2111</v>
      </c>
      <c r="D910" s="118">
        <f>H886</f>
        <v>2</v>
      </c>
      <c r="E910" s="118" t="s">
        <v>300</v>
      </c>
      <c r="F910" s="118">
        <f>K886</f>
        <v>20</v>
      </c>
      <c r="G910" s="110" t="s">
        <v>383</v>
      </c>
      <c r="H910" s="118">
        <f>H886</f>
        <v>2</v>
      </c>
      <c r="I910" s="118" t="s">
        <v>300</v>
      </c>
      <c r="J910" s="118">
        <f>O886</f>
        <v>25</v>
      </c>
      <c r="K910" s="118" t="s">
        <v>1757</v>
      </c>
      <c r="L910" s="118">
        <f>H887</f>
        <v>28</v>
      </c>
      <c r="M910" s="118" t="s">
        <v>300</v>
      </c>
      <c r="N910" s="791">
        <f>K887</f>
        <v>50</v>
      </c>
      <c r="O910" s="791"/>
      <c r="P910" s="110" t="s">
        <v>2112</v>
      </c>
      <c r="Q910" s="277"/>
    </row>
    <row r="911" spans="1:17" ht="14.25" customHeight="1">
      <c r="A911" s="130"/>
      <c r="B911" s="110"/>
      <c r="C911" s="309" t="s">
        <v>1758</v>
      </c>
      <c r="D911" s="118">
        <f>H887</f>
        <v>28</v>
      </c>
      <c r="E911" s="118" t="s">
        <v>300</v>
      </c>
      <c r="F911" s="118">
        <f>O887</f>
        <v>55</v>
      </c>
      <c r="G911" s="110" t="s">
        <v>1762</v>
      </c>
      <c r="H911" s="118"/>
      <c r="I911" s="118"/>
      <c r="J911" s="118"/>
      <c r="K911" s="118"/>
      <c r="L911" s="118"/>
      <c r="M911" s="118"/>
      <c r="N911" s="791"/>
      <c r="O911" s="791"/>
      <c r="P911" s="110"/>
      <c r="Q911" s="277"/>
    </row>
    <row r="912" spans="1:17" ht="14.25" customHeight="1">
      <c r="A912" s="130"/>
      <c r="B912" s="110"/>
      <c r="C912" s="118"/>
      <c r="D912" s="280" t="s">
        <v>1582</v>
      </c>
      <c r="E912" s="791">
        <f>(D910/F910)+(H910/J910)+(L910/N910)+(D911/F911)</f>
        <v>1.249090909090909</v>
      </c>
      <c r="F912" s="791"/>
      <c r="G912" s="110" t="s">
        <v>384</v>
      </c>
      <c r="H912" s="118">
        <v>60</v>
      </c>
      <c r="I912" s="118" t="s">
        <v>1582</v>
      </c>
      <c r="J912" s="283">
        <f>TRUNC(E912*H912,2)</f>
        <v>74.94</v>
      </c>
      <c r="K912" s="286" t="s">
        <v>1600</v>
      </c>
      <c r="L912" s="110"/>
      <c r="M912" s="110"/>
      <c r="N912" s="118"/>
      <c r="O912" s="110"/>
      <c r="P912" s="110"/>
      <c r="Q912" s="277"/>
    </row>
    <row r="913" spans="1:18" ht="14.25" customHeight="1">
      <c r="A913" s="130"/>
      <c r="B913" s="110"/>
      <c r="C913" s="118" t="s">
        <v>2113</v>
      </c>
      <c r="D913" s="110" t="s">
        <v>385</v>
      </c>
      <c r="E913" s="846">
        <v>0.8</v>
      </c>
      <c r="F913" s="846"/>
      <c r="G913" s="110" t="s">
        <v>1600</v>
      </c>
      <c r="H913" s="118"/>
      <c r="I913" s="110"/>
      <c r="J913" s="118"/>
      <c r="K913" s="110"/>
      <c r="L913" s="110"/>
      <c r="M913" s="110"/>
      <c r="N913" s="110"/>
      <c r="O913" s="110"/>
      <c r="P913" s="110"/>
      <c r="Q913" s="277"/>
    </row>
    <row r="914" spans="1:18" ht="14.25" customHeight="1">
      <c r="A914" s="130"/>
      <c r="B914" s="110"/>
      <c r="C914" s="118" t="s">
        <v>2114</v>
      </c>
      <c r="D914" s="110" t="s">
        <v>387</v>
      </c>
      <c r="E914" s="791">
        <v>0.42</v>
      </c>
      <c r="F914" s="791"/>
      <c r="G914" s="110" t="s">
        <v>1759</v>
      </c>
      <c r="H914" s="118"/>
      <c r="I914" s="110"/>
      <c r="J914" s="110"/>
      <c r="K914" s="110"/>
      <c r="L914" s="110"/>
      <c r="M914" s="118"/>
      <c r="N914" s="118"/>
      <c r="O914" s="110"/>
      <c r="P914" s="110"/>
      <c r="Q914" s="277"/>
    </row>
    <row r="915" spans="1:18" ht="14.25" customHeight="1">
      <c r="A915" s="130"/>
      <c r="B915" s="110"/>
      <c r="C915" s="118" t="s">
        <v>3112</v>
      </c>
      <c r="D915" s="110" t="s">
        <v>389</v>
      </c>
      <c r="E915" s="791">
        <v>0.5</v>
      </c>
      <c r="F915" s="791"/>
      <c r="G915" s="110" t="s">
        <v>390</v>
      </c>
      <c r="H915" s="110"/>
      <c r="I915" s="110"/>
      <c r="J915" s="110"/>
      <c r="K915" s="110"/>
      <c r="L915" s="110"/>
      <c r="M915" s="110"/>
      <c r="N915" s="110"/>
      <c r="O915" s="110"/>
      <c r="P915" s="110"/>
      <c r="Q915" s="277"/>
    </row>
    <row r="916" spans="1:18" ht="14.25" customHeight="1">
      <c r="A916" s="130"/>
      <c r="B916" s="110"/>
      <c r="C916" s="118"/>
      <c r="D916" s="118" t="s">
        <v>1454</v>
      </c>
      <c r="E916" s="840">
        <f>E900+E909+E913+E914+E915</f>
        <v>87.39</v>
      </c>
      <c r="F916" s="840"/>
      <c r="G916" s="110" t="s">
        <v>1600</v>
      </c>
      <c r="H916" s="110"/>
      <c r="I916" s="110"/>
      <c r="J916" s="110"/>
      <c r="K916" s="110"/>
      <c r="L916" s="110"/>
      <c r="M916" s="110"/>
      <c r="N916" s="110"/>
      <c r="O916" s="110"/>
      <c r="P916" s="110"/>
      <c r="Q916" s="277"/>
    </row>
    <row r="917" spans="1:18" ht="14.25" customHeight="1">
      <c r="A917" s="130"/>
      <c r="B917" s="118"/>
      <c r="C917" s="118"/>
      <c r="D917" s="110"/>
      <c r="E917" s="118"/>
      <c r="F917" s="110"/>
      <c r="G917" s="110"/>
      <c r="H917" s="110"/>
      <c r="I917" s="110"/>
      <c r="J917" s="110"/>
      <c r="K917" s="110"/>
      <c r="L917" s="110"/>
      <c r="M917" s="110"/>
      <c r="N917" s="110"/>
      <c r="O917" s="110"/>
      <c r="P917" s="110"/>
      <c r="Q917" s="277"/>
    </row>
    <row r="918" spans="1:18" ht="14.25" customHeight="1">
      <c r="A918" s="130" t="s">
        <v>391</v>
      </c>
      <c r="B918" s="110" t="s">
        <v>392</v>
      </c>
      <c r="C918" s="118"/>
      <c r="D918" s="110"/>
      <c r="E918" s="118"/>
      <c r="F918" s="110"/>
      <c r="G918" s="110"/>
      <c r="H918" s="110"/>
      <c r="I918" s="110"/>
      <c r="J918" s="110"/>
      <c r="K918" s="110"/>
      <c r="L918" s="110"/>
      <c r="M918" s="110"/>
      <c r="N918" s="110"/>
      <c r="O918" s="110"/>
      <c r="P918" s="110"/>
      <c r="Q918" s="277"/>
    </row>
    <row r="919" spans="1:18" ht="14.25" customHeight="1">
      <c r="A919" s="130"/>
      <c r="B919" s="280"/>
      <c r="C919" s="110"/>
      <c r="D919" s="110"/>
      <c r="E919" s="110"/>
      <c r="F919" s="110"/>
      <c r="G919" s="110"/>
      <c r="H919" s="110"/>
      <c r="I919" s="110"/>
      <c r="J919" s="110"/>
      <c r="K919" s="110"/>
      <c r="L919" s="110"/>
      <c r="M919" s="110"/>
      <c r="N919" s="110"/>
      <c r="O919" s="110"/>
      <c r="P919" s="110"/>
      <c r="Q919" s="277"/>
    </row>
    <row r="920" spans="1:18" ht="14.25" customHeight="1">
      <c r="A920" s="841"/>
      <c r="B920" s="791" t="s">
        <v>1111</v>
      </c>
      <c r="C920" s="791" t="s">
        <v>1582</v>
      </c>
      <c r="D920" s="280" t="s">
        <v>393</v>
      </c>
      <c r="E920" s="318">
        <f>G896</f>
        <v>0.71</v>
      </c>
      <c r="F920" s="118" t="s">
        <v>972</v>
      </c>
      <c r="G920" s="282">
        <f>L895</f>
        <v>9.1300000000000008</v>
      </c>
      <c r="H920" s="118" t="s">
        <v>972</v>
      </c>
      <c r="I920" s="118">
        <f>G897</f>
        <v>0.9</v>
      </c>
      <c r="J920" s="791" t="s">
        <v>1582</v>
      </c>
      <c r="K920" s="847">
        <f>TRUNC(E920*G920*I920*60,3)</f>
        <v>350.04399999999998</v>
      </c>
      <c r="L920" s="847"/>
      <c r="M920" s="791" t="s">
        <v>1582</v>
      </c>
      <c r="N920" s="838">
        <f>TRUNC(K920/K921,2)</f>
        <v>4</v>
      </c>
      <c r="O920" s="838"/>
      <c r="P920" s="110" t="s">
        <v>301</v>
      </c>
      <c r="Q920" s="277"/>
    </row>
    <row r="921" spans="1:18" ht="14.25" customHeight="1">
      <c r="A921" s="841"/>
      <c r="B921" s="791"/>
      <c r="C921" s="791"/>
      <c r="D921" s="848">
        <f>G898</f>
        <v>87.39</v>
      </c>
      <c r="E921" s="848"/>
      <c r="F921" s="848"/>
      <c r="G921" s="848"/>
      <c r="H921" s="848"/>
      <c r="I921" s="848"/>
      <c r="J921" s="791"/>
      <c r="K921" s="839">
        <f>D921</f>
        <v>87.39</v>
      </c>
      <c r="L921" s="839"/>
      <c r="M921" s="791"/>
      <c r="N921" s="838"/>
      <c r="O921" s="838"/>
      <c r="P921" s="110"/>
      <c r="Q921" s="277" t="s">
        <v>394</v>
      </c>
    </row>
    <row r="922" spans="1:18" ht="14.25" customHeight="1">
      <c r="A922" s="130"/>
      <c r="B922" s="110"/>
      <c r="C922" s="110"/>
      <c r="D922" s="110"/>
      <c r="E922" s="110"/>
      <c r="F922" s="110"/>
      <c r="G922" s="110"/>
      <c r="H922" s="110"/>
      <c r="I922" s="110"/>
      <c r="J922" s="110"/>
      <c r="K922" s="110"/>
      <c r="L922" s="110"/>
      <c r="M922" s="110"/>
      <c r="N922" s="110"/>
      <c r="O922" s="110"/>
      <c r="P922" s="110"/>
      <c r="Q922" s="277"/>
    </row>
    <row r="923" spans="1:18" ht="14.25" customHeight="1">
      <c r="A923" s="130"/>
      <c r="B923" s="110"/>
      <c r="C923" s="110"/>
      <c r="D923" s="110" t="s">
        <v>395</v>
      </c>
      <c r="E923" s="110"/>
      <c r="F923" s="835">
        <f>중기사용료!$M$530</f>
        <v>24463</v>
      </c>
      <c r="G923" s="835"/>
      <c r="H923" s="286" t="s">
        <v>975</v>
      </c>
      <c r="I923" s="118" t="s">
        <v>300</v>
      </c>
      <c r="J923" s="285">
        <f>N920</f>
        <v>4</v>
      </c>
      <c r="K923" s="282" t="s">
        <v>1582</v>
      </c>
      <c r="L923" s="121">
        <f>TRUNC(F923/J923)</f>
        <v>6115</v>
      </c>
      <c r="M923" s="118" t="s">
        <v>975</v>
      </c>
      <c r="N923" s="303" t="s">
        <v>416</v>
      </c>
      <c r="O923" s="110"/>
      <c r="P923" s="110"/>
      <c r="Q923" s="277"/>
    </row>
    <row r="924" spans="1:18" ht="14.25" customHeight="1">
      <c r="A924" s="130"/>
      <c r="B924" s="110"/>
      <c r="C924" s="118"/>
      <c r="D924" s="110"/>
      <c r="E924" s="290"/>
      <c r="F924" s="291"/>
      <c r="G924" s="291"/>
      <c r="H924" s="118"/>
      <c r="I924" s="110"/>
      <c r="J924" s="110"/>
      <c r="K924" s="285"/>
      <c r="L924" s="121"/>
      <c r="M924" s="118"/>
      <c r="N924" s="303"/>
      <c r="O924" s="110"/>
      <c r="P924" s="110"/>
      <c r="Q924" s="277"/>
    </row>
    <row r="925" spans="1:18" ht="14.25" customHeight="1">
      <c r="A925" s="130"/>
      <c r="B925" s="110"/>
      <c r="C925" s="110"/>
      <c r="D925" s="110" t="s">
        <v>396</v>
      </c>
      <c r="E925" s="110"/>
      <c r="F925" s="835">
        <f>중기사용료!$M$524</f>
        <v>27168</v>
      </c>
      <c r="G925" s="835"/>
      <c r="H925" s="286" t="s">
        <v>975</v>
      </c>
      <c r="I925" s="118" t="s">
        <v>300</v>
      </c>
      <c r="J925" s="285">
        <f>N920</f>
        <v>4</v>
      </c>
      <c r="K925" s="282" t="s">
        <v>1582</v>
      </c>
      <c r="L925" s="121">
        <f>TRUNC(F925/J925)</f>
        <v>6792</v>
      </c>
      <c r="M925" s="118" t="s">
        <v>975</v>
      </c>
      <c r="N925" s="303" t="s">
        <v>416</v>
      </c>
      <c r="O925" s="110"/>
      <c r="P925" s="110"/>
      <c r="Q925" s="277"/>
    </row>
    <row r="926" spans="1:18" ht="14.25" customHeight="1">
      <c r="A926" s="130"/>
      <c r="B926" s="110"/>
      <c r="C926" s="118"/>
      <c r="D926" s="110"/>
      <c r="E926" s="290"/>
      <c r="F926" s="291"/>
      <c r="G926" s="291"/>
      <c r="H926" s="118"/>
      <c r="I926" s="110"/>
      <c r="J926" s="110"/>
      <c r="K926" s="285"/>
      <c r="L926" s="121"/>
      <c r="M926" s="118"/>
      <c r="N926" s="303"/>
      <c r="O926" s="110"/>
      <c r="P926" s="110"/>
      <c r="Q926" s="277"/>
      <c r="R926" s="272" t="s">
        <v>1436</v>
      </c>
    </row>
    <row r="927" spans="1:18" ht="14.25" customHeight="1">
      <c r="A927" s="130"/>
      <c r="B927" s="110"/>
      <c r="C927" s="110"/>
      <c r="D927" s="110" t="s">
        <v>398</v>
      </c>
      <c r="E927" s="110"/>
      <c r="F927" s="835">
        <f>중기사용료!$M$518</f>
        <v>17612</v>
      </c>
      <c r="G927" s="835"/>
      <c r="H927" s="118" t="s">
        <v>975</v>
      </c>
      <c r="I927" s="118" t="s">
        <v>300</v>
      </c>
      <c r="J927" s="285">
        <f>N920</f>
        <v>4</v>
      </c>
      <c r="K927" s="282" t="s">
        <v>1582</v>
      </c>
      <c r="L927" s="121">
        <f>TRUNC(F927/J927)</f>
        <v>4403</v>
      </c>
      <c r="M927" s="121" t="s">
        <v>975</v>
      </c>
      <c r="N927" s="303" t="s">
        <v>416</v>
      </c>
      <c r="O927" s="110"/>
      <c r="P927" s="110"/>
      <c r="Q927" s="277"/>
    </row>
    <row r="928" spans="1:18" ht="14.25" customHeight="1">
      <c r="A928" s="130"/>
      <c r="B928" s="110"/>
      <c r="C928" s="118"/>
      <c r="D928" s="110" t="s">
        <v>1813</v>
      </c>
      <c r="E928" s="110"/>
      <c r="F928" s="110"/>
      <c r="G928" s="110"/>
      <c r="H928" s="110"/>
      <c r="I928" s="110"/>
      <c r="J928" s="110"/>
      <c r="K928" s="110"/>
      <c r="L928" s="110"/>
      <c r="M928" s="118"/>
      <c r="N928" s="303"/>
      <c r="O928" s="110"/>
      <c r="P928" s="110"/>
      <c r="Q928" s="277"/>
    </row>
    <row r="929" spans="1:18" s="302" customFormat="1" ht="14.25" customHeight="1">
      <c r="A929" s="162"/>
      <c r="B929" s="164"/>
      <c r="C929" s="164"/>
      <c r="D929" s="164"/>
      <c r="E929" s="164"/>
      <c r="F929" s="844">
        <f>SUM(F923:G927)</f>
        <v>69243</v>
      </c>
      <c r="G929" s="844"/>
      <c r="H929" s="299"/>
      <c r="I929" s="165"/>
      <c r="J929" s="164"/>
      <c r="K929" s="165" t="s">
        <v>1454</v>
      </c>
      <c r="L929" s="292">
        <f>SUM(L923,L925,L927)</f>
        <v>17310</v>
      </c>
      <c r="M929" s="164" t="s">
        <v>975</v>
      </c>
      <c r="N929" s="310" t="s">
        <v>416</v>
      </c>
      <c r="O929" s="300"/>
      <c r="P929" s="164"/>
      <c r="Q929" s="301"/>
      <c r="R929" s="272"/>
    </row>
    <row r="930" spans="1:18" ht="14.25" customHeight="1">
      <c r="A930" s="135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293"/>
    </row>
    <row r="932" spans="1:18" s="265" customFormat="1" ht="14.25" customHeight="1">
      <c r="A932" s="306"/>
      <c r="B932" s="262" t="s">
        <v>982</v>
      </c>
      <c r="C932" s="262"/>
      <c r="D932" s="262"/>
      <c r="E932" s="262"/>
      <c r="F932" s="262"/>
      <c r="G932" s="262"/>
      <c r="H932" s="263"/>
      <c r="I932" s="263" t="s">
        <v>1421</v>
      </c>
      <c r="J932" s="263">
        <v>20</v>
      </c>
      <c r="K932" s="262" t="s">
        <v>1193</v>
      </c>
      <c r="L932" s="263">
        <v>0.7</v>
      </c>
      <c r="M932" s="262" t="s">
        <v>1420</v>
      </c>
      <c r="N932" s="262"/>
      <c r="O932" s="261"/>
      <c r="P932" s="261"/>
      <c r="Q932" s="264"/>
      <c r="R932" s="265" t="s">
        <v>3299</v>
      </c>
    </row>
    <row r="933" spans="1:18" ht="14.25" customHeight="1">
      <c r="A933" s="266"/>
      <c r="B933" s="126"/>
      <c r="C933" s="126"/>
      <c r="D933" s="126"/>
      <c r="E933" s="267"/>
      <c r="F933" s="267"/>
      <c r="G933" s="268"/>
      <c r="H933" s="267"/>
      <c r="I933" s="267"/>
      <c r="J933" s="267"/>
      <c r="K933" s="267"/>
      <c r="L933" s="269"/>
      <c r="M933" s="270"/>
      <c r="N933" s="270"/>
      <c r="O933" s="126"/>
      <c r="P933" s="126"/>
      <c r="Q933" s="271"/>
    </row>
    <row r="934" spans="1:18" ht="14.25" customHeight="1">
      <c r="A934" s="273"/>
      <c r="B934" s="110" t="s">
        <v>1592</v>
      </c>
      <c r="C934" s="33" t="s">
        <v>1593</v>
      </c>
      <c r="D934" s="274"/>
      <c r="E934" s="275"/>
      <c r="F934" s="275"/>
      <c r="G934" s="121"/>
      <c r="H934" s="275"/>
      <c r="I934" s="275"/>
      <c r="J934" s="275" t="s">
        <v>1749</v>
      </c>
      <c r="K934" s="275"/>
      <c r="L934" s="33"/>
      <c r="M934" s="276" t="s">
        <v>1750</v>
      </c>
      <c r="N934" s="276"/>
      <c r="O934" s="110"/>
      <c r="P934" s="110"/>
      <c r="Q934" s="277"/>
    </row>
    <row r="935" spans="1:18" ht="14.25" customHeight="1">
      <c r="A935" s="273"/>
      <c r="B935" s="118" t="s">
        <v>2267</v>
      </c>
      <c r="C935" s="110" t="s">
        <v>1760</v>
      </c>
      <c r="D935" s="110"/>
      <c r="E935" s="110"/>
      <c r="F935" s="110"/>
      <c r="G935" s="275" t="s">
        <v>3103</v>
      </c>
      <c r="H935" s="275">
        <v>2</v>
      </c>
      <c r="I935" s="275" t="s">
        <v>1595</v>
      </c>
      <c r="J935" s="274" t="s">
        <v>1596</v>
      </c>
      <c r="K935" s="110">
        <v>20</v>
      </c>
      <c r="L935" s="110" t="s">
        <v>1595</v>
      </c>
      <c r="M935" s="122" t="s">
        <v>1596</v>
      </c>
      <c r="N935" s="118"/>
      <c r="O935" s="110">
        <v>25</v>
      </c>
      <c r="P935" s="275" t="s">
        <v>1595</v>
      </c>
      <c r="Q935" s="277"/>
    </row>
    <row r="936" spans="1:18" ht="14.25" customHeight="1">
      <c r="A936" s="273"/>
      <c r="B936" s="118" t="s">
        <v>2267</v>
      </c>
      <c r="C936" s="110" t="s">
        <v>1761</v>
      </c>
      <c r="D936" s="110"/>
      <c r="E936" s="110"/>
      <c r="F936" s="110"/>
      <c r="G936" s="275" t="s">
        <v>3105</v>
      </c>
      <c r="H936" s="275">
        <v>28</v>
      </c>
      <c r="I936" s="275" t="s">
        <v>1595</v>
      </c>
      <c r="J936" s="274" t="s">
        <v>1597</v>
      </c>
      <c r="K936" s="110">
        <v>50</v>
      </c>
      <c r="L936" s="110" t="s">
        <v>1595</v>
      </c>
      <c r="M936" s="122" t="s">
        <v>1597</v>
      </c>
      <c r="N936" s="118"/>
      <c r="O936" s="110">
        <v>55</v>
      </c>
      <c r="P936" s="275" t="s">
        <v>1595</v>
      </c>
      <c r="Q936" s="277"/>
    </row>
    <row r="937" spans="1:18" ht="14.25" customHeight="1">
      <c r="A937" s="273"/>
      <c r="B937" s="118"/>
      <c r="C937" s="110"/>
      <c r="D937" s="110"/>
      <c r="E937" s="110"/>
      <c r="F937" s="110"/>
      <c r="G937" s="275"/>
      <c r="H937" s="275"/>
      <c r="I937" s="275"/>
      <c r="J937" s="274"/>
      <c r="K937" s="110"/>
      <c r="L937" s="110"/>
      <c r="M937" s="33"/>
      <c r="N937" s="118"/>
      <c r="O937" s="110"/>
      <c r="P937" s="275"/>
      <c r="Q937" s="277"/>
    </row>
    <row r="938" spans="1:18" ht="14.25" customHeight="1">
      <c r="A938" s="273"/>
      <c r="B938" s="110"/>
      <c r="C938" s="274"/>
      <c r="D938" s="274"/>
      <c r="E938" s="275"/>
      <c r="F938" s="275"/>
      <c r="G938" s="121"/>
      <c r="H938" s="275"/>
      <c r="I938" s="275"/>
      <c r="J938" s="275"/>
      <c r="K938" s="275"/>
      <c r="L938" s="33"/>
      <c r="M938" s="276"/>
      <c r="N938" s="276"/>
      <c r="O938" s="110"/>
      <c r="P938" s="110"/>
      <c r="Q938" s="277"/>
    </row>
    <row r="939" spans="1:18" ht="14.25" customHeight="1">
      <c r="A939" s="130"/>
      <c r="B939" s="110" t="s">
        <v>1592</v>
      </c>
      <c r="C939" s="110" t="s">
        <v>1198</v>
      </c>
      <c r="D939" s="110"/>
      <c r="E939" s="110"/>
      <c r="F939" s="110"/>
      <c r="G939" s="110"/>
      <c r="H939" s="110"/>
      <c r="I939" s="110"/>
      <c r="J939" s="110" t="s">
        <v>400</v>
      </c>
      <c r="K939" s="110"/>
      <c r="L939" s="118">
        <v>2.2999999999999998</v>
      </c>
      <c r="M939" s="110" t="s">
        <v>1805</v>
      </c>
      <c r="N939" s="110"/>
      <c r="O939" s="110"/>
      <c r="P939" s="110"/>
      <c r="Q939" s="277"/>
    </row>
    <row r="940" spans="1:18" ht="14.25" customHeight="1">
      <c r="A940" s="130"/>
      <c r="B940" s="118"/>
      <c r="C940" s="791" t="s">
        <v>1806</v>
      </c>
      <c r="D940" s="791" t="s">
        <v>1807</v>
      </c>
      <c r="E940" s="791"/>
      <c r="F940" s="791"/>
      <c r="G940" s="110"/>
      <c r="H940" s="110"/>
      <c r="I940" s="110"/>
      <c r="J940" s="110"/>
      <c r="K940" s="110"/>
      <c r="L940" s="110"/>
      <c r="M940" s="110"/>
      <c r="N940" s="110"/>
      <c r="O940" s="110"/>
      <c r="P940" s="110"/>
      <c r="Q940" s="277"/>
    </row>
    <row r="941" spans="1:18" ht="14.25" customHeight="1">
      <c r="A941" s="130"/>
      <c r="B941" s="118"/>
      <c r="C941" s="791"/>
      <c r="D941" s="843" t="s">
        <v>1583</v>
      </c>
      <c r="E941" s="843"/>
      <c r="F941" s="843"/>
      <c r="G941" s="110"/>
      <c r="H941" s="110"/>
      <c r="I941" s="110"/>
      <c r="J941" s="110"/>
      <c r="K941" s="110"/>
      <c r="L941" s="110"/>
      <c r="M941" s="110"/>
      <c r="N941" s="110"/>
      <c r="O941" s="110"/>
      <c r="P941" s="110"/>
      <c r="Q941" s="277"/>
    </row>
    <row r="942" spans="1:18" ht="14.25" customHeight="1">
      <c r="A942" s="130"/>
      <c r="B942" s="110"/>
      <c r="C942" s="110"/>
      <c r="D942" s="110"/>
      <c r="E942" s="110"/>
      <c r="F942" s="110"/>
      <c r="G942" s="110"/>
      <c r="H942" s="110"/>
      <c r="I942" s="110"/>
      <c r="J942" s="110"/>
      <c r="K942" s="110"/>
      <c r="L942" s="110"/>
      <c r="M942" s="110"/>
      <c r="N942" s="110"/>
      <c r="O942" s="110"/>
      <c r="P942" s="110"/>
      <c r="Q942" s="277"/>
    </row>
    <row r="943" spans="1:18" ht="14.25" customHeight="1">
      <c r="A943" s="130"/>
      <c r="B943" s="280"/>
      <c r="C943" s="118" t="s">
        <v>1808</v>
      </c>
      <c r="D943" s="110" t="s">
        <v>1809</v>
      </c>
      <c r="E943" s="110"/>
      <c r="F943" s="110"/>
      <c r="G943" s="118"/>
      <c r="H943" s="280"/>
      <c r="I943" s="118"/>
      <c r="J943" s="110"/>
      <c r="K943" s="110"/>
      <c r="L943" s="110"/>
      <c r="M943" s="110"/>
      <c r="N943" s="110"/>
      <c r="O943" s="110"/>
      <c r="P943" s="110"/>
      <c r="Q943" s="277"/>
    </row>
    <row r="944" spans="1:18" ht="14.25" customHeight="1">
      <c r="A944" s="130"/>
      <c r="B944" s="280"/>
      <c r="C944" s="118" t="s">
        <v>298</v>
      </c>
      <c r="D944" s="110" t="s">
        <v>299</v>
      </c>
      <c r="E944" s="845">
        <f>J932</f>
        <v>20</v>
      </c>
      <c r="F944" s="845"/>
      <c r="G944" s="118" t="s">
        <v>300</v>
      </c>
      <c r="H944" s="118">
        <f>L939</f>
        <v>2.2999999999999998</v>
      </c>
      <c r="I944" s="118" t="s">
        <v>972</v>
      </c>
      <c r="J944" s="118">
        <v>1.4</v>
      </c>
      <c r="K944" s="118" t="s">
        <v>1582</v>
      </c>
      <c r="L944" s="282">
        <f>TRUNC(E944/H944*J944,2)</f>
        <v>12.17</v>
      </c>
      <c r="M944" s="118" t="s">
        <v>301</v>
      </c>
      <c r="N944" s="110"/>
      <c r="O944" s="110"/>
      <c r="P944" s="110"/>
      <c r="Q944" s="277"/>
    </row>
    <row r="945" spans="1:17" ht="14.25" customHeight="1">
      <c r="A945" s="130"/>
      <c r="B945" s="280"/>
      <c r="C945" s="118" t="s">
        <v>302</v>
      </c>
      <c r="D945" s="110" t="s">
        <v>1156</v>
      </c>
      <c r="E945" s="110"/>
      <c r="F945" s="118" t="s">
        <v>1526</v>
      </c>
      <c r="G945" s="283">
        <f>TRUNC(1/J945,2)</f>
        <v>0.71</v>
      </c>
      <c r="H945" s="280" t="s">
        <v>303</v>
      </c>
      <c r="I945" s="118" t="s">
        <v>300</v>
      </c>
      <c r="J945" s="118">
        <f>J944</f>
        <v>1.4</v>
      </c>
      <c r="K945" s="284" t="s">
        <v>304</v>
      </c>
      <c r="L945" s="110"/>
      <c r="M945" s="110"/>
      <c r="N945" s="110"/>
      <c r="O945" s="110"/>
      <c r="P945" s="110"/>
      <c r="Q945" s="277"/>
    </row>
    <row r="946" spans="1:17" ht="14.25" customHeight="1">
      <c r="A946" s="130"/>
      <c r="B946" s="280"/>
      <c r="C946" s="118" t="s">
        <v>1703</v>
      </c>
      <c r="D946" s="110" t="s">
        <v>1207</v>
      </c>
      <c r="E946" s="110"/>
      <c r="F946" s="118" t="s">
        <v>1526</v>
      </c>
      <c r="G946" s="118">
        <v>0.9</v>
      </c>
      <c r="H946" s="280"/>
      <c r="I946" s="110"/>
      <c r="J946" s="110"/>
      <c r="K946" s="110"/>
      <c r="L946" s="110"/>
      <c r="M946" s="110"/>
      <c r="N946" s="110"/>
      <c r="O946" s="110"/>
      <c r="P946" s="110"/>
      <c r="Q946" s="277"/>
    </row>
    <row r="947" spans="1:17" ht="14.25" customHeight="1">
      <c r="A947" s="130"/>
      <c r="B947" s="280"/>
      <c r="C947" s="118" t="s">
        <v>1704</v>
      </c>
      <c r="D947" s="110" t="s">
        <v>401</v>
      </c>
      <c r="E947" s="110"/>
      <c r="F947" s="118"/>
      <c r="G947" s="286">
        <f>E965</f>
        <v>90.96</v>
      </c>
      <c r="H947" s="118" t="s">
        <v>1600</v>
      </c>
      <c r="I947" s="110"/>
      <c r="J947" s="110"/>
      <c r="K947" s="110"/>
      <c r="L947" s="110"/>
      <c r="M947" s="110"/>
      <c r="N947" s="110"/>
      <c r="O947" s="110"/>
      <c r="P947" s="110"/>
      <c r="Q947" s="277"/>
    </row>
    <row r="948" spans="1:17" ht="14.25" customHeight="1">
      <c r="A948" s="130"/>
      <c r="B948" s="280"/>
      <c r="C948" s="118" t="s">
        <v>1704</v>
      </c>
      <c r="D948" s="110" t="s">
        <v>3111</v>
      </c>
      <c r="E948" s="110"/>
      <c r="F948" s="110"/>
      <c r="G948" s="110"/>
      <c r="H948" s="283"/>
      <c r="I948" s="118"/>
      <c r="J948" s="110"/>
      <c r="K948" s="110"/>
      <c r="L948" s="110"/>
      <c r="M948" s="110"/>
      <c r="N948" s="110"/>
      <c r="O948" s="110"/>
      <c r="P948" s="110"/>
      <c r="Q948" s="277"/>
    </row>
    <row r="949" spans="1:17" ht="14.25" customHeight="1">
      <c r="A949" s="130"/>
      <c r="B949" s="110"/>
      <c r="C949" s="118" t="s">
        <v>1706</v>
      </c>
      <c r="D949" s="110" t="s">
        <v>1707</v>
      </c>
      <c r="E949" s="838">
        <f>E957</f>
        <v>14.3</v>
      </c>
      <c r="F949" s="838"/>
      <c r="G949" s="110" t="s">
        <v>402</v>
      </c>
      <c r="H949" s="285" t="s">
        <v>403</v>
      </c>
      <c r="I949" s="118"/>
      <c r="J949" s="118"/>
      <c r="K949" s="110"/>
      <c r="L949" s="118"/>
      <c r="M949" s="286"/>
      <c r="N949" s="286"/>
      <c r="O949" s="118"/>
      <c r="P949" s="110"/>
      <c r="Q949" s="277"/>
    </row>
    <row r="950" spans="1:17" ht="14.25" customHeight="1">
      <c r="A950" s="130"/>
      <c r="B950" s="110"/>
      <c r="C950" s="118"/>
      <c r="D950" s="110"/>
      <c r="E950" s="288"/>
      <c r="F950" s="286"/>
      <c r="G950" s="110"/>
      <c r="H950" s="285"/>
      <c r="I950" s="118"/>
      <c r="J950" s="118"/>
      <c r="K950" s="110"/>
      <c r="L950" s="118"/>
      <c r="M950" s="286"/>
      <c r="N950" s="286"/>
      <c r="O950" s="118"/>
      <c r="P950" s="110"/>
      <c r="Q950" s="277"/>
    </row>
    <row r="951" spans="1:17" ht="14.25" customHeight="1">
      <c r="A951" s="130"/>
      <c r="B951" s="110"/>
      <c r="C951" s="118"/>
      <c r="D951" s="118" t="s">
        <v>404</v>
      </c>
      <c r="E951" s="846">
        <v>20</v>
      </c>
      <c r="F951" s="846"/>
      <c r="G951" s="110" t="s">
        <v>405</v>
      </c>
      <c r="H951" s="285" t="s">
        <v>1756</v>
      </c>
      <c r="I951" s="118"/>
      <c r="J951" s="109"/>
      <c r="K951" s="110"/>
      <c r="L951" s="109"/>
      <c r="M951" s="286"/>
      <c r="N951" s="286"/>
      <c r="O951" s="118"/>
      <c r="P951" s="110"/>
      <c r="Q951" s="277"/>
    </row>
    <row r="952" spans="1:17" ht="14.25" customHeight="1">
      <c r="A952" s="130"/>
      <c r="B952" s="110"/>
      <c r="C952" s="118"/>
      <c r="D952" s="280"/>
      <c r="E952" s="288"/>
      <c r="F952" s="286"/>
      <c r="G952" s="110"/>
      <c r="H952" s="285"/>
      <c r="I952" s="307"/>
      <c r="J952" s="110"/>
      <c r="K952" s="110"/>
      <c r="L952" s="118"/>
      <c r="M952" s="286"/>
      <c r="N952" s="286"/>
      <c r="O952" s="118"/>
      <c r="P952" s="110"/>
      <c r="Q952" s="277"/>
    </row>
    <row r="953" spans="1:17" ht="14.25" customHeight="1">
      <c r="A953" s="130"/>
      <c r="B953" s="110"/>
      <c r="C953" s="118"/>
      <c r="D953" s="110" t="s">
        <v>407</v>
      </c>
      <c r="E953" s="288" t="s">
        <v>408</v>
      </c>
      <c r="F953" s="286"/>
      <c r="G953" s="110"/>
      <c r="H953" s="285"/>
      <c r="I953" s="118" t="s">
        <v>1748</v>
      </c>
      <c r="J953" s="118">
        <v>0.9</v>
      </c>
      <c r="K953" s="110"/>
      <c r="L953" s="118"/>
      <c r="M953" s="286"/>
      <c r="N953" s="286"/>
      <c r="O953" s="118"/>
      <c r="P953" s="110"/>
      <c r="Q953" s="277"/>
    </row>
    <row r="954" spans="1:17" ht="14.25" customHeight="1">
      <c r="A954" s="130"/>
      <c r="B954" s="110"/>
      <c r="C954" s="118"/>
      <c r="D954" s="110" t="s">
        <v>410</v>
      </c>
      <c r="E954" s="838">
        <f>L944</f>
        <v>12.17</v>
      </c>
      <c r="F954" s="838"/>
      <c r="G954" s="118" t="s">
        <v>411</v>
      </c>
      <c r="H954" s="285">
        <f>L932</f>
        <v>0.7</v>
      </c>
      <c r="I954" s="118" t="s">
        <v>86</v>
      </c>
      <c r="J954" s="118">
        <f>J953</f>
        <v>0.9</v>
      </c>
      <c r="K954" s="110" t="s">
        <v>412</v>
      </c>
      <c r="L954" s="118">
        <f>TRUNC(E954/(H954*J954),2)</f>
        <v>19.309999999999999</v>
      </c>
      <c r="M954" s="286" t="s">
        <v>969</v>
      </c>
      <c r="N954" s="286"/>
      <c r="O954" s="118"/>
      <c r="P954" s="110"/>
      <c r="Q954" s="277"/>
    </row>
    <row r="955" spans="1:17" ht="14.25" customHeight="1">
      <c r="A955" s="130"/>
      <c r="B955" s="110"/>
      <c r="C955" s="118"/>
      <c r="D955" s="110" t="s">
        <v>413</v>
      </c>
      <c r="E955" s="838">
        <v>0.45</v>
      </c>
      <c r="F955" s="838"/>
      <c r="G955" s="118"/>
      <c r="H955" s="285"/>
      <c r="I955" s="118"/>
      <c r="J955" s="118"/>
      <c r="K955" s="110"/>
      <c r="L955" s="118"/>
      <c r="M955" s="286"/>
      <c r="N955" s="286"/>
      <c r="O955" s="118"/>
      <c r="P955" s="110"/>
      <c r="Q955" s="277"/>
    </row>
    <row r="956" spans="1:17" ht="14.25" customHeight="1">
      <c r="A956" s="130"/>
      <c r="B956" s="110"/>
      <c r="C956" s="118" t="s">
        <v>1601</v>
      </c>
      <c r="D956" s="110" t="s">
        <v>1709</v>
      </c>
      <c r="E956" s="845">
        <f>E951</f>
        <v>20</v>
      </c>
      <c r="F956" s="845"/>
      <c r="G956" s="118" t="s">
        <v>972</v>
      </c>
      <c r="H956" s="285">
        <f>L954</f>
        <v>19.309999999999999</v>
      </c>
      <c r="I956" s="118" t="s">
        <v>414</v>
      </c>
      <c r="J956" s="118">
        <v>60</v>
      </c>
      <c r="K956" s="118" t="s">
        <v>972</v>
      </c>
      <c r="L956" s="282">
        <f>E955</f>
        <v>0.45</v>
      </c>
      <c r="M956" s="288" t="s">
        <v>2112</v>
      </c>
      <c r="N956" s="286"/>
      <c r="O956" s="118"/>
      <c r="P956" s="110"/>
      <c r="Q956" s="277"/>
    </row>
    <row r="957" spans="1:17" ht="14.25" customHeight="1">
      <c r="A957" s="130"/>
      <c r="B957" s="110"/>
      <c r="C957" s="118"/>
      <c r="D957" s="110" t="s">
        <v>410</v>
      </c>
      <c r="E957" s="838">
        <f>TRUNC((E956*H956)/(J956*L956),2)</f>
        <v>14.3</v>
      </c>
      <c r="F957" s="838"/>
      <c r="G957" s="110" t="s">
        <v>415</v>
      </c>
      <c r="H957" s="287"/>
      <c r="I957" s="118"/>
      <c r="J957" s="118"/>
      <c r="K957" s="118"/>
      <c r="L957" s="118"/>
      <c r="M957" s="286"/>
      <c r="N957" s="286"/>
      <c r="O957" s="118"/>
      <c r="P957" s="110"/>
      <c r="Q957" s="277"/>
    </row>
    <row r="958" spans="1:17" ht="14.25" customHeight="1">
      <c r="A958" s="130"/>
      <c r="B958" s="110"/>
      <c r="C958" s="118" t="s">
        <v>2110</v>
      </c>
      <c r="D958" s="110" t="s">
        <v>381</v>
      </c>
      <c r="E958" s="791">
        <f>J961</f>
        <v>74.94</v>
      </c>
      <c r="F958" s="791"/>
      <c r="G958" s="110" t="s">
        <v>382</v>
      </c>
      <c r="H958" s="118"/>
      <c r="I958" s="110"/>
      <c r="J958" s="110"/>
      <c r="K958" s="110"/>
      <c r="L958" s="118"/>
      <c r="M958" s="118"/>
      <c r="N958" s="118"/>
      <c r="O958" s="110"/>
      <c r="P958" s="110"/>
      <c r="Q958" s="277"/>
    </row>
    <row r="959" spans="1:17" ht="14.25" customHeight="1">
      <c r="A959" s="130"/>
      <c r="B959" s="110"/>
      <c r="C959" s="280" t="s">
        <v>2111</v>
      </c>
      <c r="D959" s="118">
        <f>H935</f>
        <v>2</v>
      </c>
      <c r="E959" s="118" t="s">
        <v>300</v>
      </c>
      <c r="F959" s="118">
        <f>K935</f>
        <v>20</v>
      </c>
      <c r="G959" s="110" t="s">
        <v>383</v>
      </c>
      <c r="H959" s="118">
        <f>H935</f>
        <v>2</v>
      </c>
      <c r="I959" s="118" t="s">
        <v>300</v>
      </c>
      <c r="J959" s="118">
        <f>O935</f>
        <v>25</v>
      </c>
      <c r="K959" s="118" t="s">
        <v>1757</v>
      </c>
      <c r="L959" s="118">
        <f>H936</f>
        <v>28</v>
      </c>
      <c r="M959" s="118" t="s">
        <v>300</v>
      </c>
      <c r="N959" s="791">
        <f>K936</f>
        <v>50</v>
      </c>
      <c r="O959" s="791"/>
      <c r="P959" s="110" t="s">
        <v>2112</v>
      </c>
      <c r="Q959" s="277"/>
    </row>
    <row r="960" spans="1:17" ht="14.25" customHeight="1">
      <c r="A960" s="130"/>
      <c r="B960" s="110"/>
      <c r="C960" s="309" t="s">
        <v>1758</v>
      </c>
      <c r="D960" s="118">
        <f>H936</f>
        <v>28</v>
      </c>
      <c r="E960" s="118" t="s">
        <v>300</v>
      </c>
      <c r="F960" s="118">
        <f>O936</f>
        <v>55</v>
      </c>
      <c r="G960" s="110" t="s">
        <v>1762</v>
      </c>
      <c r="H960" s="118"/>
      <c r="I960" s="118"/>
      <c r="J960" s="118"/>
      <c r="K960" s="118"/>
      <c r="L960" s="118"/>
      <c r="M960" s="118"/>
      <c r="N960" s="791"/>
      <c r="O960" s="791"/>
      <c r="P960" s="110"/>
      <c r="Q960" s="277"/>
    </row>
    <row r="961" spans="1:18" ht="14.25" customHeight="1">
      <c r="A961" s="130"/>
      <c r="B961" s="110"/>
      <c r="C961" s="118"/>
      <c r="D961" s="280" t="s">
        <v>1582</v>
      </c>
      <c r="E961" s="791">
        <f>(D959/F959)+(H959/J959)+(L959/N959)+(D960/F960)</f>
        <v>1.249090909090909</v>
      </c>
      <c r="F961" s="791"/>
      <c r="G961" s="110" t="s">
        <v>384</v>
      </c>
      <c r="H961" s="118">
        <v>60</v>
      </c>
      <c r="I961" s="118" t="s">
        <v>1582</v>
      </c>
      <c r="J961" s="283">
        <f>TRUNC(E961*H961,2)</f>
        <v>74.94</v>
      </c>
      <c r="K961" s="286" t="s">
        <v>1600</v>
      </c>
      <c r="L961" s="110"/>
      <c r="M961" s="110"/>
      <c r="N961" s="118"/>
      <c r="O961" s="110"/>
      <c r="P961" s="110"/>
      <c r="Q961" s="277"/>
    </row>
    <row r="962" spans="1:18" ht="14.25" customHeight="1">
      <c r="A962" s="130"/>
      <c r="B962" s="110"/>
      <c r="C962" s="118" t="s">
        <v>2113</v>
      </c>
      <c r="D962" s="110" t="s">
        <v>385</v>
      </c>
      <c r="E962" s="846">
        <v>0.8</v>
      </c>
      <c r="F962" s="846"/>
      <c r="G962" s="110" t="s">
        <v>1600</v>
      </c>
      <c r="H962" s="118"/>
      <c r="I962" s="110"/>
      <c r="J962" s="118"/>
      <c r="K962" s="110"/>
      <c r="L962" s="110"/>
      <c r="M962" s="110"/>
      <c r="N962" s="110"/>
      <c r="O962" s="110"/>
      <c r="P962" s="110"/>
      <c r="Q962" s="277"/>
    </row>
    <row r="963" spans="1:18" ht="14.25" customHeight="1">
      <c r="A963" s="130"/>
      <c r="B963" s="110"/>
      <c r="C963" s="118" t="s">
        <v>2114</v>
      </c>
      <c r="D963" s="110" t="s">
        <v>387</v>
      </c>
      <c r="E963" s="791">
        <v>0.42</v>
      </c>
      <c r="F963" s="791"/>
      <c r="G963" s="110" t="s">
        <v>1759</v>
      </c>
      <c r="H963" s="118"/>
      <c r="I963" s="110"/>
      <c r="J963" s="110"/>
      <c r="K963" s="110"/>
      <c r="L963" s="110"/>
      <c r="M963" s="118"/>
      <c r="N963" s="118"/>
      <c r="O963" s="110"/>
      <c r="P963" s="110"/>
      <c r="Q963" s="277"/>
    </row>
    <row r="964" spans="1:18" ht="14.25" customHeight="1">
      <c r="A964" s="130"/>
      <c r="B964" s="110"/>
      <c r="C964" s="118" t="s">
        <v>3112</v>
      </c>
      <c r="D964" s="110" t="s">
        <v>389</v>
      </c>
      <c r="E964" s="791">
        <v>0.5</v>
      </c>
      <c r="F964" s="791"/>
      <c r="G964" s="110" t="s">
        <v>390</v>
      </c>
      <c r="H964" s="110"/>
      <c r="I964" s="110"/>
      <c r="J964" s="110"/>
      <c r="K964" s="110"/>
      <c r="L964" s="110"/>
      <c r="M964" s="110"/>
      <c r="N964" s="110"/>
      <c r="O964" s="110"/>
      <c r="P964" s="110"/>
      <c r="Q964" s="277"/>
    </row>
    <row r="965" spans="1:18" ht="14.25" customHeight="1">
      <c r="A965" s="130"/>
      <c r="B965" s="110"/>
      <c r="C965" s="118"/>
      <c r="D965" s="118" t="s">
        <v>1454</v>
      </c>
      <c r="E965" s="840">
        <f>E949+E958+E962+E963+E964</f>
        <v>90.96</v>
      </c>
      <c r="F965" s="840"/>
      <c r="G965" s="110" t="s">
        <v>1600</v>
      </c>
      <c r="H965" s="110"/>
      <c r="I965" s="110"/>
      <c r="J965" s="110"/>
      <c r="K965" s="110"/>
      <c r="L965" s="110"/>
      <c r="M965" s="110"/>
      <c r="N965" s="110"/>
      <c r="O965" s="110"/>
      <c r="P965" s="110"/>
      <c r="Q965" s="277"/>
    </row>
    <row r="966" spans="1:18" ht="14.25" customHeight="1">
      <c r="A966" s="130"/>
      <c r="B966" s="118"/>
      <c r="C966" s="118"/>
      <c r="D966" s="110"/>
      <c r="E966" s="118"/>
      <c r="F966" s="110"/>
      <c r="G966" s="110"/>
      <c r="H966" s="110"/>
      <c r="I966" s="110"/>
      <c r="J966" s="110"/>
      <c r="K966" s="110"/>
      <c r="L966" s="110"/>
      <c r="M966" s="110"/>
      <c r="N966" s="110"/>
      <c r="O966" s="110"/>
      <c r="P966" s="110"/>
      <c r="Q966" s="277"/>
    </row>
    <row r="967" spans="1:18" ht="14.25" customHeight="1">
      <c r="A967" s="130" t="s">
        <v>391</v>
      </c>
      <c r="B967" s="110" t="s">
        <v>392</v>
      </c>
      <c r="C967" s="118"/>
      <c r="D967" s="110"/>
      <c r="E967" s="118"/>
      <c r="F967" s="110"/>
      <c r="G967" s="110"/>
      <c r="H967" s="110"/>
      <c r="I967" s="110"/>
      <c r="J967" s="110"/>
      <c r="K967" s="110"/>
      <c r="L967" s="110"/>
      <c r="M967" s="110"/>
      <c r="N967" s="110"/>
      <c r="O967" s="110"/>
      <c r="P967" s="110"/>
      <c r="Q967" s="277"/>
    </row>
    <row r="968" spans="1:18" ht="14.25" customHeight="1">
      <c r="A968" s="130"/>
      <c r="B968" s="280"/>
      <c r="C968" s="110"/>
      <c r="D968" s="110"/>
      <c r="E968" s="110"/>
      <c r="F968" s="110"/>
      <c r="G968" s="110"/>
      <c r="H968" s="110"/>
      <c r="I968" s="110"/>
      <c r="J968" s="110"/>
      <c r="K968" s="110"/>
      <c r="L968" s="110"/>
      <c r="M968" s="110"/>
      <c r="N968" s="110"/>
      <c r="O968" s="110"/>
      <c r="P968" s="110"/>
      <c r="Q968" s="277"/>
    </row>
    <row r="969" spans="1:18" ht="14.25" customHeight="1">
      <c r="A969" s="841"/>
      <c r="B969" s="791" t="s">
        <v>1111</v>
      </c>
      <c r="C969" s="791" t="s">
        <v>1582</v>
      </c>
      <c r="D969" s="280" t="s">
        <v>393</v>
      </c>
      <c r="E969" s="318">
        <f>G945</f>
        <v>0.71</v>
      </c>
      <c r="F969" s="118" t="s">
        <v>972</v>
      </c>
      <c r="G969" s="282">
        <f>L944</f>
        <v>12.17</v>
      </c>
      <c r="H969" s="118" t="s">
        <v>972</v>
      </c>
      <c r="I969" s="118">
        <f>G946</f>
        <v>0.9</v>
      </c>
      <c r="J969" s="791" t="s">
        <v>1582</v>
      </c>
      <c r="K969" s="847">
        <f>TRUNC(E969*G969*I969*60,3)</f>
        <v>466.59699999999998</v>
      </c>
      <c r="L969" s="847"/>
      <c r="M969" s="791" t="s">
        <v>1582</v>
      </c>
      <c r="N969" s="838">
        <f>TRUNC(K969/K970,2)</f>
        <v>5.12</v>
      </c>
      <c r="O969" s="838"/>
      <c r="P969" s="110" t="s">
        <v>301</v>
      </c>
      <c r="Q969" s="277"/>
    </row>
    <row r="970" spans="1:18" ht="14.25" customHeight="1">
      <c r="A970" s="841"/>
      <c r="B970" s="791"/>
      <c r="C970" s="791"/>
      <c r="D970" s="856">
        <f>G947</f>
        <v>90.96</v>
      </c>
      <c r="E970" s="856"/>
      <c r="F970" s="856"/>
      <c r="G970" s="856"/>
      <c r="H970" s="856"/>
      <c r="I970" s="856"/>
      <c r="J970" s="791"/>
      <c r="K970" s="839">
        <f>D970</f>
        <v>90.96</v>
      </c>
      <c r="L970" s="839"/>
      <c r="M970" s="791"/>
      <c r="N970" s="838"/>
      <c r="O970" s="838"/>
      <c r="P970" s="110"/>
      <c r="Q970" s="277" t="s">
        <v>394</v>
      </c>
    </row>
    <row r="971" spans="1:18" ht="14.25" customHeight="1">
      <c r="A971" s="130"/>
      <c r="B971" s="110"/>
      <c r="C971" s="110"/>
      <c r="D971" s="110"/>
      <c r="E971" s="110"/>
      <c r="F971" s="110"/>
      <c r="G971" s="110"/>
      <c r="H971" s="110"/>
      <c r="I971" s="110"/>
      <c r="J971" s="110"/>
      <c r="K971" s="110"/>
      <c r="L971" s="110"/>
      <c r="M971" s="110"/>
      <c r="N971" s="110"/>
      <c r="O971" s="110"/>
      <c r="P971" s="110"/>
      <c r="Q971" s="277"/>
    </row>
    <row r="972" spans="1:18" ht="14.25" customHeight="1">
      <c r="A972" s="130"/>
      <c r="B972" s="110"/>
      <c r="C972" s="110"/>
      <c r="D972" s="110" t="s">
        <v>395</v>
      </c>
      <c r="E972" s="110"/>
      <c r="F972" s="835">
        <f>중기사용료!$M$549</f>
        <v>30771</v>
      </c>
      <c r="G972" s="835"/>
      <c r="H972" s="286" t="s">
        <v>975</v>
      </c>
      <c r="I972" s="118" t="s">
        <v>300</v>
      </c>
      <c r="J972" s="285">
        <f>N969</f>
        <v>5.12</v>
      </c>
      <c r="K972" s="282" t="s">
        <v>1582</v>
      </c>
      <c r="L972" s="327">
        <f>TRUNC(F972/J972)</f>
        <v>6009</v>
      </c>
      <c r="M972" s="118" t="s">
        <v>975</v>
      </c>
      <c r="N972" s="303" t="s">
        <v>416</v>
      </c>
      <c r="O972" s="110"/>
      <c r="P972" s="110"/>
      <c r="Q972" s="277"/>
    </row>
    <row r="973" spans="1:18" ht="14.25" customHeight="1">
      <c r="A973" s="130"/>
      <c r="B973" s="110"/>
      <c r="C973" s="118"/>
      <c r="D973" s="110"/>
      <c r="E973" s="290"/>
      <c r="F973" s="291"/>
      <c r="G973" s="291"/>
      <c r="H973" s="118"/>
      <c r="I973" s="110"/>
      <c r="J973" s="110"/>
      <c r="K973" s="285"/>
      <c r="L973" s="327"/>
      <c r="M973" s="118"/>
      <c r="N973" s="303"/>
      <c r="O973" s="110"/>
      <c r="P973" s="110"/>
      <c r="Q973" s="277"/>
    </row>
    <row r="974" spans="1:18" ht="14.25" customHeight="1">
      <c r="A974" s="130"/>
      <c r="B974" s="110"/>
      <c r="C974" s="110"/>
      <c r="D974" s="110" t="s">
        <v>396</v>
      </c>
      <c r="E974" s="110"/>
      <c r="F974" s="835">
        <f>중기사용료!$M$543</f>
        <v>27168</v>
      </c>
      <c r="G974" s="835"/>
      <c r="H974" s="286" t="s">
        <v>975</v>
      </c>
      <c r="I974" s="118" t="s">
        <v>300</v>
      </c>
      <c r="J974" s="285">
        <f>N969</f>
        <v>5.12</v>
      </c>
      <c r="K974" s="282" t="s">
        <v>1582</v>
      </c>
      <c r="L974" s="327">
        <f>TRUNC(F974/J974)</f>
        <v>5306</v>
      </c>
      <c r="M974" s="118" t="s">
        <v>975</v>
      </c>
      <c r="N974" s="303" t="s">
        <v>416</v>
      </c>
      <c r="O974" s="110"/>
      <c r="P974" s="110"/>
      <c r="Q974" s="277"/>
    </row>
    <row r="975" spans="1:18" ht="14.25" customHeight="1">
      <c r="A975" s="130"/>
      <c r="B975" s="110"/>
      <c r="C975" s="118"/>
      <c r="D975" s="110"/>
      <c r="E975" s="290"/>
      <c r="F975" s="291"/>
      <c r="G975" s="291"/>
      <c r="H975" s="118"/>
      <c r="I975" s="110"/>
      <c r="J975" s="110"/>
      <c r="K975" s="285"/>
      <c r="L975" s="327"/>
      <c r="M975" s="118"/>
      <c r="N975" s="303"/>
      <c r="O975" s="110"/>
      <c r="P975" s="110"/>
      <c r="Q975" s="277"/>
      <c r="R975" s="272" t="s">
        <v>1436</v>
      </c>
    </row>
    <row r="976" spans="1:18" ht="14.25" customHeight="1">
      <c r="A976" s="130"/>
      <c r="B976" s="110"/>
      <c r="C976" s="110"/>
      <c r="D976" s="110" t="s">
        <v>398</v>
      </c>
      <c r="E976" s="110"/>
      <c r="F976" s="835">
        <f>중기사용료!$M$537</f>
        <v>24402</v>
      </c>
      <c r="G976" s="835"/>
      <c r="H976" s="118" t="s">
        <v>975</v>
      </c>
      <c r="I976" s="118" t="s">
        <v>300</v>
      </c>
      <c r="J976" s="285">
        <f>N969</f>
        <v>5.12</v>
      </c>
      <c r="K976" s="282" t="s">
        <v>1582</v>
      </c>
      <c r="L976" s="327">
        <f>TRUNC(F976/J976)</f>
        <v>4766</v>
      </c>
      <c r="M976" s="121" t="s">
        <v>975</v>
      </c>
      <c r="N976" s="303" t="s">
        <v>416</v>
      </c>
      <c r="O976" s="110"/>
      <c r="P976" s="110"/>
      <c r="Q976" s="277"/>
    </row>
    <row r="977" spans="1:18" ht="14.25" customHeight="1">
      <c r="A977" s="130"/>
      <c r="B977" s="110"/>
      <c r="C977" s="118"/>
      <c r="D977" s="110" t="s">
        <v>1813</v>
      </c>
      <c r="E977" s="110"/>
      <c r="F977" s="110"/>
      <c r="G977" s="110"/>
      <c r="H977" s="110"/>
      <c r="I977" s="110"/>
      <c r="J977" s="110"/>
      <c r="K977" s="110"/>
      <c r="L977" s="327"/>
      <c r="M977" s="118"/>
      <c r="N977" s="303"/>
      <c r="O977" s="110"/>
      <c r="P977" s="110"/>
      <c r="Q977" s="277"/>
    </row>
    <row r="978" spans="1:18" s="302" customFormat="1" ht="14.25" customHeight="1">
      <c r="A978" s="162"/>
      <c r="B978" s="164"/>
      <c r="C978" s="164"/>
      <c r="D978" s="164"/>
      <c r="E978" s="164"/>
      <c r="F978" s="844">
        <f>SUM(F972:G976)</f>
        <v>82341</v>
      </c>
      <c r="G978" s="844"/>
      <c r="H978" s="299"/>
      <c r="I978" s="165"/>
      <c r="J978" s="164"/>
      <c r="K978" s="165" t="s">
        <v>1454</v>
      </c>
      <c r="L978" s="312">
        <f>SUM(L972,L974,L976)</f>
        <v>16081</v>
      </c>
      <c r="M978" s="164" t="s">
        <v>975</v>
      </c>
      <c r="N978" s="310" t="s">
        <v>416</v>
      </c>
      <c r="O978" s="300"/>
      <c r="P978" s="164"/>
      <c r="Q978" s="301"/>
      <c r="R978" s="272"/>
    </row>
    <row r="979" spans="1:18" s="302" customFormat="1" ht="14.25" customHeight="1">
      <c r="A979" s="162"/>
      <c r="B979" s="164"/>
      <c r="C979" s="164"/>
      <c r="D979" s="164"/>
      <c r="E979" s="164"/>
      <c r="F979" s="299"/>
      <c r="G979" s="299"/>
      <c r="H979" s="299"/>
      <c r="I979" s="165"/>
      <c r="J979" s="164"/>
      <c r="K979" s="165"/>
      <c r="L979" s="328"/>
      <c r="M979" s="164"/>
      <c r="N979" s="310"/>
      <c r="O979" s="300"/>
      <c r="P979" s="164"/>
      <c r="Q979" s="301"/>
      <c r="R979" s="272"/>
    </row>
    <row r="980" spans="1:18" ht="14.25" customHeight="1">
      <c r="A980" s="135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293"/>
    </row>
    <row r="981" spans="1:18" s="265" customFormat="1" ht="14.25" customHeight="1">
      <c r="A981" s="306"/>
      <c r="B981" s="262" t="s">
        <v>982</v>
      </c>
      <c r="C981" s="262"/>
      <c r="D981" s="262"/>
      <c r="E981" s="262"/>
      <c r="F981" s="262"/>
      <c r="G981" s="262"/>
      <c r="H981" s="263"/>
      <c r="I981" s="263" t="s">
        <v>1421</v>
      </c>
      <c r="J981" s="263">
        <v>24</v>
      </c>
      <c r="K981" s="262" t="s">
        <v>1193</v>
      </c>
      <c r="L981" s="263">
        <v>0.7</v>
      </c>
      <c r="M981" s="262" t="s">
        <v>1420</v>
      </c>
      <c r="N981" s="262"/>
      <c r="O981" s="261"/>
      <c r="P981" s="261"/>
      <c r="Q981" s="264"/>
      <c r="R981" s="265" t="s">
        <v>3299</v>
      </c>
    </row>
    <row r="982" spans="1:18" ht="14.25" customHeight="1">
      <c r="A982" s="266"/>
      <c r="B982" s="126"/>
      <c r="C982" s="126"/>
      <c r="D982" s="126"/>
      <c r="E982" s="267"/>
      <c r="F982" s="267"/>
      <c r="G982" s="268"/>
      <c r="H982" s="267"/>
      <c r="I982" s="267"/>
      <c r="J982" s="267"/>
      <c r="K982" s="267"/>
      <c r="L982" s="269"/>
      <c r="M982" s="270"/>
      <c r="N982" s="270"/>
      <c r="O982" s="126"/>
      <c r="P982" s="126"/>
      <c r="Q982" s="271"/>
    </row>
    <row r="983" spans="1:18" ht="14.25" customHeight="1">
      <c r="A983" s="273"/>
      <c r="B983" s="110" t="s">
        <v>1592</v>
      </c>
      <c r="C983" s="33" t="s">
        <v>1593</v>
      </c>
      <c r="D983" s="274"/>
      <c r="E983" s="275"/>
      <c r="F983" s="275"/>
      <c r="G983" s="121"/>
      <c r="H983" s="275"/>
      <c r="I983" s="275"/>
      <c r="J983" s="275" t="s">
        <v>1749</v>
      </c>
      <c r="K983" s="275"/>
      <c r="L983" s="33"/>
      <c r="M983" s="276" t="s">
        <v>1750</v>
      </c>
      <c r="N983" s="276"/>
      <c r="O983" s="110"/>
      <c r="P983" s="110"/>
      <c r="Q983" s="277"/>
    </row>
    <row r="984" spans="1:18" ht="14.25" customHeight="1">
      <c r="A984" s="273"/>
      <c r="B984" s="118" t="s">
        <v>2267</v>
      </c>
      <c r="C984" s="110" t="s">
        <v>1760</v>
      </c>
      <c r="D984" s="110"/>
      <c r="E984" s="110"/>
      <c r="F984" s="110"/>
      <c r="G984" s="275" t="s">
        <v>3103</v>
      </c>
      <c r="H984" s="275">
        <v>2</v>
      </c>
      <c r="I984" s="275" t="s">
        <v>1595</v>
      </c>
      <c r="J984" s="274" t="s">
        <v>1596</v>
      </c>
      <c r="K984" s="110">
        <v>20</v>
      </c>
      <c r="L984" s="110" t="s">
        <v>1595</v>
      </c>
      <c r="M984" s="122" t="s">
        <v>1596</v>
      </c>
      <c r="N984" s="118"/>
      <c r="O984" s="110">
        <v>25</v>
      </c>
      <c r="P984" s="275" t="s">
        <v>1595</v>
      </c>
      <c r="Q984" s="277"/>
    </row>
    <row r="985" spans="1:18" ht="14.25" customHeight="1">
      <c r="A985" s="273"/>
      <c r="B985" s="118" t="s">
        <v>2267</v>
      </c>
      <c r="C985" s="110" t="s">
        <v>1761</v>
      </c>
      <c r="D985" s="110"/>
      <c r="E985" s="110"/>
      <c r="F985" s="110"/>
      <c r="G985" s="275" t="s">
        <v>3105</v>
      </c>
      <c r="H985" s="275">
        <v>28</v>
      </c>
      <c r="I985" s="275" t="s">
        <v>1595</v>
      </c>
      <c r="J985" s="274" t="s">
        <v>1597</v>
      </c>
      <c r="K985" s="110">
        <v>50</v>
      </c>
      <c r="L985" s="110" t="s">
        <v>1595</v>
      </c>
      <c r="M985" s="122" t="s">
        <v>1597</v>
      </c>
      <c r="N985" s="118"/>
      <c r="O985" s="110">
        <v>55</v>
      </c>
      <c r="P985" s="275" t="s">
        <v>1595</v>
      </c>
      <c r="Q985" s="277"/>
    </row>
    <row r="986" spans="1:18" ht="14.25" customHeight="1">
      <c r="A986" s="273"/>
      <c r="B986" s="118"/>
      <c r="C986" s="110"/>
      <c r="D986" s="110"/>
      <c r="E986" s="110"/>
      <c r="F986" s="110"/>
      <c r="G986" s="275"/>
      <c r="H986" s="275"/>
      <c r="I986" s="275"/>
      <c r="J986" s="274"/>
      <c r="K986" s="110"/>
      <c r="L986" s="110"/>
      <c r="M986" s="33"/>
      <c r="N986" s="118"/>
      <c r="O986" s="110"/>
      <c r="P986" s="275"/>
      <c r="Q986" s="277"/>
    </row>
    <row r="987" spans="1:18" ht="14.25" customHeight="1">
      <c r="A987" s="273"/>
      <c r="B987" s="110"/>
      <c r="C987" s="274"/>
      <c r="D987" s="274"/>
      <c r="E987" s="275"/>
      <c r="F987" s="275"/>
      <c r="G987" s="121"/>
      <c r="H987" s="275"/>
      <c r="I987" s="275"/>
      <c r="J987" s="275"/>
      <c r="K987" s="275"/>
      <c r="L987" s="33"/>
      <c r="M987" s="276"/>
      <c r="N987" s="276"/>
      <c r="O987" s="110"/>
      <c r="P987" s="110"/>
      <c r="Q987" s="277"/>
    </row>
    <row r="988" spans="1:18" ht="14.25" customHeight="1">
      <c r="A988" s="130"/>
      <c r="B988" s="110" t="s">
        <v>1592</v>
      </c>
      <c r="C988" s="110" t="s">
        <v>1198</v>
      </c>
      <c r="D988" s="110"/>
      <c r="E988" s="110"/>
      <c r="F988" s="110"/>
      <c r="G988" s="110"/>
      <c r="H988" s="110"/>
      <c r="I988" s="110"/>
      <c r="J988" s="110" t="s">
        <v>400</v>
      </c>
      <c r="K988" s="110"/>
      <c r="L988" s="118">
        <v>2.2999999999999998</v>
      </c>
      <c r="M988" s="110" t="s">
        <v>1805</v>
      </c>
      <c r="N988" s="110"/>
      <c r="O988" s="110"/>
      <c r="P988" s="110"/>
      <c r="Q988" s="277"/>
    </row>
    <row r="989" spans="1:18" ht="14.25" customHeight="1">
      <c r="A989" s="130"/>
      <c r="B989" s="118"/>
      <c r="C989" s="791" t="s">
        <v>1806</v>
      </c>
      <c r="D989" s="791" t="s">
        <v>1807</v>
      </c>
      <c r="E989" s="791"/>
      <c r="F989" s="791"/>
      <c r="G989" s="110"/>
      <c r="H989" s="110"/>
      <c r="I989" s="110"/>
      <c r="J989" s="110"/>
      <c r="K989" s="110"/>
      <c r="L989" s="110"/>
      <c r="M989" s="110"/>
      <c r="N989" s="110"/>
      <c r="O989" s="110"/>
      <c r="P989" s="110"/>
      <c r="Q989" s="277"/>
    </row>
    <row r="990" spans="1:18" ht="14.25" customHeight="1">
      <c r="A990" s="130"/>
      <c r="B990" s="118"/>
      <c r="C990" s="791"/>
      <c r="D990" s="843" t="s">
        <v>1583</v>
      </c>
      <c r="E990" s="843"/>
      <c r="F990" s="843"/>
      <c r="G990" s="110"/>
      <c r="H990" s="110"/>
      <c r="I990" s="110"/>
      <c r="J990" s="110"/>
      <c r="K990" s="110"/>
      <c r="L990" s="110"/>
      <c r="M990" s="110"/>
      <c r="N990" s="110"/>
      <c r="O990" s="110"/>
      <c r="P990" s="110"/>
      <c r="Q990" s="277"/>
    </row>
    <row r="991" spans="1:18" ht="14.25" customHeight="1">
      <c r="A991" s="130"/>
      <c r="B991" s="110"/>
      <c r="C991" s="110"/>
      <c r="D991" s="110"/>
      <c r="E991" s="110"/>
      <c r="F991" s="110"/>
      <c r="G991" s="110"/>
      <c r="H991" s="110"/>
      <c r="I991" s="110"/>
      <c r="J991" s="110"/>
      <c r="K991" s="110"/>
      <c r="L991" s="110"/>
      <c r="M991" s="110"/>
      <c r="N991" s="110"/>
      <c r="O991" s="110"/>
      <c r="P991" s="110"/>
      <c r="Q991" s="277"/>
    </row>
    <row r="992" spans="1:18" ht="14.25" customHeight="1">
      <c r="A992" s="130"/>
      <c r="B992" s="280"/>
      <c r="C992" s="118" t="s">
        <v>1808</v>
      </c>
      <c r="D992" s="110" t="s">
        <v>1809</v>
      </c>
      <c r="E992" s="110"/>
      <c r="F992" s="110"/>
      <c r="G992" s="118"/>
      <c r="H992" s="280"/>
      <c r="I992" s="118"/>
      <c r="J992" s="110"/>
      <c r="K992" s="110"/>
      <c r="L992" s="110"/>
      <c r="M992" s="110"/>
      <c r="N992" s="110"/>
      <c r="O992" s="110"/>
      <c r="P992" s="110"/>
      <c r="Q992" s="277"/>
    </row>
    <row r="993" spans="1:17" ht="14.25" customHeight="1">
      <c r="A993" s="130"/>
      <c r="B993" s="280"/>
      <c r="C993" s="118" t="s">
        <v>298</v>
      </c>
      <c r="D993" s="110" t="s">
        <v>299</v>
      </c>
      <c r="E993" s="845">
        <f>J981</f>
        <v>24</v>
      </c>
      <c r="F993" s="845"/>
      <c r="G993" s="118" t="s">
        <v>300</v>
      </c>
      <c r="H993" s="118">
        <f>L988</f>
        <v>2.2999999999999998</v>
      </c>
      <c r="I993" s="118" t="s">
        <v>972</v>
      </c>
      <c r="J993" s="118">
        <v>1.4</v>
      </c>
      <c r="K993" s="118" t="s">
        <v>1582</v>
      </c>
      <c r="L993" s="282">
        <f>TRUNC(E993/H993*J993,2)</f>
        <v>14.6</v>
      </c>
      <c r="M993" s="118" t="s">
        <v>301</v>
      </c>
      <c r="N993" s="110"/>
      <c r="O993" s="110"/>
      <c r="P993" s="110"/>
      <c r="Q993" s="277"/>
    </row>
    <row r="994" spans="1:17" ht="14.25" customHeight="1">
      <c r="A994" s="130"/>
      <c r="B994" s="280"/>
      <c r="C994" s="118" t="s">
        <v>302</v>
      </c>
      <c r="D994" s="110" t="s">
        <v>1156</v>
      </c>
      <c r="E994" s="110"/>
      <c r="F994" s="118" t="s">
        <v>1526</v>
      </c>
      <c r="G994" s="283">
        <f>TRUNC(1/J994,2)</f>
        <v>0.71</v>
      </c>
      <c r="H994" s="280" t="s">
        <v>303</v>
      </c>
      <c r="I994" s="118" t="s">
        <v>300</v>
      </c>
      <c r="J994" s="118">
        <f>J993</f>
        <v>1.4</v>
      </c>
      <c r="K994" s="284" t="s">
        <v>304</v>
      </c>
      <c r="L994" s="110"/>
      <c r="M994" s="110"/>
      <c r="N994" s="110"/>
      <c r="O994" s="110"/>
      <c r="P994" s="110"/>
      <c r="Q994" s="277"/>
    </row>
    <row r="995" spans="1:17" ht="14.25" customHeight="1">
      <c r="A995" s="130"/>
      <c r="B995" s="280"/>
      <c r="C995" s="118" t="s">
        <v>1703</v>
      </c>
      <c r="D995" s="110" t="s">
        <v>1207</v>
      </c>
      <c r="E995" s="110"/>
      <c r="F995" s="118" t="s">
        <v>1526</v>
      </c>
      <c r="G995" s="118">
        <v>0.9</v>
      </c>
      <c r="H995" s="280"/>
      <c r="I995" s="110"/>
      <c r="J995" s="110"/>
      <c r="K995" s="110"/>
      <c r="L995" s="110"/>
      <c r="M995" s="110"/>
      <c r="N995" s="110"/>
      <c r="O995" s="110"/>
      <c r="P995" s="110"/>
      <c r="Q995" s="277"/>
    </row>
    <row r="996" spans="1:17" ht="14.25" customHeight="1">
      <c r="A996" s="130"/>
      <c r="B996" s="280"/>
      <c r="C996" s="118" t="s">
        <v>1704</v>
      </c>
      <c r="D996" s="110" t="s">
        <v>401</v>
      </c>
      <c r="E996" s="110"/>
      <c r="F996" s="118"/>
      <c r="G996" s="286">
        <f>E1014</f>
        <v>93.82</v>
      </c>
      <c r="H996" s="118" t="s">
        <v>1600</v>
      </c>
      <c r="I996" s="110"/>
      <c r="J996" s="110"/>
      <c r="K996" s="110"/>
      <c r="L996" s="110"/>
      <c r="M996" s="110"/>
      <c r="N996" s="110"/>
      <c r="O996" s="110"/>
      <c r="P996" s="110"/>
      <c r="Q996" s="277"/>
    </row>
    <row r="997" spans="1:17" ht="14.25" customHeight="1">
      <c r="A997" s="130"/>
      <c r="B997" s="280"/>
      <c r="C997" s="118" t="s">
        <v>1704</v>
      </c>
      <c r="D997" s="110" t="s">
        <v>3111</v>
      </c>
      <c r="E997" s="110"/>
      <c r="F997" s="110"/>
      <c r="G997" s="110"/>
      <c r="H997" s="283"/>
      <c r="I997" s="118"/>
      <c r="J997" s="110"/>
      <c r="K997" s="110"/>
      <c r="L997" s="110"/>
      <c r="M997" s="110"/>
      <c r="N997" s="110"/>
      <c r="O997" s="110"/>
      <c r="P997" s="110"/>
      <c r="Q997" s="277"/>
    </row>
    <row r="998" spans="1:17" ht="14.25" customHeight="1">
      <c r="A998" s="130"/>
      <c r="B998" s="110"/>
      <c r="C998" s="118" t="s">
        <v>1706</v>
      </c>
      <c r="D998" s="110" t="s">
        <v>1707</v>
      </c>
      <c r="E998" s="838">
        <f>E1006</f>
        <v>17.16</v>
      </c>
      <c r="F998" s="838"/>
      <c r="G998" s="110" t="s">
        <v>402</v>
      </c>
      <c r="H998" s="285" t="s">
        <v>403</v>
      </c>
      <c r="I998" s="118"/>
      <c r="J998" s="118"/>
      <c r="K998" s="110"/>
      <c r="L998" s="118"/>
      <c r="M998" s="286"/>
      <c r="N998" s="286"/>
      <c r="O998" s="118"/>
      <c r="P998" s="110"/>
      <c r="Q998" s="277"/>
    </row>
    <row r="999" spans="1:17" ht="14.25" customHeight="1">
      <c r="A999" s="130"/>
      <c r="B999" s="110"/>
      <c r="C999" s="118"/>
      <c r="E999" s="288"/>
      <c r="F999" s="286"/>
      <c r="G999" s="110"/>
      <c r="H999" s="285"/>
      <c r="I999" s="118"/>
      <c r="J999" s="118"/>
      <c r="K999" s="110"/>
      <c r="L999" s="118"/>
      <c r="M999" s="286"/>
      <c r="N999" s="286"/>
      <c r="O999" s="118"/>
      <c r="P999" s="110"/>
      <c r="Q999" s="277"/>
    </row>
    <row r="1000" spans="1:17" ht="14.25" customHeight="1">
      <c r="A1000" s="130"/>
      <c r="B1000" s="110"/>
      <c r="C1000" s="118"/>
      <c r="D1000" s="118" t="s">
        <v>404</v>
      </c>
      <c r="E1000" s="846">
        <v>20</v>
      </c>
      <c r="F1000" s="846"/>
      <c r="G1000" s="110" t="s">
        <v>405</v>
      </c>
      <c r="H1000" s="285" t="s">
        <v>1756</v>
      </c>
      <c r="I1000" s="118"/>
      <c r="J1000" s="109"/>
      <c r="K1000" s="110"/>
      <c r="L1000" s="109"/>
      <c r="M1000" s="286"/>
      <c r="N1000" s="286"/>
      <c r="O1000" s="118"/>
      <c r="P1000" s="110"/>
      <c r="Q1000" s="277"/>
    </row>
    <row r="1001" spans="1:17" ht="14.25" customHeight="1">
      <c r="A1001" s="130"/>
      <c r="B1001" s="110"/>
      <c r="C1001" s="118"/>
      <c r="D1001" s="280"/>
      <c r="E1001" s="288"/>
      <c r="F1001" s="286"/>
      <c r="G1001" s="110"/>
      <c r="H1001" s="285"/>
      <c r="I1001" s="307"/>
      <c r="K1001" s="110"/>
      <c r="L1001" s="118"/>
      <c r="M1001" s="286"/>
      <c r="N1001" s="286"/>
      <c r="O1001" s="118"/>
      <c r="P1001" s="110"/>
      <c r="Q1001" s="277"/>
    </row>
    <row r="1002" spans="1:17" ht="14.25" customHeight="1">
      <c r="A1002" s="130"/>
      <c r="B1002" s="110"/>
      <c r="C1002" s="118"/>
      <c r="D1002" s="110" t="s">
        <v>407</v>
      </c>
      <c r="E1002" s="288" t="s">
        <v>408</v>
      </c>
      <c r="F1002" s="286"/>
      <c r="G1002" s="110"/>
      <c r="H1002" s="285"/>
      <c r="I1002" s="118" t="s">
        <v>1748</v>
      </c>
      <c r="J1002" s="118">
        <v>0.9</v>
      </c>
      <c r="K1002" s="110"/>
      <c r="L1002" s="118"/>
      <c r="M1002" s="286"/>
      <c r="N1002" s="286"/>
      <c r="O1002" s="118"/>
      <c r="P1002" s="110"/>
      <c r="Q1002" s="277"/>
    </row>
    <row r="1003" spans="1:17" ht="14.25" customHeight="1">
      <c r="A1003" s="130"/>
      <c r="B1003" s="110"/>
      <c r="C1003" s="118"/>
      <c r="D1003" s="110" t="s">
        <v>410</v>
      </c>
      <c r="E1003" s="838">
        <f>L993</f>
        <v>14.6</v>
      </c>
      <c r="F1003" s="838"/>
      <c r="G1003" s="118" t="s">
        <v>411</v>
      </c>
      <c r="H1003" s="285">
        <f>L981</f>
        <v>0.7</v>
      </c>
      <c r="I1003" s="118" t="s">
        <v>86</v>
      </c>
      <c r="J1003" s="118">
        <f>J1002</f>
        <v>0.9</v>
      </c>
      <c r="K1003" s="110" t="s">
        <v>412</v>
      </c>
      <c r="L1003" s="118">
        <f>TRUNC(E1003/(H1003*J1003),2)</f>
        <v>23.17</v>
      </c>
      <c r="M1003" s="286" t="s">
        <v>969</v>
      </c>
      <c r="N1003" s="286"/>
      <c r="O1003" s="118"/>
      <c r="P1003" s="110"/>
      <c r="Q1003" s="277"/>
    </row>
    <row r="1004" spans="1:17" ht="14.25" customHeight="1">
      <c r="A1004" s="130"/>
      <c r="B1004" s="110"/>
      <c r="C1004" s="118"/>
      <c r="D1004" s="110" t="s">
        <v>413</v>
      </c>
      <c r="E1004" s="838">
        <v>0.45</v>
      </c>
      <c r="F1004" s="838"/>
      <c r="G1004" s="118"/>
      <c r="H1004" s="285"/>
      <c r="I1004" s="118"/>
      <c r="J1004" s="118"/>
      <c r="K1004" s="110"/>
      <c r="L1004" s="118"/>
      <c r="M1004" s="286"/>
      <c r="N1004" s="286"/>
      <c r="O1004" s="118"/>
      <c r="P1004" s="110"/>
      <c r="Q1004" s="277"/>
    </row>
    <row r="1005" spans="1:17" ht="14.25" customHeight="1">
      <c r="A1005" s="130"/>
      <c r="B1005" s="110"/>
      <c r="C1005" s="118" t="s">
        <v>1601</v>
      </c>
      <c r="D1005" s="110" t="s">
        <v>1709</v>
      </c>
      <c r="E1005" s="845">
        <f>E1000</f>
        <v>20</v>
      </c>
      <c r="F1005" s="845"/>
      <c r="G1005" s="118" t="s">
        <v>972</v>
      </c>
      <c r="H1005" s="285">
        <f>L1003</f>
        <v>23.17</v>
      </c>
      <c r="I1005" s="118" t="s">
        <v>414</v>
      </c>
      <c r="J1005" s="118">
        <v>60</v>
      </c>
      <c r="K1005" s="118" t="s">
        <v>972</v>
      </c>
      <c r="L1005" s="282">
        <f>E1004</f>
        <v>0.45</v>
      </c>
      <c r="M1005" s="288" t="s">
        <v>2112</v>
      </c>
      <c r="N1005" s="286"/>
      <c r="O1005" s="118"/>
      <c r="P1005" s="110"/>
      <c r="Q1005" s="277"/>
    </row>
    <row r="1006" spans="1:17" ht="14.25" customHeight="1">
      <c r="A1006" s="130"/>
      <c r="B1006" s="110"/>
      <c r="C1006" s="118"/>
      <c r="D1006" s="110" t="s">
        <v>410</v>
      </c>
      <c r="E1006" s="838">
        <f>TRUNC((E1005*H1005)/(J1005*L1005),2)</f>
        <v>17.16</v>
      </c>
      <c r="F1006" s="838"/>
      <c r="G1006" s="110" t="s">
        <v>415</v>
      </c>
      <c r="H1006" s="287"/>
      <c r="I1006" s="118"/>
      <c r="J1006" s="118"/>
      <c r="K1006" s="118"/>
      <c r="L1006" s="118"/>
      <c r="M1006" s="286"/>
      <c r="N1006" s="286"/>
      <c r="O1006" s="118"/>
      <c r="P1006" s="110"/>
      <c r="Q1006" s="277"/>
    </row>
    <row r="1007" spans="1:17" ht="14.25" customHeight="1">
      <c r="A1007" s="130"/>
      <c r="B1007" s="110"/>
      <c r="C1007" s="118" t="s">
        <v>2110</v>
      </c>
      <c r="D1007" s="110" t="s">
        <v>381</v>
      </c>
      <c r="E1007" s="791">
        <f>J1010</f>
        <v>74.94</v>
      </c>
      <c r="F1007" s="791"/>
      <c r="G1007" s="110" t="s">
        <v>382</v>
      </c>
      <c r="H1007" s="118"/>
      <c r="I1007" s="110"/>
      <c r="J1007" s="110"/>
      <c r="K1007" s="110"/>
      <c r="L1007" s="118"/>
      <c r="M1007" s="118"/>
      <c r="N1007" s="118"/>
      <c r="O1007" s="110"/>
      <c r="P1007" s="110"/>
      <c r="Q1007" s="277"/>
    </row>
    <row r="1008" spans="1:17" ht="14.25" customHeight="1">
      <c r="A1008" s="130"/>
      <c r="B1008" s="110"/>
      <c r="C1008" s="280" t="s">
        <v>2111</v>
      </c>
      <c r="D1008" s="118">
        <f>H984</f>
        <v>2</v>
      </c>
      <c r="E1008" s="118" t="s">
        <v>300</v>
      </c>
      <c r="F1008" s="118">
        <f>K984</f>
        <v>20</v>
      </c>
      <c r="G1008" s="110" t="s">
        <v>383</v>
      </c>
      <c r="H1008" s="118">
        <f>H984</f>
        <v>2</v>
      </c>
      <c r="I1008" s="118" t="s">
        <v>300</v>
      </c>
      <c r="J1008" s="118">
        <f>O984</f>
        <v>25</v>
      </c>
      <c r="K1008" s="118" t="s">
        <v>1757</v>
      </c>
      <c r="L1008" s="118">
        <f>H985</f>
        <v>28</v>
      </c>
      <c r="M1008" s="118" t="s">
        <v>300</v>
      </c>
      <c r="N1008" s="791">
        <f>K985</f>
        <v>50</v>
      </c>
      <c r="O1008" s="791"/>
      <c r="P1008" s="110" t="s">
        <v>2112</v>
      </c>
      <c r="Q1008" s="277"/>
    </row>
    <row r="1009" spans="1:18" ht="14.25" customHeight="1">
      <c r="A1009" s="130"/>
      <c r="B1009" s="110"/>
      <c r="C1009" s="309" t="s">
        <v>1758</v>
      </c>
      <c r="D1009" s="118">
        <f>H985</f>
        <v>28</v>
      </c>
      <c r="E1009" s="118" t="s">
        <v>300</v>
      </c>
      <c r="F1009" s="118">
        <f>O985</f>
        <v>55</v>
      </c>
      <c r="G1009" s="110" t="s">
        <v>1762</v>
      </c>
      <c r="H1009" s="118"/>
      <c r="I1009" s="118"/>
      <c r="J1009" s="118"/>
      <c r="K1009" s="118"/>
      <c r="L1009" s="118"/>
      <c r="M1009" s="118"/>
      <c r="N1009" s="791"/>
      <c r="O1009" s="791"/>
      <c r="P1009" s="110"/>
      <c r="Q1009" s="277"/>
    </row>
    <row r="1010" spans="1:18" ht="14.25" customHeight="1">
      <c r="A1010" s="130"/>
      <c r="B1010" s="110"/>
      <c r="C1010" s="118"/>
      <c r="D1010" s="280" t="s">
        <v>1582</v>
      </c>
      <c r="E1010" s="791">
        <f>(D1008/F1008)+(H1008/J1008)+(L1008/N1008)+(D1009/F1009)</f>
        <v>1.249090909090909</v>
      </c>
      <c r="F1010" s="791"/>
      <c r="G1010" s="110" t="s">
        <v>384</v>
      </c>
      <c r="H1010" s="118">
        <v>60</v>
      </c>
      <c r="I1010" s="118" t="s">
        <v>1582</v>
      </c>
      <c r="J1010" s="283">
        <f>TRUNC(E1010*H1010,2)</f>
        <v>74.94</v>
      </c>
      <c r="K1010" s="286" t="s">
        <v>1600</v>
      </c>
      <c r="L1010" s="110"/>
      <c r="M1010" s="110"/>
      <c r="N1010" s="118"/>
      <c r="O1010" s="110"/>
      <c r="P1010" s="110"/>
      <c r="Q1010" s="277"/>
    </row>
    <row r="1011" spans="1:18" ht="14.25" customHeight="1">
      <c r="A1011" s="130"/>
      <c r="B1011" s="110"/>
      <c r="C1011" s="118" t="s">
        <v>2113</v>
      </c>
      <c r="D1011" s="110" t="s">
        <v>385</v>
      </c>
      <c r="E1011" s="846">
        <v>0.8</v>
      </c>
      <c r="F1011" s="846"/>
      <c r="G1011" s="110" t="s">
        <v>1600</v>
      </c>
      <c r="H1011" s="118"/>
      <c r="I1011" s="110"/>
      <c r="J1011" s="118"/>
      <c r="K1011" s="110"/>
      <c r="L1011" s="110"/>
      <c r="M1011" s="110"/>
      <c r="N1011" s="110"/>
      <c r="O1011" s="110"/>
      <c r="P1011" s="110"/>
      <c r="Q1011" s="277"/>
    </row>
    <row r="1012" spans="1:18" ht="14.25" customHeight="1">
      <c r="A1012" s="130"/>
      <c r="B1012" s="110"/>
      <c r="C1012" s="118" t="s">
        <v>2114</v>
      </c>
      <c r="D1012" s="110" t="s">
        <v>387</v>
      </c>
      <c r="E1012" s="791">
        <v>0.42</v>
      </c>
      <c r="F1012" s="791"/>
      <c r="G1012" s="110" t="s">
        <v>1759</v>
      </c>
      <c r="H1012" s="118"/>
      <c r="I1012" s="110"/>
      <c r="J1012" s="110"/>
      <c r="K1012" s="110"/>
      <c r="L1012" s="110"/>
      <c r="M1012" s="118"/>
      <c r="N1012" s="118"/>
      <c r="O1012" s="110"/>
      <c r="P1012" s="110"/>
      <c r="Q1012" s="277"/>
    </row>
    <row r="1013" spans="1:18" ht="14.25" customHeight="1">
      <c r="A1013" s="130"/>
      <c r="B1013" s="110"/>
      <c r="C1013" s="118" t="s">
        <v>3112</v>
      </c>
      <c r="D1013" s="110" t="s">
        <v>389</v>
      </c>
      <c r="E1013" s="791">
        <v>0.5</v>
      </c>
      <c r="F1013" s="791"/>
      <c r="G1013" s="110" t="s">
        <v>390</v>
      </c>
      <c r="H1013" s="110"/>
      <c r="I1013" s="110"/>
      <c r="J1013" s="110"/>
      <c r="K1013" s="110"/>
      <c r="L1013" s="110"/>
      <c r="M1013" s="110"/>
      <c r="N1013" s="110"/>
      <c r="O1013" s="110"/>
      <c r="P1013" s="110"/>
      <c r="Q1013" s="277"/>
    </row>
    <row r="1014" spans="1:18" ht="14.25" customHeight="1">
      <c r="A1014" s="130"/>
      <c r="B1014" s="110"/>
      <c r="C1014" s="118"/>
      <c r="D1014" s="118" t="s">
        <v>1454</v>
      </c>
      <c r="E1014" s="840">
        <f>E998+E1007+E1011+E1012+E1013</f>
        <v>93.82</v>
      </c>
      <c r="F1014" s="840"/>
      <c r="G1014" s="110" t="s">
        <v>1600</v>
      </c>
      <c r="H1014" s="110"/>
      <c r="I1014" s="110"/>
      <c r="J1014" s="110"/>
      <c r="K1014" s="110"/>
      <c r="L1014" s="110"/>
      <c r="M1014" s="110"/>
      <c r="N1014" s="110"/>
      <c r="O1014" s="110"/>
      <c r="P1014" s="110"/>
      <c r="Q1014" s="277"/>
    </row>
    <row r="1015" spans="1:18" ht="14.25" customHeight="1">
      <c r="A1015" s="130"/>
      <c r="B1015" s="118"/>
      <c r="C1015" s="118"/>
      <c r="D1015" s="110"/>
      <c r="E1015" s="118"/>
      <c r="F1015" s="110"/>
      <c r="G1015" s="110"/>
      <c r="H1015" s="110"/>
      <c r="I1015" s="110"/>
      <c r="J1015" s="110"/>
      <c r="K1015" s="110"/>
      <c r="L1015" s="110"/>
      <c r="M1015" s="110"/>
      <c r="N1015" s="110"/>
      <c r="O1015" s="110"/>
      <c r="P1015" s="110"/>
      <c r="Q1015" s="277"/>
    </row>
    <row r="1016" spans="1:18" ht="14.25" customHeight="1">
      <c r="A1016" s="130" t="s">
        <v>391</v>
      </c>
      <c r="B1016" s="110" t="s">
        <v>392</v>
      </c>
      <c r="C1016" s="118"/>
      <c r="D1016" s="110"/>
      <c r="E1016" s="118"/>
      <c r="F1016" s="110"/>
      <c r="G1016" s="110"/>
      <c r="H1016" s="110"/>
      <c r="I1016" s="110"/>
      <c r="J1016" s="110"/>
      <c r="K1016" s="110"/>
      <c r="L1016" s="110"/>
      <c r="M1016" s="110"/>
      <c r="N1016" s="110"/>
      <c r="O1016" s="110"/>
      <c r="P1016" s="110"/>
      <c r="Q1016" s="277"/>
    </row>
    <row r="1017" spans="1:18" ht="14.25" customHeight="1">
      <c r="A1017" s="130"/>
      <c r="B1017" s="280"/>
      <c r="C1017" s="110"/>
      <c r="D1017" s="110"/>
      <c r="E1017" s="110"/>
      <c r="F1017" s="110"/>
      <c r="G1017" s="110"/>
      <c r="H1017" s="110"/>
      <c r="I1017" s="110"/>
      <c r="J1017" s="110"/>
      <c r="K1017" s="110"/>
      <c r="L1017" s="110"/>
      <c r="M1017" s="110"/>
      <c r="N1017" s="110"/>
      <c r="O1017" s="110"/>
      <c r="P1017" s="110"/>
      <c r="Q1017" s="277"/>
    </row>
    <row r="1018" spans="1:18" ht="14.25" customHeight="1">
      <c r="A1018" s="841"/>
      <c r="B1018" s="791" t="s">
        <v>1111</v>
      </c>
      <c r="C1018" s="791" t="s">
        <v>1582</v>
      </c>
      <c r="D1018" s="280" t="s">
        <v>393</v>
      </c>
      <c r="E1018" s="318">
        <f>G994</f>
        <v>0.71</v>
      </c>
      <c r="F1018" s="118" t="s">
        <v>972</v>
      </c>
      <c r="G1018" s="282">
        <f>L993</f>
        <v>14.6</v>
      </c>
      <c r="H1018" s="118" t="s">
        <v>972</v>
      </c>
      <c r="I1018" s="118">
        <f>G995</f>
        <v>0.9</v>
      </c>
      <c r="J1018" s="791" t="s">
        <v>1582</v>
      </c>
      <c r="K1018" s="847">
        <f>TRUNC(E1018*G1018*I1018*60,3)</f>
        <v>559.76400000000001</v>
      </c>
      <c r="L1018" s="847"/>
      <c r="M1018" s="791" t="s">
        <v>1582</v>
      </c>
      <c r="N1018" s="838">
        <f>TRUNC(K1018/K1019,2)</f>
        <v>5.96</v>
      </c>
      <c r="O1018" s="838"/>
      <c r="P1018" s="110" t="s">
        <v>301</v>
      </c>
      <c r="Q1018" s="277"/>
    </row>
    <row r="1019" spans="1:18" ht="14.25" customHeight="1">
      <c r="A1019" s="841"/>
      <c r="B1019" s="791"/>
      <c r="C1019" s="791"/>
      <c r="D1019" s="856">
        <f>G996</f>
        <v>93.82</v>
      </c>
      <c r="E1019" s="856"/>
      <c r="F1019" s="856"/>
      <c r="G1019" s="856"/>
      <c r="H1019" s="856"/>
      <c r="I1019" s="856"/>
      <c r="J1019" s="791"/>
      <c r="K1019" s="839">
        <f>D1019</f>
        <v>93.82</v>
      </c>
      <c r="L1019" s="839"/>
      <c r="M1019" s="791"/>
      <c r="N1019" s="838"/>
      <c r="O1019" s="838"/>
      <c r="P1019" s="110"/>
      <c r="Q1019" s="277" t="s">
        <v>394</v>
      </c>
    </row>
    <row r="1020" spans="1:18" ht="14.25" customHeight="1">
      <c r="A1020" s="130"/>
      <c r="B1020" s="110"/>
      <c r="C1020" s="110"/>
      <c r="D1020" s="110"/>
      <c r="E1020" s="110"/>
      <c r="F1020" s="110"/>
      <c r="G1020" s="110"/>
      <c r="H1020" s="110"/>
      <c r="I1020" s="110"/>
      <c r="J1020" s="110"/>
      <c r="K1020" s="110"/>
      <c r="L1020" s="110"/>
      <c r="M1020" s="110"/>
      <c r="N1020" s="110"/>
      <c r="O1020" s="110"/>
      <c r="P1020" s="110"/>
      <c r="Q1020" s="277"/>
    </row>
    <row r="1021" spans="1:18" ht="14.25" customHeight="1">
      <c r="A1021" s="130"/>
      <c r="B1021" s="110"/>
      <c r="C1021" s="110"/>
      <c r="D1021" s="110" t="s">
        <v>395</v>
      </c>
      <c r="E1021" s="110"/>
      <c r="F1021" s="835">
        <f>중기사용료!$M$568</f>
        <v>35386</v>
      </c>
      <c r="G1021" s="835"/>
      <c r="H1021" s="286" t="s">
        <v>975</v>
      </c>
      <c r="I1021" s="118" t="s">
        <v>300</v>
      </c>
      <c r="J1021" s="285">
        <f>N1018</f>
        <v>5.96</v>
      </c>
      <c r="K1021" s="282" t="s">
        <v>1582</v>
      </c>
      <c r="L1021" s="327">
        <f>TRUNC(F1021/J1021)</f>
        <v>5937</v>
      </c>
      <c r="M1021" s="118" t="s">
        <v>975</v>
      </c>
      <c r="N1021" s="303" t="s">
        <v>416</v>
      </c>
      <c r="O1021" s="110"/>
      <c r="P1021" s="110"/>
      <c r="Q1021" s="277"/>
    </row>
    <row r="1022" spans="1:18" ht="14.25" customHeight="1">
      <c r="A1022" s="130"/>
      <c r="B1022" s="110"/>
      <c r="C1022" s="118"/>
      <c r="D1022" s="110"/>
      <c r="E1022" s="290"/>
      <c r="F1022" s="291"/>
      <c r="G1022" s="291"/>
      <c r="H1022" s="118"/>
      <c r="I1022" s="110"/>
      <c r="J1022" s="110"/>
      <c r="K1022" s="285"/>
      <c r="L1022" s="327"/>
      <c r="M1022" s="118"/>
      <c r="N1022" s="303"/>
      <c r="O1022" s="110"/>
      <c r="P1022" s="110"/>
      <c r="Q1022" s="277"/>
    </row>
    <row r="1023" spans="1:18" ht="14.25" customHeight="1">
      <c r="A1023" s="130"/>
      <c r="B1023" s="110"/>
      <c r="C1023" s="110"/>
      <c r="D1023" s="110" t="s">
        <v>396</v>
      </c>
      <c r="E1023" s="110"/>
      <c r="F1023" s="835">
        <f>중기사용료!$M$562</f>
        <v>27168</v>
      </c>
      <c r="G1023" s="835"/>
      <c r="H1023" s="286" t="s">
        <v>975</v>
      </c>
      <c r="I1023" s="118" t="s">
        <v>300</v>
      </c>
      <c r="J1023" s="285">
        <f>N1018</f>
        <v>5.96</v>
      </c>
      <c r="K1023" s="282" t="s">
        <v>1582</v>
      </c>
      <c r="L1023" s="327">
        <f>TRUNC(F1023/J1023)</f>
        <v>4558</v>
      </c>
      <c r="M1023" s="118" t="s">
        <v>975</v>
      </c>
      <c r="N1023" s="303" t="s">
        <v>416</v>
      </c>
      <c r="O1023" s="110"/>
      <c r="P1023" s="110"/>
      <c r="Q1023" s="277"/>
    </row>
    <row r="1024" spans="1:18" ht="14.25" customHeight="1">
      <c r="A1024" s="130"/>
      <c r="B1024" s="110"/>
      <c r="C1024" s="118"/>
      <c r="D1024" s="110"/>
      <c r="E1024" s="290"/>
      <c r="F1024" s="291"/>
      <c r="G1024" s="291"/>
      <c r="H1024" s="118"/>
      <c r="I1024" s="110"/>
      <c r="J1024" s="110"/>
      <c r="K1024" s="285"/>
      <c r="L1024" s="327"/>
      <c r="M1024" s="118"/>
      <c r="N1024" s="303"/>
      <c r="O1024" s="110"/>
      <c r="P1024" s="110"/>
      <c r="Q1024" s="277"/>
      <c r="R1024" s="272" t="s">
        <v>1436</v>
      </c>
    </row>
    <row r="1025" spans="1:18" ht="14.25" customHeight="1">
      <c r="A1025" s="130"/>
      <c r="B1025" s="110"/>
      <c r="C1025" s="110"/>
      <c r="D1025" s="110" t="s">
        <v>398</v>
      </c>
      <c r="E1025" s="110"/>
      <c r="F1025" s="835">
        <f>중기사용료!$M$556</f>
        <v>28703</v>
      </c>
      <c r="G1025" s="835"/>
      <c r="H1025" s="118" t="s">
        <v>975</v>
      </c>
      <c r="I1025" s="118" t="s">
        <v>300</v>
      </c>
      <c r="J1025" s="285">
        <f>N1018</f>
        <v>5.96</v>
      </c>
      <c r="K1025" s="282" t="s">
        <v>1582</v>
      </c>
      <c r="L1025" s="327">
        <f>TRUNC(F1025/J1025)</f>
        <v>4815</v>
      </c>
      <c r="M1025" s="121" t="s">
        <v>975</v>
      </c>
      <c r="N1025" s="303" t="s">
        <v>416</v>
      </c>
      <c r="O1025" s="110"/>
      <c r="P1025" s="110"/>
      <c r="Q1025" s="277"/>
    </row>
    <row r="1026" spans="1:18" ht="14.25" customHeight="1">
      <c r="A1026" s="130"/>
      <c r="B1026" s="110"/>
      <c r="C1026" s="118"/>
      <c r="D1026" s="110" t="s">
        <v>1813</v>
      </c>
      <c r="E1026" s="110"/>
      <c r="F1026" s="110"/>
      <c r="G1026" s="110"/>
      <c r="H1026" s="110"/>
      <c r="I1026" s="110"/>
      <c r="J1026" s="110"/>
      <c r="K1026" s="110"/>
      <c r="L1026" s="327"/>
      <c r="M1026" s="118"/>
      <c r="N1026" s="303"/>
      <c r="O1026" s="110"/>
      <c r="P1026" s="110"/>
      <c r="Q1026" s="277"/>
    </row>
    <row r="1027" spans="1:18" s="302" customFormat="1" ht="14.25" customHeight="1">
      <c r="A1027" s="162"/>
      <c r="B1027" s="164"/>
      <c r="C1027" s="164"/>
      <c r="D1027" s="164"/>
      <c r="E1027" s="164"/>
      <c r="F1027" s="844">
        <f>SUM(F1021:G1025)</f>
        <v>91257</v>
      </c>
      <c r="G1027" s="844"/>
      <c r="H1027" s="299"/>
      <c r="I1027" s="165"/>
      <c r="J1027" s="164"/>
      <c r="K1027" s="165" t="s">
        <v>1454</v>
      </c>
      <c r="L1027" s="312">
        <f>SUM(L1021,L1023,L1025)</f>
        <v>15310</v>
      </c>
      <c r="M1027" s="164" t="s">
        <v>975</v>
      </c>
      <c r="N1027" s="310" t="s">
        <v>416</v>
      </c>
      <c r="O1027" s="300"/>
      <c r="P1027" s="164"/>
      <c r="Q1027" s="301"/>
      <c r="R1027" s="272"/>
    </row>
    <row r="1028" spans="1:18" s="302" customFormat="1" ht="14.25" customHeight="1">
      <c r="A1028" s="162"/>
      <c r="B1028" s="164"/>
      <c r="C1028" s="164"/>
      <c r="D1028" s="164"/>
      <c r="E1028" s="164"/>
      <c r="F1028" s="299"/>
      <c r="G1028" s="299"/>
      <c r="H1028" s="299"/>
      <c r="I1028" s="165"/>
      <c r="J1028" s="164"/>
      <c r="K1028" s="165"/>
      <c r="L1028" s="328"/>
      <c r="M1028" s="164"/>
      <c r="N1028" s="310"/>
      <c r="O1028" s="300"/>
      <c r="P1028" s="164"/>
      <c r="Q1028" s="301"/>
      <c r="R1028" s="272"/>
    </row>
    <row r="1029" spans="1:18" ht="14.25" customHeight="1">
      <c r="A1029" s="135"/>
      <c r="B1029" s="138"/>
      <c r="C1029" s="138"/>
      <c r="D1029" s="138"/>
      <c r="E1029" s="138"/>
      <c r="F1029" s="138"/>
      <c r="G1029" s="138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293"/>
    </row>
    <row r="1030" spans="1:18" s="265" customFormat="1" ht="14.25" customHeight="1">
      <c r="A1030" s="260"/>
      <c r="B1030" s="261" t="s">
        <v>2042</v>
      </c>
      <c r="C1030" s="262"/>
      <c r="D1030" s="262"/>
      <c r="E1030" s="262"/>
      <c r="F1030" s="262"/>
      <c r="G1030" s="262"/>
      <c r="H1030" s="263" t="s">
        <v>1418</v>
      </c>
      <c r="I1030" s="263">
        <v>2.5</v>
      </c>
      <c r="J1030" s="262" t="s">
        <v>1193</v>
      </c>
      <c r="K1030" s="262" t="s">
        <v>1276</v>
      </c>
      <c r="L1030" s="262"/>
      <c r="M1030" s="262"/>
      <c r="N1030" s="262"/>
      <c r="O1030" s="261"/>
      <c r="P1030" s="261"/>
      <c r="Q1030" s="264"/>
      <c r="R1030" s="265" t="s">
        <v>3299</v>
      </c>
    </row>
    <row r="1031" spans="1:18" ht="14.25" customHeight="1">
      <c r="A1031" s="266"/>
      <c r="B1031" s="126"/>
      <c r="C1031" s="126"/>
      <c r="D1031" s="126"/>
      <c r="E1031" s="267"/>
      <c r="F1031" s="267"/>
      <c r="G1031" s="268"/>
      <c r="H1031" s="267"/>
      <c r="I1031" s="267"/>
      <c r="J1031" s="267"/>
      <c r="K1031" s="267"/>
      <c r="L1031" s="269"/>
      <c r="M1031" s="270"/>
      <c r="N1031" s="270"/>
      <c r="O1031" s="126"/>
      <c r="P1031" s="126"/>
      <c r="Q1031" s="271"/>
    </row>
    <row r="1032" spans="1:18" ht="14.25" customHeight="1">
      <c r="A1032" s="273"/>
      <c r="B1032" s="110" t="s">
        <v>1592</v>
      </c>
      <c r="C1032" s="33" t="s">
        <v>1593</v>
      </c>
      <c r="D1032" s="274"/>
      <c r="E1032" s="275"/>
      <c r="F1032" s="275"/>
      <c r="G1032" s="121"/>
      <c r="H1032" s="275"/>
      <c r="I1032" s="275"/>
      <c r="J1032" s="275"/>
      <c r="K1032" s="275"/>
      <c r="L1032" s="33"/>
      <c r="M1032" s="276"/>
      <c r="N1032" s="276"/>
      <c r="O1032" s="110"/>
      <c r="P1032" s="110"/>
      <c r="Q1032" s="277"/>
    </row>
    <row r="1033" spans="1:18" ht="14.25" customHeight="1">
      <c r="A1033" s="273"/>
      <c r="B1033" s="118" t="s">
        <v>2267</v>
      </c>
      <c r="C1033" s="110" t="s">
        <v>1275</v>
      </c>
      <c r="D1033" s="110"/>
      <c r="E1033" s="110"/>
      <c r="F1033" s="110"/>
      <c r="G1033" s="275" t="s">
        <v>1594</v>
      </c>
      <c r="H1033" s="275">
        <v>2</v>
      </c>
      <c r="I1033" s="275" t="s">
        <v>1595</v>
      </c>
      <c r="J1033" s="274" t="s">
        <v>1596</v>
      </c>
      <c r="K1033" s="110">
        <v>20</v>
      </c>
      <c r="L1033" s="110" t="s">
        <v>1595</v>
      </c>
      <c r="M1033" s="33" t="s">
        <v>1597</v>
      </c>
      <c r="N1033" s="118"/>
      <c r="O1033" s="110">
        <v>25</v>
      </c>
      <c r="P1033" s="275" t="s">
        <v>1595</v>
      </c>
      <c r="Q1033" s="277"/>
    </row>
    <row r="1034" spans="1:18" ht="14.25" customHeight="1">
      <c r="A1034" s="273"/>
      <c r="B1034" s="110"/>
      <c r="C1034" s="110"/>
      <c r="D1034" s="110"/>
      <c r="E1034" s="110"/>
      <c r="F1034" s="110"/>
      <c r="G1034" s="110"/>
      <c r="H1034" s="110"/>
      <c r="I1034" s="110"/>
      <c r="J1034" s="110"/>
      <c r="K1034" s="110"/>
      <c r="L1034" s="110"/>
      <c r="M1034" s="110"/>
      <c r="N1034" s="110"/>
      <c r="O1034" s="110"/>
      <c r="P1034" s="110"/>
      <c r="Q1034" s="277"/>
    </row>
    <row r="1035" spans="1:18" ht="14.25" customHeight="1">
      <c r="A1035" s="273"/>
      <c r="B1035" s="118" t="s">
        <v>1598</v>
      </c>
      <c r="C1035" s="110" t="str">
        <f>"상차비 - "&amp; G1035&amp;" 인 1조 작업 :"</f>
        <v>상차비 - 5 인 1조 작업 :</v>
      </c>
      <c r="D1035" s="110"/>
      <c r="E1035" s="110"/>
      <c r="F1035" s="110"/>
      <c r="G1035" s="275">
        <v>5</v>
      </c>
      <c r="H1035" s="278" t="s">
        <v>1163</v>
      </c>
      <c r="I1035" s="275" t="s">
        <v>1162</v>
      </c>
      <c r="J1035" s="274"/>
      <c r="K1035" s="110"/>
      <c r="L1035" s="110"/>
      <c r="M1035" s="33"/>
      <c r="N1035" s="118"/>
      <c r="O1035" s="110"/>
      <c r="P1035" s="275"/>
      <c r="Q1035" s="277"/>
    </row>
    <row r="1036" spans="1:18" ht="14.25" customHeight="1">
      <c r="A1036" s="273"/>
      <c r="B1036" s="110"/>
      <c r="C1036" s="274"/>
      <c r="D1036" s="33" t="s">
        <v>1599</v>
      </c>
      <c r="E1036" s="275"/>
      <c r="F1036" s="275"/>
      <c r="G1036" s="121">
        <v>12</v>
      </c>
      <c r="H1036" s="278" t="s">
        <v>1600</v>
      </c>
      <c r="I1036" s="275"/>
      <c r="J1036" s="275"/>
      <c r="K1036" s="275"/>
      <c r="L1036" s="33"/>
      <c r="M1036" s="276"/>
      <c r="N1036" s="276"/>
      <c r="O1036" s="110"/>
      <c r="P1036" s="110"/>
      <c r="Q1036" s="277"/>
    </row>
    <row r="1037" spans="1:18" ht="14.25" customHeight="1">
      <c r="A1037" s="273"/>
      <c r="B1037" s="110"/>
      <c r="C1037" s="274" t="s">
        <v>1601</v>
      </c>
      <c r="D1037" s="279" t="str">
        <f>G1036&amp;"/450×"</f>
        <v>12/450×</v>
      </c>
      <c r="E1037" s="275">
        <f>G1035</f>
        <v>5</v>
      </c>
      <c r="F1037" s="275" t="s">
        <v>972</v>
      </c>
      <c r="G1037" s="121">
        <f>SUMIF('노임(2015)'!$B$4:$B$87,I1035,'노임(2015)'!$C$4:$C$87)+SUMIF('노임(2015)'!$E$4:$E$87,I1035,'노임(2015)'!$F$4:$F$87)</f>
        <v>89566</v>
      </c>
      <c r="H1037" s="275" t="s">
        <v>1582</v>
      </c>
      <c r="I1037" s="836">
        <f>TRUNC(G1036/450*G1035*G1037)</f>
        <v>11942</v>
      </c>
      <c r="J1037" s="836"/>
      <c r="K1037" s="276" t="s">
        <v>1602</v>
      </c>
      <c r="L1037" s="33"/>
      <c r="M1037" s="276"/>
      <c r="N1037" s="276"/>
      <c r="O1037" s="110"/>
      <c r="P1037" s="110"/>
      <c r="Q1037" s="277"/>
    </row>
    <row r="1038" spans="1:18" ht="14.25" customHeight="1">
      <c r="A1038" s="273"/>
      <c r="B1038" s="110"/>
      <c r="C1038" s="274"/>
      <c r="D1038" s="279"/>
      <c r="E1038" s="275"/>
      <c r="F1038" s="275"/>
      <c r="G1038" s="121"/>
      <c r="H1038" s="275"/>
      <c r="I1038" s="121"/>
      <c r="J1038" s="121"/>
      <c r="K1038" s="276"/>
      <c r="L1038" s="33"/>
      <c r="M1038" s="276"/>
      <c r="N1038" s="276"/>
      <c r="O1038" s="110"/>
      <c r="P1038" s="110"/>
      <c r="Q1038" s="277"/>
    </row>
    <row r="1039" spans="1:18" ht="14.25" customHeight="1">
      <c r="A1039" s="130"/>
      <c r="B1039" s="110" t="s">
        <v>1592</v>
      </c>
      <c r="C1039" s="110" t="s">
        <v>1198</v>
      </c>
      <c r="D1039" s="110"/>
      <c r="E1039" s="110"/>
      <c r="F1039" s="110"/>
      <c r="G1039" s="110"/>
      <c r="H1039" s="110" t="s">
        <v>1603</v>
      </c>
      <c r="I1039" s="110"/>
      <c r="J1039" s="118">
        <v>2.2999999999999998</v>
      </c>
      <c r="K1039" s="110" t="s">
        <v>1805</v>
      </c>
      <c r="L1039" s="110"/>
      <c r="M1039" s="110"/>
      <c r="N1039" s="110"/>
      <c r="O1039" s="110"/>
      <c r="P1039" s="110"/>
      <c r="Q1039" s="277"/>
    </row>
    <row r="1040" spans="1:18" ht="14.25" customHeight="1">
      <c r="A1040" s="130"/>
      <c r="B1040" s="110"/>
      <c r="C1040" s="110"/>
      <c r="D1040" s="110"/>
      <c r="E1040" s="110"/>
      <c r="F1040" s="110"/>
      <c r="G1040" s="110"/>
      <c r="H1040" s="110"/>
      <c r="I1040" s="110"/>
      <c r="J1040" s="110"/>
      <c r="K1040" s="110"/>
      <c r="L1040" s="110"/>
      <c r="M1040" s="110"/>
      <c r="N1040" s="110"/>
      <c r="O1040" s="110"/>
      <c r="P1040" s="110"/>
      <c r="Q1040" s="277"/>
    </row>
    <row r="1041" spans="1:17" ht="14.25" customHeight="1">
      <c r="A1041" s="130"/>
      <c r="B1041" s="118"/>
      <c r="C1041" s="791" t="s">
        <v>1806</v>
      </c>
      <c r="D1041" s="791" t="s">
        <v>1807</v>
      </c>
      <c r="E1041" s="791"/>
      <c r="F1041" s="791"/>
      <c r="G1041" s="110"/>
      <c r="H1041" s="110"/>
      <c r="I1041" s="110"/>
      <c r="J1041" s="110"/>
      <c r="K1041" s="110"/>
      <c r="L1041" s="110"/>
      <c r="M1041" s="110"/>
      <c r="N1041" s="110"/>
      <c r="O1041" s="110"/>
      <c r="P1041" s="110"/>
      <c r="Q1041" s="277"/>
    </row>
    <row r="1042" spans="1:17" ht="14.25" customHeight="1">
      <c r="A1042" s="130"/>
      <c r="B1042" s="118"/>
      <c r="C1042" s="791"/>
      <c r="D1042" s="843" t="s">
        <v>1583</v>
      </c>
      <c r="E1042" s="843"/>
      <c r="F1042" s="843"/>
      <c r="G1042" s="110"/>
      <c r="H1042" s="110"/>
      <c r="I1042" s="110"/>
      <c r="J1042" s="110"/>
      <c r="K1042" s="110"/>
      <c r="L1042" s="110"/>
      <c r="M1042" s="110"/>
      <c r="N1042" s="110"/>
      <c r="O1042" s="110"/>
      <c r="P1042" s="110"/>
      <c r="Q1042" s="277"/>
    </row>
    <row r="1043" spans="1:17" ht="14.25" customHeight="1">
      <c r="A1043" s="130"/>
      <c r="B1043" s="110"/>
      <c r="C1043" s="110"/>
      <c r="D1043" s="110"/>
      <c r="E1043" s="110"/>
      <c r="F1043" s="110"/>
      <c r="G1043" s="110"/>
      <c r="H1043" s="110"/>
      <c r="I1043" s="110"/>
      <c r="J1043" s="110"/>
      <c r="K1043" s="110"/>
      <c r="L1043" s="110"/>
      <c r="M1043" s="110"/>
      <c r="N1043" s="110"/>
      <c r="O1043" s="110"/>
      <c r="P1043" s="110"/>
      <c r="Q1043" s="277"/>
    </row>
    <row r="1044" spans="1:17" ht="14.25" customHeight="1">
      <c r="A1044" s="130"/>
      <c r="B1044" s="280"/>
      <c r="C1044" s="118" t="s">
        <v>1808</v>
      </c>
      <c r="D1044" s="110" t="s">
        <v>1809</v>
      </c>
      <c r="E1044" s="110"/>
      <c r="F1044" s="110"/>
      <c r="G1044" s="118"/>
      <c r="H1044" s="280"/>
      <c r="I1044" s="118"/>
      <c r="J1044" s="110"/>
      <c r="K1044" s="110"/>
      <c r="L1044" s="110"/>
      <c r="M1044" s="110"/>
      <c r="N1044" s="110"/>
      <c r="O1044" s="110"/>
      <c r="P1044" s="110"/>
      <c r="Q1044" s="277"/>
    </row>
    <row r="1045" spans="1:17" ht="14.25" customHeight="1">
      <c r="A1045" s="130"/>
      <c r="B1045" s="280"/>
      <c r="C1045" s="118" t="s">
        <v>298</v>
      </c>
      <c r="D1045" s="110" t="s">
        <v>299</v>
      </c>
      <c r="E1045" s="118" t="s">
        <v>1526</v>
      </c>
      <c r="F1045" s="281">
        <f>I1030</f>
        <v>2.5</v>
      </c>
      <c r="G1045" s="118" t="s">
        <v>300</v>
      </c>
      <c r="H1045" s="118">
        <f>J1039</f>
        <v>2.2999999999999998</v>
      </c>
      <c r="I1045" s="118" t="s">
        <v>972</v>
      </c>
      <c r="J1045" s="118">
        <v>1.4</v>
      </c>
      <c r="K1045" s="118" t="s">
        <v>1582</v>
      </c>
      <c r="L1045" s="282">
        <f>TRUNC(F1045/H1045*J1045,2)</f>
        <v>1.52</v>
      </c>
      <c r="M1045" s="118" t="s">
        <v>301</v>
      </c>
      <c r="N1045" s="110"/>
      <c r="O1045" s="110"/>
      <c r="P1045" s="110"/>
      <c r="Q1045" s="277"/>
    </row>
    <row r="1046" spans="1:17" ht="14.25" customHeight="1">
      <c r="A1046" s="130"/>
      <c r="B1046" s="280"/>
      <c r="C1046" s="118" t="s">
        <v>302</v>
      </c>
      <c r="D1046" s="110" t="s">
        <v>1156</v>
      </c>
      <c r="E1046" s="110"/>
      <c r="F1046" s="118" t="s">
        <v>1526</v>
      </c>
      <c r="G1046" s="283">
        <f>TRUNC(1/J1046,2)</f>
        <v>0.71</v>
      </c>
      <c r="H1046" s="280" t="s">
        <v>303</v>
      </c>
      <c r="I1046" s="118" t="s">
        <v>300</v>
      </c>
      <c r="J1046" s="118">
        <f>J1045</f>
        <v>1.4</v>
      </c>
      <c r="K1046" s="284" t="s">
        <v>304</v>
      </c>
      <c r="L1046" s="110"/>
      <c r="M1046" s="110"/>
      <c r="N1046" s="110"/>
      <c r="O1046" s="110"/>
      <c r="P1046" s="110"/>
      <c r="Q1046" s="277"/>
    </row>
    <row r="1047" spans="1:17" ht="14.25" customHeight="1">
      <c r="A1047" s="130"/>
      <c r="B1047" s="280"/>
      <c r="C1047" s="118" t="s">
        <v>1703</v>
      </c>
      <c r="D1047" s="110" t="s">
        <v>1207</v>
      </c>
      <c r="E1047" s="110"/>
      <c r="F1047" s="118" t="s">
        <v>1526</v>
      </c>
      <c r="G1047" s="118">
        <v>0.9</v>
      </c>
      <c r="H1047" s="280"/>
      <c r="I1047" s="110"/>
      <c r="J1047" s="110"/>
      <c r="K1047" s="110"/>
      <c r="L1047" s="110"/>
      <c r="M1047" s="110"/>
      <c r="N1047" s="110"/>
      <c r="O1047" s="110"/>
      <c r="P1047" s="110"/>
      <c r="Q1047" s="277"/>
    </row>
    <row r="1048" spans="1:17" ht="14.25" customHeight="1">
      <c r="A1048" s="130"/>
      <c r="B1048" s="280"/>
      <c r="C1048" s="118" t="s">
        <v>1704</v>
      </c>
      <c r="D1048" s="110" t="s">
        <v>1705</v>
      </c>
      <c r="E1048" s="110"/>
      <c r="F1048" s="118"/>
      <c r="G1048" s="275">
        <f>E1059</f>
        <v>30.76</v>
      </c>
      <c r="H1048" s="118" t="s">
        <v>1600</v>
      </c>
      <c r="I1048" s="110"/>
      <c r="J1048" s="110"/>
      <c r="K1048" s="110"/>
      <c r="L1048" s="110"/>
      <c r="M1048" s="110"/>
      <c r="N1048" s="110"/>
      <c r="O1048" s="110"/>
      <c r="P1048" s="110"/>
      <c r="Q1048" s="277"/>
    </row>
    <row r="1049" spans="1:17" ht="14.25" customHeight="1">
      <c r="A1049" s="130"/>
      <c r="B1049" s="280"/>
      <c r="C1049" s="118" t="s">
        <v>1704</v>
      </c>
      <c r="D1049" s="110" t="s">
        <v>3101</v>
      </c>
      <c r="E1049" s="110"/>
      <c r="F1049" s="110"/>
      <c r="G1049" s="110"/>
      <c r="H1049" s="280"/>
      <c r="I1049" s="110"/>
      <c r="J1049" s="110"/>
      <c r="K1049" s="110"/>
      <c r="L1049" s="110"/>
      <c r="M1049" s="110"/>
      <c r="N1049" s="110"/>
      <c r="O1049" s="110"/>
      <c r="P1049" s="110"/>
      <c r="Q1049" s="277"/>
    </row>
    <row r="1050" spans="1:17" ht="14.25" customHeight="1">
      <c r="A1050" s="130"/>
      <c r="B1050" s="110"/>
      <c r="C1050" s="118" t="s">
        <v>1706</v>
      </c>
      <c r="D1050" s="110" t="s">
        <v>1707</v>
      </c>
      <c r="E1050" s="838">
        <f>J1051</f>
        <v>18.240000000000002</v>
      </c>
      <c r="F1050" s="838"/>
      <c r="G1050" s="110" t="s">
        <v>1708</v>
      </c>
      <c r="H1050" s="285"/>
      <c r="I1050" s="118"/>
      <c r="J1050" s="118"/>
      <c r="K1050" s="110"/>
      <c r="L1050" s="118"/>
      <c r="M1050" s="286"/>
      <c r="N1050" s="286"/>
      <c r="O1050" s="118"/>
      <c r="P1050" s="110"/>
      <c r="Q1050" s="277"/>
    </row>
    <row r="1051" spans="1:17" ht="14.25" customHeight="1">
      <c r="A1051" s="130"/>
      <c r="B1051" s="110"/>
      <c r="C1051" s="118" t="s">
        <v>1601</v>
      </c>
      <c r="D1051" s="110" t="s">
        <v>1709</v>
      </c>
      <c r="E1051" s="842">
        <f>G1036</f>
        <v>12</v>
      </c>
      <c r="F1051" s="842"/>
      <c r="G1051" s="118" t="s">
        <v>972</v>
      </c>
      <c r="H1051" s="285">
        <f>L1045</f>
        <v>1.52</v>
      </c>
      <c r="I1051" s="118" t="s">
        <v>380</v>
      </c>
      <c r="J1051" s="118">
        <f>E1051*H1051</f>
        <v>18.240000000000002</v>
      </c>
      <c r="K1051" s="118" t="s">
        <v>1600</v>
      </c>
      <c r="L1051" s="282"/>
      <c r="M1051" s="288"/>
      <c r="N1051" s="286"/>
      <c r="O1051" s="118"/>
      <c r="P1051" s="110"/>
      <c r="Q1051" s="277"/>
    </row>
    <row r="1052" spans="1:17" ht="14.25" customHeight="1">
      <c r="A1052" s="130"/>
      <c r="B1052" s="110"/>
      <c r="C1052" s="118"/>
      <c r="D1052" s="110"/>
      <c r="E1052" s="838"/>
      <c r="F1052" s="838"/>
      <c r="G1052" s="110"/>
      <c r="H1052" s="287"/>
      <c r="I1052" s="118"/>
      <c r="J1052" s="118"/>
      <c r="K1052" s="118"/>
      <c r="L1052" s="118"/>
      <c r="M1052" s="286"/>
      <c r="N1052" s="286"/>
      <c r="O1052" s="118"/>
      <c r="P1052" s="110"/>
      <c r="Q1052" s="277"/>
    </row>
    <row r="1053" spans="1:17" ht="14.25" customHeight="1">
      <c r="A1053" s="130"/>
      <c r="B1053" s="110"/>
      <c r="C1053" s="118" t="s">
        <v>2110</v>
      </c>
      <c r="D1053" s="110" t="s">
        <v>381</v>
      </c>
      <c r="E1053" s="840">
        <f>J1055</f>
        <v>10.8</v>
      </c>
      <c r="F1053" s="791"/>
      <c r="G1053" s="110" t="s">
        <v>382</v>
      </c>
      <c r="H1053" s="118"/>
      <c r="I1053" s="110"/>
      <c r="J1053" s="110"/>
      <c r="K1053" s="110"/>
      <c r="L1053" s="118"/>
      <c r="M1053" s="118"/>
      <c r="N1053" s="118"/>
      <c r="O1053" s="110"/>
      <c r="P1053" s="110"/>
      <c r="Q1053" s="277"/>
    </row>
    <row r="1054" spans="1:17" ht="14.25" customHeight="1">
      <c r="A1054" s="130"/>
      <c r="B1054" s="110"/>
      <c r="C1054" s="280" t="s">
        <v>2111</v>
      </c>
      <c r="D1054" s="118">
        <f>H1033</f>
        <v>2</v>
      </c>
      <c r="E1054" s="118" t="s">
        <v>300</v>
      </c>
      <c r="F1054" s="118">
        <f>K1033</f>
        <v>20</v>
      </c>
      <c r="G1054" s="110" t="s">
        <v>383</v>
      </c>
      <c r="H1054" s="118">
        <f>H1033</f>
        <v>2</v>
      </c>
      <c r="I1054" s="118" t="s">
        <v>300</v>
      </c>
      <c r="J1054" s="118">
        <f>O1033</f>
        <v>25</v>
      </c>
      <c r="K1054" s="118" t="s">
        <v>304</v>
      </c>
      <c r="L1054" s="118"/>
      <c r="M1054" s="118"/>
      <c r="N1054" s="118"/>
      <c r="O1054" s="110"/>
      <c r="P1054" s="110"/>
      <c r="Q1054" s="277"/>
    </row>
    <row r="1055" spans="1:17" ht="14.25" customHeight="1">
      <c r="A1055" s="130"/>
      <c r="B1055" s="110"/>
      <c r="C1055" s="118"/>
      <c r="D1055" s="280" t="s">
        <v>1582</v>
      </c>
      <c r="E1055" s="791">
        <f>(D1054/F1054)+(H1054/J1054)</f>
        <v>0.18</v>
      </c>
      <c r="F1055" s="791"/>
      <c r="G1055" s="110" t="s">
        <v>384</v>
      </c>
      <c r="H1055" s="118">
        <v>60</v>
      </c>
      <c r="I1055" s="118" t="s">
        <v>1582</v>
      </c>
      <c r="J1055" s="283">
        <f>TRUNC(E1055*H1055,2)</f>
        <v>10.8</v>
      </c>
      <c r="K1055" s="286" t="s">
        <v>1600</v>
      </c>
      <c r="L1055" s="110"/>
      <c r="M1055" s="110"/>
      <c r="N1055" s="118"/>
      <c r="O1055" s="110"/>
      <c r="P1055" s="110"/>
      <c r="Q1055" s="277"/>
    </row>
    <row r="1056" spans="1:17" ht="14.25" customHeight="1">
      <c r="A1056" s="130"/>
      <c r="B1056" s="110"/>
      <c r="C1056" s="118" t="s">
        <v>2113</v>
      </c>
      <c r="D1056" s="110" t="s">
        <v>385</v>
      </c>
      <c r="E1056" s="840">
        <v>0.8</v>
      </c>
      <c r="F1056" s="840"/>
      <c r="G1056" s="110" t="s">
        <v>386</v>
      </c>
      <c r="H1056" s="118"/>
      <c r="I1056" s="110"/>
      <c r="J1056" s="118"/>
      <c r="K1056" s="110"/>
      <c r="L1056" s="110"/>
      <c r="M1056" s="110"/>
      <c r="N1056" s="110"/>
      <c r="O1056" s="110"/>
      <c r="P1056" s="110"/>
      <c r="Q1056" s="277"/>
    </row>
    <row r="1057" spans="1:17" ht="14.25" customHeight="1">
      <c r="A1057" s="130"/>
      <c r="B1057" s="110"/>
      <c r="C1057" s="118" t="s">
        <v>2114</v>
      </c>
      <c r="D1057" s="110" t="s">
        <v>387</v>
      </c>
      <c r="E1057" s="791">
        <v>0.42</v>
      </c>
      <c r="F1057" s="791"/>
      <c r="G1057" s="110" t="s">
        <v>388</v>
      </c>
      <c r="H1057" s="118"/>
      <c r="I1057" s="110"/>
      <c r="J1057" s="110"/>
      <c r="K1057" s="110"/>
      <c r="L1057" s="110"/>
      <c r="M1057" s="118"/>
      <c r="N1057" s="118"/>
      <c r="O1057" s="110"/>
      <c r="P1057" s="110"/>
      <c r="Q1057" s="277"/>
    </row>
    <row r="1058" spans="1:17" ht="14.25" customHeight="1">
      <c r="A1058" s="130"/>
      <c r="B1058" s="110"/>
      <c r="C1058" s="118" t="s">
        <v>3102</v>
      </c>
      <c r="D1058" s="110" t="s">
        <v>389</v>
      </c>
      <c r="E1058" s="791">
        <v>0.5</v>
      </c>
      <c r="F1058" s="791"/>
      <c r="G1058" s="110" t="s">
        <v>390</v>
      </c>
      <c r="H1058" s="110"/>
      <c r="I1058" s="110"/>
      <c r="J1058" s="110"/>
      <c r="K1058" s="110"/>
      <c r="L1058" s="110"/>
      <c r="M1058" s="110"/>
      <c r="N1058" s="110"/>
      <c r="O1058" s="110"/>
      <c r="P1058" s="110"/>
      <c r="Q1058" s="277"/>
    </row>
    <row r="1059" spans="1:17" ht="14.25" customHeight="1">
      <c r="A1059" s="130"/>
      <c r="B1059" s="110"/>
      <c r="C1059" s="118"/>
      <c r="D1059" s="118" t="s">
        <v>1454</v>
      </c>
      <c r="E1059" s="840">
        <f>TRUNC(E1050+E1053+E1056+E1057+E1058,2)</f>
        <v>30.76</v>
      </c>
      <c r="F1059" s="840"/>
      <c r="G1059" s="110" t="s">
        <v>1600</v>
      </c>
      <c r="H1059" s="110"/>
      <c r="I1059" s="110"/>
      <c r="J1059" s="110"/>
      <c r="K1059" s="110"/>
      <c r="L1059" s="110"/>
      <c r="M1059" s="110"/>
      <c r="N1059" s="110"/>
      <c r="O1059" s="110"/>
      <c r="P1059" s="110"/>
      <c r="Q1059" s="277"/>
    </row>
    <row r="1060" spans="1:17" ht="14.25" customHeight="1">
      <c r="A1060" s="130"/>
      <c r="B1060" s="110"/>
      <c r="C1060" s="118"/>
      <c r="D1060" s="118"/>
      <c r="E1060" s="286"/>
      <c r="F1060" s="286"/>
      <c r="G1060" s="110"/>
      <c r="H1060" s="110"/>
      <c r="I1060" s="110"/>
      <c r="J1060" s="110"/>
      <c r="K1060" s="110"/>
      <c r="L1060" s="110"/>
      <c r="M1060" s="110"/>
      <c r="N1060" s="110"/>
      <c r="O1060" s="110"/>
      <c r="P1060" s="110"/>
      <c r="Q1060" s="277"/>
    </row>
    <row r="1061" spans="1:17" ht="14.25" customHeight="1">
      <c r="A1061" s="130"/>
      <c r="B1061" s="118"/>
      <c r="C1061" s="118"/>
      <c r="D1061" s="110"/>
      <c r="E1061" s="118"/>
      <c r="F1061" s="110"/>
      <c r="G1061" s="110"/>
      <c r="H1061" s="110"/>
      <c r="I1061" s="110"/>
      <c r="J1061" s="110"/>
      <c r="K1061" s="110"/>
      <c r="L1061" s="110"/>
      <c r="M1061" s="110"/>
      <c r="N1061" s="110"/>
      <c r="O1061" s="110"/>
      <c r="P1061" s="110"/>
      <c r="Q1061" s="277"/>
    </row>
    <row r="1062" spans="1:17" ht="14.25" customHeight="1">
      <c r="A1062" s="130" t="s">
        <v>391</v>
      </c>
      <c r="B1062" s="110" t="s">
        <v>392</v>
      </c>
      <c r="C1062" s="118"/>
      <c r="D1062" s="110"/>
      <c r="E1062" s="118"/>
      <c r="F1062" s="110"/>
      <c r="G1062" s="110"/>
      <c r="H1062" s="110"/>
      <c r="I1062" s="110"/>
      <c r="J1062" s="110"/>
      <c r="K1062" s="110"/>
      <c r="L1062" s="110"/>
      <c r="M1062" s="110"/>
      <c r="N1062" s="110"/>
      <c r="O1062" s="110"/>
      <c r="P1062" s="110"/>
      <c r="Q1062" s="277"/>
    </row>
    <row r="1063" spans="1:17" ht="14.25" customHeight="1">
      <c r="A1063" s="130"/>
      <c r="B1063" s="118"/>
      <c r="C1063" s="118"/>
      <c r="D1063" s="110"/>
      <c r="E1063" s="118"/>
      <c r="F1063" s="110"/>
      <c r="G1063" s="110"/>
      <c r="H1063" s="110"/>
      <c r="I1063" s="110"/>
      <c r="J1063" s="110"/>
      <c r="K1063" s="110"/>
      <c r="L1063" s="110"/>
      <c r="M1063" s="110"/>
      <c r="N1063" s="110"/>
      <c r="O1063" s="110"/>
      <c r="P1063" s="110"/>
      <c r="Q1063" s="277"/>
    </row>
    <row r="1064" spans="1:17" ht="14.25" customHeight="1">
      <c r="A1064" s="130"/>
      <c r="B1064" s="280"/>
      <c r="C1064" s="110"/>
      <c r="D1064" s="110"/>
      <c r="E1064" s="110"/>
      <c r="F1064" s="110"/>
      <c r="G1064" s="110"/>
      <c r="H1064" s="110"/>
      <c r="I1064" s="110"/>
      <c r="J1064" s="110"/>
      <c r="K1064" s="110"/>
      <c r="L1064" s="110"/>
      <c r="M1064" s="110"/>
      <c r="N1064" s="110"/>
      <c r="O1064" s="110"/>
      <c r="P1064" s="110"/>
      <c r="Q1064" s="277"/>
    </row>
    <row r="1065" spans="1:17" ht="14.25" customHeight="1">
      <c r="A1065" s="841"/>
      <c r="B1065" s="791" t="s">
        <v>1111</v>
      </c>
      <c r="C1065" s="791" t="s">
        <v>1582</v>
      </c>
      <c r="D1065" s="280" t="s">
        <v>393</v>
      </c>
      <c r="E1065" s="318">
        <f>G1046</f>
        <v>0.71</v>
      </c>
      <c r="F1065" s="118" t="s">
        <v>972</v>
      </c>
      <c r="G1065" s="282">
        <f>L1045</f>
        <v>1.52</v>
      </c>
      <c r="H1065" s="118" t="s">
        <v>972</v>
      </c>
      <c r="I1065" s="118">
        <f>G1047</f>
        <v>0.9</v>
      </c>
      <c r="J1065" s="791" t="s">
        <v>1582</v>
      </c>
      <c r="K1065" s="837">
        <f>TRUNC(E1065*G1065*I1065*60,3)</f>
        <v>58.276000000000003</v>
      </c>
      <c r="L1065" s="837"/>
      <c r="M1065" s="791" t="s">
        <v>1582</v>
      </c>
      <c r="N1065" s="838">
        <f>TRUNC(K1065/K1066,2)</f>
        <v>1.89</v>
      </c>
      <c r="O1065" s="838"/>
      <c r="P1065" s="110" t="s">
        <v>301</v>
      </c>
      <c r="Q1065" s="277"/>
    </row>
    <row r="1066" spans="1:17" ht="14.25" customHeight="1">
      <c r="A1066" s="841"/>
      <c r="B1066" s="791"/>
      <c r="C1066" s="791"/>
      <c r="D1066" s="839">
        <f>G1048</f>
        <v>30.76</v>
      </c>
      <c r="E1066" s="839"/>
      <c r="F1066" s="839"/>
      <c r="G1066" s="839"/>
      <c r="H1066" s="839"/>
      <c r="I1066" s="839"/>
      <c r="J1066" s="791"/>
      <c r="K1066" s="839">
        <f>D1066</f>
        <v>30.76</v>
      </c>
      <c r="L1066" s="839"/>
      <c r="M1066" s="791"/>
      <c r="N1066" s="838"/>
      <c r="O1066" s="838"/>
      <c r="P1066" s="110"/>
      <c r="Q1066" s="277" t="s">
        <v>394</v>
      </c>
    </row>
    <row r="1067" spans="1:17" ht="14.25" customHeight="1">
      <c r="A1067" s="130"/>
      <c r="B1067" s="110"/>
      <c r="C1067" s="110"/>
      <c r="D1067" s="110"/>
      <c r="E1067" s="110"/>
      <c r="F1067" s="110"/>
      <c r="G1067" s="110"/>
      <c r="H1067" s="110"/>
      <c r="I1067" s="110"/>
      <c r="J1067" s="110"/>
      <c r="K1067" s="110"/>
      <c r="L1067" s="110"/>
      <c r="M1067" s="110"/>
      <c r="N1067" s="110"/>
      <c r="O1067" s="110"/>
      <c r="P1067" s="110"/>
      <c r="Q1067" s="277"/>
    </row>
    <row r="1068" spans="1:17" ht="14.25" customHeight="1">
      <c r="A1068" s="130"/>
      <c r="B1068" s="110"/>
      <c r="C1068" s="110"/>
      <c r="D1068" s="110"/>
      <c r="E1068" s="110"/>
      <c r="F1068" s="110"/>
      <c r="G1068" s="110"/>
      <c r="H1068" s="110"/>
      <c r="I1068" s="110"/>
      <c r="J1068" s="110"/>
      <c r="K1068" s="110"/>
      <c r="L1068" s="110"/>
      <c r="M1068" s="110"/>
      <c r="N1068" s="110"/>
      <c r="O1068" s="110"/>
      <c r="P1068" s="110"/>
      <c r="Q1068" s="277"/>
    </row>
    <row r="1069" spans="1:17" ht="14.25" customHeight="1">
      <c r="A1069" s="130"/>
      <c r="B1069" s="110"/>
      <c r="C1069" s="110"/>
      <c r="D1069" s="110" t="s">
        <v>395</v>
      </c>
      <c r="E1069" s="110"/>
      <c r="F1069" s="835">
        <f>중기사용료!$M$473</f>
        <v>4461</v>
      </c>
      <c r="G1069" s="835"/>
      <c r="H1069" s="286" t="s">
        <v>975</v>
      </c>
      <c r="I1069" s="118" t="s">
        <v>300</v>
      </c>
      <c r="J1069" s="282">
        <f>N1065</f>
        <v>1.89</v>
      </c>
      <c r="K1069" s="282" t="s">
        <v>1582</v>
      </c>
      <c r="L1069" s="121">
        <f>TRUNC(F1069/J1069)</f>
        <v>2360</v>
      </c>
      <c r="M1069" s="118" t="s">
        <v>975</v>
      </c>
      <c r="N1069" s="160"/>
      <c r="O1069" s="110"/>
      <c r="P1069" s="110"/>
      <c r="Q1069" s="277"/>
    </row>
    <row r="1070" spans="1:17" ht="14.25" customHeight="1">
      <c r="A1070" s="130"/>
      <c r="B1070" s="110"/>
      <c r="C1070" s="118"/>
      <c r="D1070" s="110"/>
      <c r="E1070" s="290"/>
      <c r="F1070" s="291"/>
      <c r="G1070" s="291"/>
      <c r="H1070" s="118"/>
      <c r="I1070" s="110"/>
      <c r="J1070" s="118"/>
      <c r="K1070" s="285"/>
      <c r="L1070" s="121"/>
      <c r="M1070" s="118"/>
      <c r="N1070" s="160"/>
      <c r="O1070" s="110"/>
      <c r="P1070" s="110"/>
      <c r="Q1070" s="277"/>
    </row>
    <row r="1071" spans="1:17" ht="14.25" customHeight="1">
      <c r="A1071" s="130"/>
      <c r="B1071" s="110"/>
      <c r="C1071" s="110"/>
      <c r="D1071" s="110" t="s">
        <v>396</v>
      </c>
      <c r="E1071" s="110"/>
      <c r="F1071" s="835">
        <f>중기사용료!$M$467</f>
        <v>24483</v>
      </c>
      <c r="G1071" s="835"/>
      <c r="H1071" s="286" t="s">
        <v>975</v>
      </c>
      <c r="I1071" s="118" t="s">
        <v>300</v>
      </c>
      <c r="J1071" s="282">
        <f>N1065</f>
        <v>1.89</v>
      </c>
      <c r="K1071" s="282" t="s">
        <v>397</v>
      </c>
      <c r="L1071" s="33">
        <f>I1037</f>
        <v>11942</v>
      </c>
      <c r="M1071" s="118" t="s">
        <v>1582</v>
      </c>
      <c r="N1071" s="836">
        <f>TRUNC(F1071/J1071+L1071)</f>
        <v>24895</v>
      </c>
      <c r="O1071" s="836"/>
      <c r="P1071" s="836"/>
      <c r="Q1071" s="277" t="s">
        <v>975</v>
      </c>
    </row>
    <row r="1072" spans="1:17" ht="14.25" customHeight="1">
      <c r="A1072" s="130"/>
      <c r="B1072" s="110"/>
      <c r="C1072" s="118"/>
      <c r="D1072" s="110"/>
      <c r="E1072" s="290"/>
      <c r="F1072" s="291"/>
      <c r="G1072" s="291"/>
      <c r="H1072" s="118"/>
      <c r="I1072" s="110"/>
      <c r="J1072" s="118"/>
      <c r="K1072" s="285"/>
      <c r="L1072" s="121"/>
      <c r="M1072" s="118"/>
      <c r="N1072" s="160"/>
      <c r="O1072" s="110"/>
      <c r="P1072" s="110"/>
      <c r="Q1072" s="277"/>
    </row>
    <row r="1073" spans="1:18" ht="14.25" customHeight="1">
      <c r="A1073" s="130"/>
      <c r="B1073" s="110"/>
      <c r="C1073" s="110"/>
      <c r="D1073" s="110" t="s">
        <v>398</v>
      </c>
      <c r="E1073" s="110"/>
      <c r="F1073" s="835">
        <f>중기사용료!$M$461</f>
        <v>5567</v>
      </c>
      <c r="G1073" s="835"/>
      <c r="H1073" s="118" t="s">
        <v>975</v>
      </c>
      <c r="I1073" s="118" t="s">
        <v>300</v>
      </c>
      <c r="J1073" s="282">
        <f>N1065</f>
        <v>1.89</v>
      </c>
      <c r="K1073" s="282" t="s">
        <v>1582</v>
      </c>
      <c r="L1073" s="121">
        <f>TRUNC(F1073/J1073)</f>
        <v>2945</v>
      </c>
      <c r="M1073" s="121" t="s">
        <v>975</v>
      </c>
      <c r="N1073" s="160"/>
      <c r="O1073" s="110"/>
      <c r="P1073" s="110"/>
      <c r="Q1073" s="277"/>
      <c r="R1073" s="272" t="s">
        <v>1436</v>
      </c>
    </row>
    <row r="1074" spans="1:18" ht="14.25" customHeight="1">
      <c r="A1074" s="130"/>
      <c r="B1074" s="110"/>
      <c r="C1074" s="118"/>
      <c r="D1074" s="110"/>
      <c r="E1074" s="110"/>
      <c r="F1074" s="110"/>
      <c r="G1074" s="110"/>
      <c r="H1074" s="110"/>
      <c r="I1074" s="110"/>
      <c r="J1074" s="110"/>
      <c r="K1074" s="110"/>
      <c r="L1074" s="110"/>
      <c r="M1074" s="118"/>
      <c r="N1074" s="291"/>
      <c r="O1074" s="110"/>
      <c r="P1074" s="110"/>
      <c r="Q1074" s="277"/>
    </row>
    <row r="1075" spans="1:18" s="302" customFormat="1" ht="14.25" customHeight="1">
      <c r="A1075" s="162"/>
      <c r="B1075" s="164"/>
      <c r="C1075" s="164"/>
      <c r="D1075" s="164"/>
      <c r="E1075" s="164"/>
      <c r="F1075" s="299"/>
      <c r="G1075" s="299"/>
      <c r="H1075" s="299"/>
      <c r="I1075" s="165"/>
      <c r="J1075" s="164"/>
      <c r="K1075" s="165" t="s">
        <v>1454</v>
      </c>
      <c r="L1075" s="292">
        <f>SUM(L1069,N1071,L1073)</f>
        <v>30200</v>
      </c>
      <c r="M1075" s="164" t="s">
        <v>975</v>
      </c>
      <c r="N1075" s="300"/>
      <c r="O1075" s="300"/>
      <c r="P1075" s="164"/>
      <c r="Q1075" s="301"/>
      <c r="R1075" s="272"/>
    </row>
    <row r="1076" spans="1:18" ht="14.25" customHeight="1">
      <c r="A1076" s="130"/>
      <c r="B1076" s="110"/>
      <c r="C1076" s="110"/>
      <c r="D1076" s="110"/>
      <c r="E1076" s="110"/>
      <c r="F1076" s="110"/>
      <c r="G1076" s="110"/>
      <c r="H1076" s="110"/>
      <c r="I1076" s="110"/>
      <c r="J1076" s="110"/>
      <c r="K1076" s="110"/>
      <c r="L1076" s="110"/>
      <c r="M1076" s="110"/>
      <c r="N1076" s="110"/>
      <c r="O1076" s="110"/>
      <c r="P1076" s="110"/>
      <c r="Q1076" s="277"/>
    </row>
    <row r="1077" spans="1:18" ht="14.25" customHeight="1">
      <c r="A1077" s="130"/>
      <c r="B1077" s="110"/>
      <c r="C1077" s="110"/>
      <c r="D1077" s="110"/>
      <c r="E1077" s="110"/>
      <c r="F1077" s="110"/>
      <c r="G1077" s="110"/>
      <c r="H1077" s="110"/>
      <c r="I1077" s="110"/>
      <c r="J1077" s="110"/>
      <c r="K1077" s="110"/>
      <c r="L1077" s="110"/>
      <c r="M1077" s="110"/>
      <c r="N1077" s="110"/>
      <c r="O1077" s="110"/>
      <c r="P1077" s="110"/>
      <c r="Q1077" s="277"/>
    </row>
    <row r="1078" spans="1:18" ht="14.25" customHeight="1">
      <c r="A1078" s="135"/>
      <c r="B1078" s="138"/>
      <c r="C1078" s="138"/>
      <c r="D1078" s="138"/>
      <c r="E1078" s="138"/>
      <c r="F1078" s="138"/>
      <c r="G1078" s="138"/>
      <c r="H1078" s="138"/>
      <c r="I1078" s="138"/>
      <c r="J1078" s="138"/>
      <c r="K1078" s="138"/>
      <c r="L1078" s="138"/>
      <c r="M1078" s="138"/>
      <c r="N1078" s="138"/>
      <c r="O1078" s="138"/>
      <c r="P1078" s="138"/>
      <c r="Q1078" s="293"/>
    </row>
    <row r="1079" spans="1:18" s="265" customFormat="1" ht="14.25" customHeight="1">
      <c r="A1079" s="260"/>
      <c r="B1079" s="261" t="s">
        <v>1764</v>
      </c>
      <c r="C1079" s="262"/>
      <c r="D1079" s="262"/>
      <c r="E1079" s="262"/>
      <c r="F1079" s="262"/>
      <c r="G1079" s="262"/>
      <c r="H1079" s="263" t="s">
        <v>1418</v>
      </c>
      <c r="I1079" s="263">
        <v>20</v>
      </c>
      <c r="J1079" s="262" t="s">
        <v>1193</v>
      </c>
      <c r="K1079" s="262" t="s">
        <v>1765</v>
      </c>
      <c r="L1079" s="262"/>
      <c r="M1079" s="262"/>
      <c r="N1079" s="262"/>
      <c r="O1079" s="261"/>
      <c r="P1079" s="261"/>
      <c r="Q1079" s="264"/>
      <c r="R1079" s="265" t="s">
        <v>3299</v>
      </c>
    </row>
    <row r="1080" spans="1:18" ht="14.25" customHeight="1">
      <c r="A1080" s="266"/>
      <c r="B1080" s="126"/>
      <c r="C1080" s="126"/>
      <c r="D1080" s="126"/>
      <c r="E1080" s="267"/>
      <c r="F1080" s="267"/>
      <c r="G1080" s="268"/>
      <c r="H1080" s="267"/>
      <c r="I1080" s="267"/>
      <c r="J1080" s="267"/>
      <c r="K1080" s="267"/>
      <c r="L1080" s="269"/>
      <c r="M1080" s="270"/>
      <c r="N1080" s="270"/>
      <c r="O1080" s="126"/>
      <c r="P1080" s="126"/>
      <c r="Q1080" s="271"/>
    </row>
    <row r="1081" spans="1:18" ht="14.25" customHeight="1">
      <c r="A1081" s="273"/>
      <c r="B1081" s="110" t="s">
        <v>1592</v>
      </c>
      <c r="C1081" s="33" t="s">
        <v>1593</v>
      </c>
      <c r="D1081" s="274"/>
      <c r="E1081" s="275"/>
      <c r="F1081" s="275"/>
      <c r="G1081" s="121"/>
      <c r="H1081" s="275"/>
      <c r="I1081" s="275"/>
      <c r="J1081" s="275"/>
      <c r="K1081" s="275"/>
      <c r="L1081" s="33"/>
      <c r="M1081" s="276"/>
      <c r="N1081" s="276"/>
      <c r="O1081" s="110"/>
      <c r="P1081" s="110"/>
      <c r="Q1081" s="277"/>
    </row>
    <row r="1082" spans="1:18" ht="14.25" customHeight="1">
      <c r="A1082" s="273"/>
      <c r="B1082" s="118"/>
      <c r="C1082" s="110"/>
      <c r="D1082" s="110"/>
      <c r="E1082" s="110"/>
      <c r="F1082" s="110"/>
      <c r="G1082" s="275" t="s">
        <v>1594</v>
      </c>
      <c r="H1082" s="275">
        <v>10</v>
      </c>
      <c r="I1082" s="275" t="s">
        <v>1595</v>
      </c>
      <c r="J1082" s="274" t="s">
        <v>1596</v>
      </c>
      <c r="K1082" s="110">
        <v>20</v>
      </c>
      <c r="L1082" s="110" t="s">
        <v>1595</v>
      </c>
      <c r="M1082" s="33" t="s">
        <v>1597</v>
      </c>
      <c r="N1082" s="118"/>
      <c r="O1082" s="110">
        <v>25</v>
      </c>
      <c r="P1082" s="275" t="s">
        <v>1595</v>
      </c>
      <c r="Q1082" s="277"/>
    </row>
    <row r="1083" spans="1:18" ht="14.25" customHeight="1">
      <c r="A1083" s="273"/>
      <c r="B1083" s="110"/>
      <c r="C1083" s="110"/>
      <c r="D1083" s="110"/>
      <c r="E1083" s="110"/>
      <c r="F1083" s="110"/>
      <c r="G1083" s="110"/>
      <c r="H1083" s="110"/>
      <c r="I1083" s="110"/>
      <c r="J1083" s="110"/>
      <c r="K1083" s="110"/>
      <c r="L1083" s="110"/>
      <c r="M1083" s="110"/>
      <c r="N1083" s="110"/>
      <c r="O1083" s="110"/>
      <c r="P1083" s="110"/>
      <c r="Q1083" s="277"/>
    </row>
    <row r="1084" spans="1:18" ht="14.25" customHeight="1">
      <c r="A1084" s="273"/>
      <c r="B1084" s="118"/>
      <c r="C1084" s="110"/>
      <c r="D1084" s="110"/>
      <c r="E1084" s="110"/>
      <c r="F1084" s="110"/>
      <c r="G1084" s="275"/>
      <c r="H1084" s="278"/>
      <c r="I1084" s="275"/>
      <c r="J1084" s="274"/>
      <c r="K1084" s="110"/>
      <c r="L1084" s="110"/>
      <c r="M1084" s="33"/>
      <c r="N1084" s="118"/>
      <c r="O1084" s="110"/>
      <c r="P1084" s="275"/>
      <c r="Q1084" s="277"/>
    </row>
    <row r="1085" spans="1:18" ht="14.25" customHeight="1">
      <c r="A1085" s="273"/>
      <c r="B1085" s="110"/>
      <c r="C1085" s="274"/>
      <c r="D1085" s="33"/>
      <c r="E1085" s="275"/>
      <c r="F1085" s="275"/>
      <c r="G1085" s="121"/>
      <c r="H1085" s="278"/>
      <c r="I1085" s="275"/>
      <c r="J1085" s="275"/>
      <c r="K1085" s="275"/>
      <c r="L1085" s="33"/>
      <c r="M1085" s="276"/>
      <c r="N1085" s="276"/>
      <c r="O1085" s="110"/>
      <c r="P1085" s="110"/>
      <c r="Q1085" s="277"/>
    </row>
    <row r="1086" spans="1:18" ht="14.25" customHeight="1">
      <c r="A1086" s="273"/>
      <c r="B1086" s="110"/>
      <c r="C1086" s="274"/>
      <c r="D1086" s="279"/>
      <c r="E1086" s="275"/>
      <c r="F1086" s="275"/>
      <c r="G1086" s="121"/>
      <c r="H1086" s="275"/>
      <c r="I1086" s="836"/>
      <c r="J1086" s="836"/>
      <c r="K1086" s="276"/>
      <c r="L1086" s="33"/>
      <c r="M1086" s="276"/>
      <c r="N1086" s="276"/>
      <c r="O1086" s="110"/>
      <c r="P1086" s="110"/>
      <c r="Q1086" s="277"/>
    </row>
    <row r="1087" spans="1:18" ht="14.25" customHeight="1">
      <c r="A1087" s="273"/>
      <c r="B1087" s="110"/>
      <c r="C1087" s="274"/>
      <c r="D1087" s="279"/>
      <c r="E1087" s="275"/>
      <c r="F1087" s="275"/>
      <c r="G1087" s="121"/>
      <c r="H1087" s="275"/>
      <c r="I1087" s="121"/>
      <c r="J1087" s="121"/>
      <c r="K1087" s="276"/>
      <c r="L1087" s="33"/>
      <c r="M1087" s="276"/>
      <c r="N1087" s="276"/>
      <c r="O1087" s="110"/>
      <c r="P1087" s="110"/>
      <c r="Q1087" s="277"/>
    </row>
    <row r="1088" spans="1:18" ht="14.25" customHeight="1">
      <c r="A1088" s="130"/>
      <c r="B1088" s="110" t="s">
        <v>1592</v>
      </c>
      <c r="C1088" s="110" t="s">
        <v>1198</v>
      </c>
      <c r="D1088" s="110"/>
      <c r="E1088" s="110"/>
      <c r="F1088" s="110"/>
      <c r="G1088" s="110"/>
      <c r="H1088" s="110" t="s">
        <v>1603</v>
      </c>
      <c r="I1088" s="110"/>
      <c r="J1088" s="118">
        <v>2.2999999999999998</v>
      </c>
      <c r="K1088" s="110" t="s">
        <v>1805</v>
      </c>
      <c r="L1088" s="110"/>
      <c r="M1088" s="110"/>
      <c r="N1088" s="110"/>
      <c r="O1088" s="110"/>
      <c r="P1088" s="110"/>
      <c r="Q1088" s="277"/>
    </row>
    <row r="1089" spans="1:17" ht="14.25" customHeight="1">
      <c r="A1089" s="130"/>
      <c r="B1089" s="110"/>
      <c r="C1089" s="110"/>
      <c r="D1089" s="110"/>
      <c r="E1089" s="110"/>
      <c r="F1089" s="110"/>
      <c r="G1089" s="110"/>
      <c r="H1089" s="110"/>
      <c r="I1089" s="110"/>
      <c r="J1089" s="110"/>
      <c r="K1089" s="110"/>
      <c r="L1089" s="110"/>
      <c r="M1089" s="110"/>
      <c r="N1089" s="110"/>
      <c r="O1089" s="110"/>
      <c r="P1089" s="110"/>
      <c r="Q1089" s="277"/>
    </row>
    <row r="1090" spans="1:17" ht="14.25" customHeight="1">
      <c r="A1090" s="130"/>
      <c r="B1090" s="118"/>
      <c r="C1090" s="791" t="s">
        <v>1806</v>
      </c>
      <c r="D1090" s="791" t="s">
        <v>1807</v>
      </c>
      <c r="E1090" s="791"/>
      <c r="F1090" s="791"/>
      <c r="G1090" s="110"/>
      <c r="H1090" s="110"/>
      <c r="I1090" s="110"/>
      <c r="J1090" s="110"/>
      <c r="K1090" s="110"/>
      <c r="L1090" s="110"/>
      <c r="M1090" s="110"/>
      <c r="N1090" s="110"/>
      <c r="O1090" s="110"/>
      <c r="P1090" s="110"/>
      <c r="Q1090" s="277"/>
    </row>
    <row r="1091" spans="1:17" ht="14.25" customHeight="1">
      <c r="A1091" s="130"/>
      <c r="B1091" s="118"/>
      <c r="C1091" s="791"/>
      <c r="D1091" s="843" t="s">
        <v>1583</v>
      </c>
      <c r="E1091" s="843"/>
      <c r="F1091" s="843"/>
      <c r="G1091" s="110"/>
      <c r="H1091" s="110"/>
      <c r="I1091" s="110"/>
      <c r="J1091" s="110"/>
      <c r="K1091" s="110"/>
      <c r="L1091" s="110"/>
      <c r="M1091" s="110"/>
      <c r="N1091" s="110"/>
      <c r="O1091" s="110"/>
      <c r="P1091" s="110"/>
      <c r="Q1091" s="277"/>
    </row>
    <row r="1092" spans="1:17" ht="14.25" customHeight="1">
      <c r="A1092" s="130"/>
      <c r="B1092" s="110"/>
      <c r="C1092" s="110"/>
      <c r="D1092" s="110"/>
      <c r="E1092" s="110"/>
      <c r="F1092" s="110"/>
      <c r="G1092" s="110"/>
      <c r="H1092" s="110"/>
      <c r="I1092" s="110"/>
      <c r="J1092" s="110"/>
      <c r="K1092" s="110"/>
      <c r="L1092" s="110"/>
      <c r="M1092" s="110"/>
      <c r="N1092" s="110"/>
      <c r="O1092" s="110"/>
      <c r="P1092" s="110"/>
      <c r="Q1092" s="277"/>
    </row>
    <row r="1093" spans="1:17" ht="14.25" customHeight="1">
      <c r="A1093" s="130"/>
      <c r="B1093" s="280"/>
      <c r="C1093" s="118" t="s">
        <v>1808</v>
      </c>
      <c r="D1093" s="110" t="s">
        <v>1809</v>
      </c>
      <c r="E1093" s="110"/>
      <c r="F1093" s="110"/>
      <c r="G1093" s="118"/>
      <c r="H1093" s="280"/>
      <c r="I1093" s="118"/>
      <c r="J1093" s="110"/>
      <c r="K1093" s="110"/>
      <c r="L1093" s="110"/>
      <c r="M1093" s="110"/>
      <c r="N1093" s="110"/>
      <c r="O1093" s="110"/>
      <c r="P1093" s="110"/>
      <c r="Q1093" s="277"/>
    </row>
    <row r="1094" spans="1:17" ht="14.25" customHeight="1">
      <c r="A1094" s="130"/>
      <c r="B1094" s="280"/>
      <c r="C1094" s="118" t="s">
        <v>298</v>
      </c>
      <c r="D1094" s="110" t="s">
        <v>299</v>
      </c>
      <c r="E1094" s="118"/>
      <c r="F1094" s="329"/>
      <c r="G1094" s="118"/>
      <c r="H1094" s="118"/>
      <c r="I1094" s="118"/>
      <c r="J1094" s="118"/>
      <c r="K1094" s="118"/>
      <c r="L1094" s="282"/>
      <c r="M1094" s="118"/>
      <c r="N1094" s="110"/>
      <c r="O1094" s="110"/>
      <c r="P1094" s="110"/>
      <c r="Q1094" s="277"/>
    </row>
    <row r="1095" spans="1:17" ht="14.25" customHeight="1">
      <c r="A1095" s="130"/>
      <c r="B1095" s="280"/>
      <c r="C1095" s="118" t="s">
        <v>302</v>
      </c>
      <c r="D1095" s="110" t="s">
        <v>1156</v>
      </c>
      <c r="E1095" s="110"/>
      <c r="F1095" s="118"/>
      <c r="G1095" s="283"/>
      <c r="H1095" s="280"/>
      <c r="I1095" s="118"/>
      <c r="J1095" s="118"/>
      <c r="K1095" s="284"/>
      <c r="L1095" s="110"/>
      <c r="M1095" s="110"/>
      <c r="N1095" s="110"/>
      <c r="O1095" s="110"/>
      <c r="P1095" s="110"/>
      <c r="Q1095" s="277"/>
    </row>
    <row r="1096" spans="1:17" ht="14.25" customHeight="1">
      <c r="A1096" s="130"/>
      <c r="B1096" s="280"/>
      <c r="C1096" s="118" t="s">
        <v>1703</v>
      </c>
      <c r="D1096" s="110" t="s">
        <v>1207</v>
      </c>
      <c r="E1096" s="110"/>
      <c r="F1096" s="118" t="s">
        <v>1526</v>
      </c>
      <c r="G1096" s="118">
        <v>0.9</v>
      </c>
      <c r="H1096" s="280"/>
      <c r="I1096" s="110"/>
      <c r="J1096" s="110"/>
      <c r="K1096" s="110"/>
      <c r="L1096" s="110"/>
      <c r="M1096" s="110"/>
      <c r="N1096" s="110"/>
      <c r="O1096" s="110"/>
      <c r="P1096" s="110"/>
      <c r="Q1096" s="277"/>
    </row>
    <row r="1097" spans="1:17" ht="14.25" customHeight="1">
      <c r="A1097" s="130"/>
      <c r="B1097" s="280"/>
      <c r="C1097" s="118" t="s">
        <v>1704</v>
      </c>
      <c r="D1097" s="110" t="s">
        <v>1705</v>
      </c>
      <c r="E1097" s="110"/>
      <c r="F1097" s="118"/>
      <c r="G1097" s="275">
        <f>E1108</f>
        <v>74</v>
      </c>
      <c r="H1097" s="118" t="s">
        <v>1600</v>
      </c>
      <c r="I1097" s="110"/>
      <c r="J1097" s="110"/>
      <c r="K1097" s="110"/>
      <c r="L1097" s="110"/>
      <c r="M1097" s="110"/>
      <c r="N1097" s="110"/>
      <c r="O1097" s="110"/>
      <c r="P1097" s="110"/>
      <c r="Q1097" s="277"/>
    </row>
    <row r="1098" spans="1:17" ht="14.25" customHeight="1">
      <c r="A1098" s="130"/>
      <c r="B1098" s="280"/>
      <c r="C1098" s="118" t="s">
        <v>1704</v>
      </c>
      <c r="D1098" s="110" t="s">
        <v>1766</v>
      </c>
      <c r="E1098" s="110"/>
      <c r="F1098" s="110"/>
      <c r="G1098" s="110"/>
      <c r="H1098" s="280"/>
      <c r="I1098" s="110"/>
      <c r="J1098" s="110"/>
      <c r="K1098" s="110"/>
      <c r="L1098" s="110"/>
      <c r="M1098" s="110"/>
      <c r="N1098" s="110"/>
      <c r="O1098" s="110"/>
      <c r="P1098" s="110"/>
      <c r="Q1098" s="277"/>
    </row>
    <row r="1099" spans="1:17" ht="14.25" customHeight="1">
      <c r="A1099" s="130"/>
      <c r="B1099" s="110"/>
      <c r="C1099" s="118" t="s">
        <v>1706</v>
      </c>
      <c r="D1099" s="110" t="s">
        <v>1707</v>
      </c>
      <c r="E1099" s="838">
        <v>10</v>
      </c>
      <c r="F1099" s="838"/>
      <c r="G1099" s="110" t="s">
        <v>1708</v>
      </c>
      <c r="H1099" s="285"/>
      <c r="I1099" s="118"/>
      <c r="J1099" s="118"/>
      <c r="K1099" s="110"/>
      <c r="L1099" s="118"/>
      <c r="M1099" s="286"/>
      <c r="N1099" s="286"/>
      <c r="O1099" s="118"/>
      <c r="P1099" s="110"/>
      <c r="Q1099" s="277"/>
    </row>
    <row r="1100" spans="1:17" ht="14.25" customHeight="1">
      <c r="A1100" s="130"/>
      <c r="B1100" s="110"/>
      <c r="C1100" s="118"/>
      <c r="D1100" s="110"/>
      <c r="E1100" s="842"/>
      <c r="F1100" s="842"/>
      <c r="G1100" s="118"/>
      <c r="H1100" s="285"/>
      <c r="I1100" s="118"/>
      <c r="J1100" s="118"/>
      <c r="K1100" s="118"/>
      <c r="L1100" s="282"/>
      <c r="M1100" s="288"/>
      <c r="N1100" s="286"/>
      <c r="O1100" s="118"/>
      <c r="P1100" s="110"/>
      <c r="Q1100" s="277"/>
    </row>
    <row r="1101" spans="1:17" ht="14.25" customHeight="1">
      <c r="A1101" s="130"/>
      <c r="B1101" s="110"/>
      <c r="C1101" s="118"/>
      <c r="D1101" s="110"/>
      <c r="E1101" s="838"/>
      <c r="F1101" s="838"/>
      <c r="G1101" s="110"/>
      <c r="H1101" s="287"/>
      <c r="I1101" s="118"/>
      <c r="J1101" s="118"/>
      <c r="K1101" s="118"/>
      <c r="L1101" s="118"/>
      <c r="M1101" s="286"/>
      <c r="N1101" s="286"/>
      <c r="O1101" s="118"/>
      <c r="P1101" s="110"/>
      <c r="Q1101" s="277"/>
    </row>
    <row r="1102" spans="1:17" ht="14.25" customHeight="1">
      <c r="A1102" s="130"/>
      <c r="B1102" s="110"/>
      <c r="C1102" s="118" t="s">
        <v>2110</v>
      </c>
      <c r="D1102" s="110" t="s">
        <v>381</v>
      </c>
      <c r="E1102" s="840">
        <f>J1104</f>
        <v>54</v>
      </c>
      <c r="F1102" s="791"/>
      <c r="G1102" s="110" t="s">
        <v>382</v>
      </c>
      <c r="H1102" s="118"/>
      <c r="I1102" s="110"/>
      <c r="J1102" s="110"/>
      <c r="K1102" s="110"/>
      <c r="L1102" s="118"/>
      <c r="M1102" s="118"/>
      <c r="N1102" s="118"/>
      <c r="O1102" s="110"/>
      <c r="P1102" s="110"/>
      <c r="Q1102" s="277"/>
    </row>
    <row r="1103" spans="1:17" ht="14.25" customHeight="1">
      <c r="A1103" s="130"/>
      <c r="B1103" s="110"/>
      <c r="C1103" s="280" t="s">
        <v>2111</v>
      </c>
      <c r="D1103" s="118">
        <f>H1082</f>
        <v>10</v>
      </c>
      <c r="E1103" s="118" t="s">
        <v>300</v>
      </c>
      <c r="F1103" s="118">
        <f>K1082</f>
        <v>20</v>
      </c>
      <c r="G1103" s="110" t="s">
        <v>383</v>
      </c>
      <c r="H1103" s="118">
        <f>H1082</f>
        <v>10</v>
      </c>
      <c r="I1103" s="118" t="s">
        <v>300</v>
      </c>
      <c r="J1103" s="118">
        <f>O1082</f>
        <v>25</v>
      </c>
      <c r="K1103" s="118" t="s">
        <v>304</v>
      </c>
      <c r="L1103" s="118"/>
      <c r="M1103" s="118"/>
      <c r="N1103" s="118"/>
      <c r="O1103" s="110"/>
      <c r="P1103" s="110"/>
      <c r="Q1103" s="277"/>
    </row>
    <row r="1104" spans="1:17" ht="14.25" customHeight="1">
      <c r="A1104" s="130"/>
      <c r="B1104" s="110"/>
      <c r="C1104" s="118"/>
      <c r="D1104" s="280" t="s">
        <v>1582</v>
      </c>
      <c r="E1104" s="791">
        <f>(D1103/F1103)+(H1103/J1103)</f>
        <v>0.9</v>
      </c>
      <c r="F1104" s="791"/>
      <c r="G1104" s="110" t="s">
        <v>384</v>
      </c>
      <c r="H1104" s="118">
        <v>60</v>
      </c>
      <c r="I1104" s="118" t="s">
        <v>1582</v>
      </c>
      <c r="J1104" s="283">
        <f>TRUNC(E1104*H1104,2)</f>
        <v>54</v>
      </c>
      <c r="K1104" s="286" t="s">
        <v>1600</v>
      </c>
      <c r="L1104" s="110"/>
      <c r="M1104" s="110"/>
      <c r="N1104" s="118"/>
      <c r="O1104" s="110"/>
      <c r="P1104" s="110"/>
      <c r="Q1104" s="277"/>
    </row>
    <row r="1105" spans="1:17" ht="14.25" customHeight="1">
      <c r="A1105" s="130"/>
      <c r="B1105" s="110"/>
      <c r="C1105" s="118" t="s">
        <v>2113</v>
      </c>
      <c r="D1105" s="110" t="s">
        <v>385</v>
      </c>
      <c r="E1105" s="840">
        <v>10</v>
      </c>
      <c r="F1105" s="840"/>
      <c r="G1105" s="110" t="s">
        <v>386</v>
      </c>
      <c r="H1105" s="118"/>
      <c r="I1105" s="110"/>
      <c r="J1105" s="118"/>
      <c r="K1105" s="110"/>
      <c r="L1105" s="110"/>
      <c r="M1105" s="110"/>
      <c r="N1105" s="110"/>
      <c r="O1105" s="110"/>
      <c r="P1105" s="110"/>
      <c r="Q1105" s="277"/>
    </row>
    <row r="1106" spans="1:17" ht="14.25" customHeight="1">
      <c r="A1106" s="130"/>
      <c r="B1106" s="110"/>
      <c r="C1106" s="118"/>
      <c r="D1106" s="110"/>
      <c r="E1106" s="791"/>
      <c r="F1106" s="791"/>
      <c r="G1106" s="110"/>
      <c r="H1106" s="118"/>
      <c r="I1106" s="110"/>
      <c r="J1106" s="110"/>
      <c r="K1106" s="110"/>
      <c r="L1106" s="110"/>
      <c r="M1106" s="118"/>
      <c r="N1106" s="118"/>
      <c r="O1106" s="110"/>
      <c r="P1106" s="110"/>
      <c r="Q1106" s="277"/>
    </row>
    <row r="1107" spans="1:17" ht="14.25" customHeight="1">
      <c r="A1107" s="130"/>
      <c r="B1107" s="110"/>
      <c r="C1107" s="118"/>
      <c r="D1107" s="110"/>
      <c r="E1107" s="791"/>
      <c r="F1107" s="791"/>
      <c r="G1107" s="110"/>
      <c r="H1107" s="110"/>
      <c r="I1107" s="110"/>
      <c r="J1107" s="110"/>
      <c r="K1107" s="110"/>
      <c r="L1107" s="110"/>
      <c r="M1107" s="110"/>
      <c r="N1107" s="110"/>
      <c r="O1107" s="110"/>
      <c r="P1107" s="110"/>
      <c r="Q1107" s="277"/>
    </row>
    <row r="1108" spans="1:17" ht="14.25" customHeight="1">
      <c r="A1108" s="130"/>
      <c r="B1108" s="110"/>
      <c r="C1108" s="118"/>
      <c r="D1108" s="118" t="s">
        <v>1454</v>
      </c>
      <c r="E1108" s="840">
        <f>TRUNC(E1099+E1102+E1105,2)</f>
        <v>74</v>
      </c>
      <c r="F1108" s="840"/>
      <c r="G1108" s="110" t="s">
        <v>1600</v>
      </c>
      <c r="H1108" s="110"/>
      <c r="I1108" s="110"/>
      <c r="J1108" s="110"/>
      <c r="K1108" s="110"/>
      <c r="L1108" s="110"/>
      <c r="M1108" s="110"/>
      <c r="N1108" s="110"/>
      <c r="O1108" s="110"/>
      <c r="P1108" s="110"/>
      <c r="Q1108" s="277"/>
    </row>
    <row r="1109" spans="1:17" ht="14.25" customHeight="1">
      <c r="A1109" s="130"/>
      <c r="B1109" s="110"/>
      <c r="C1109" s="118"/>
      <c r="D1109" s="118"/>
      <c r="E1109" s="286"/>
      <c r="F1109" s="286"/>
      <c r="G1109" s="110"/>
      <c r="H1109" s="110"/>
      <c r="I1109" s="110"/>
      <c r="J1109" s="110"/>
      <c r="K1109" s="110"/>
      <c r="L1109" s="110"/>
      <c r="M1109" s="110"/>
      <c r="N1109" s="110"/>
      <c r="O1109" s="110"/>
      <c r="P1109" s="110"/>
      <c r="Q1109" s="277"/>
    </row>
    <row r="1110" spans="1:17" ht="14.25" customHeight="1">
      <c r="A1110" s="130"/>
      <c r="B1110" s="118"/>
      <c r="C1110" s="118"/>
      <c r="D1110" s="110"/>
      <c r="E1110" s="118"/>
      <c r="F1110" s="110"/>
      <c r="G1110" s="110"/>
      <c r="H1110" s="110"/>
      <c r="I1110" s="110"/>
      <c r="J1110" s="110"/>
      <c r="K1110" s="110"/>
      <c r="L1110" s="110"/>
      <c r="M1110" s="110"/>
      <c r="N1110" s="110"/>
      <c r="O1110" s="110"/>
      <c r="P1110" s="110"/>
      <c r="Q1110" s="277"/>
    </row>
    <row r="1111" spans="1:17" ht="14.25" customHeight="1">
      <c r="A1111" s="130" t="s">
        <v>391</v>
      </c>
      <c r="B1111" s="110" t="s">
        <v>392</v>
      </c>
      <c r="C1111" s="118"/>
      <c r="D1111" s="110"/>
      <c r="E1111" s="118"/>
      <c r="F1111" s="110"/>
      <c r="G1111" s="110"/>
      <c r="H1111" s="110"/>
      <c r="I1111" s="110"/>
      <c r="J1111" s="110"/>
      <c r="K1111" s="110"/>
      <c r="L1111" s="110"/>
      <c r="M1111" s="110"/>
      <c r="N1111" s="110"/>
      <c r="O1111" s="110"/>
      <c r="P1111" s="110"/>
      <c r="Q1111" s="277"/>
    </row>
    <row r="1112" spans="1:17" ht="14.25" customHeight="1">
      <c r="A1112" s="130"/>
      <c r="B1112" s="118"/>
      <c r="C1112" s="118"/>
      <c r="D1112" s="110"/>
      <c r="E1112" s="118"/>
      <c r="F1112" s="110"/>
      <c r="G1112" s="110"/>
      <c r="H1112" s="110"/>
      <c r="I1112" s="110"/>
      <c r="J1112" s="110"/>
      <c r="K1112" s="110"/>
      <c r="L1112" s="110"/>
      <c r="M1112" s="110"/>
      <c r="N1112" s="110"/>
      <c r="O1112" s="110"/>
      <c r="P1112" s="110"/>
      <c r="Q1112" s="277"/>
    </row>
    <row r="1113" spans="1:17" ht="14.25" customHeight="1">
      <c r="A1113" s="130"/>
      <c r="B1113" s="280"/>
      <c r="C1113" s="110"/>
      <c r="D1113" s="110"/>
      <c r="E1113" s="110"/>
      <c r="F1113" s="110"/>
      <c r="G1113" s="110"/>
      <c r="H1113" s="110"/>
      <c r="I1113" s="110"/>
      <c r="J1113" s="110"/>
      <c r="K1113" s="110"/>
      <c r="L1113" s="110"/>
      <c r="M1113" s="110"/>
      <c r="N1113" s="110"/>
      <c r="O1113" s="110"/>
      <c r="P1113" s="110"/>
      <c r="Q1113" s="277"/>
    </row>
    <row r="1114" spans="1:17" ht="14.25" customHeight="1">
      <c r="A1114" s="841"/>
      <c r="B1114" s="791" t="s">
        <v>1111</v>
      </c>
      <c r="C1114" s="791" t="s">
        <v>1582</v>
      </c>
      <c r="D1114" s="280" t="s">
        <v>393</v>
      </c>
      <c r="E1114" s="318">
        <v>1</v>
      </c>
      <c r="F1114" s="118" t="s">
        <v>972</v>
      </c>
      <c r="G1114" s="282">
        <f>G1096</f>
        <v>0.9</v>
      </c>
      <c r="H1114" s="118"/>
      <c r="I1114" s="118"/>
      <c r="J1114" s="791" t="s">
        <v>1582</v>
      </c>
      <c r="K1114" s="840">
        <f>TRUNC(E1114*G1114*60,2)</f>
        <v>54</v>
      </c>
      <c r="L1114" s="840"/>
      <c r="M1114" s="791" t="s">
        <v>1582</v>
      </c>
      <c r="N1114" s="838">
        <f>TRUNC(K1114/K1115,2)</f>
        <v>0.72</v>
      </c>
      <c r="O1114" s="838"/>
      <c r="P1114" s="110" t="s">
        <v>1798</v>
      </c>
      <c r="Q1114" s="277"/>
    </row>
    <row r="1115" spans="1:17" ht="14.25" customHeight="1">
      <c r="A1115" s="841"/>
      <c r="B1115" s="791"/>
      <c r="C1115" s="791"/>
      <c r="D1115" s="839">
        <f>G1097</f>
        <v>74</v>
      </c>
      <c r="E1115" s="839"/>
      <c r="F1115" s="839"/>
      <c r="G1115" s="839"/>
      <c r="H1115" s="276"/>
      <c r="I1115" s="276"/>
      <c r="J1115" s="791"/>
      <c r="K1115" s="839">
        <f>D1115</f>
        <v>74</v>
      </c>
      <c r="L1115" s="839"/>
      <c r="M1115" s="791"/>
      <c r="N1115" s="838"/>
      <c r="O1115" s="838"/>
      <c r="P1115" s="110"/>
      <c r="Q1115" s="277" t="s">
        <v>394</v>
      </c>
    </row>
    <row r="1116" spans="1:17" ht="14.25" customHeight="1">
      <c r="A1116" s="130"/>
      <c r="B1116" s="110"/>
      <c r="C1116" s="110"/>
      <c r="D1116" s="110"/>
      <c r="E1116" s="110"/>
      <c r="F1116" s="110"/>
      <c r="G1116" s="110"/>
      <c r="H1116" s="110"/>
      <c r="I1116" s="110"/>
      <c r="J1116" s="110"/>
      <c r="K1116" s="110"/>
      <c r="L1116" s="110"/>
      <c r="M1116" s="110"/>
      <c r="N1116" s="110"/>
      <c r="O1116" s="110"/>
      <c r="P1116" s="110"/>
      <c r="Q1116" s="277"/>
    </row>
    <row r="1117" spans="1:17" ht="14.25" customHeight="1">
      <c r="A1117" s="130"/>
      <c r="B1117" s="110"/>
      <c r="C1117" s="110"/>
      <c r="D1117" s="110"/>
      <c r="E1117" s="110"/>
      <c r="F1117" s="110"/>
      <c r="G1117" s="110"/>
      <c r="H1117" s="110"/>
      <c r="I1117" s="110"/>
      <c r="J1117" s="110"/>
      <c r="K1117" s="110"/>
      <c r="L1117" s="110"/>
      <c r="M1117" s="110"/>
      <c r="N1117" s="110"/>
      <c r="O1117" s="110"/>
      <c r="P1117" s="110"/>
      <c r="Q1117" s="277"/>
    </row>
    <row r="1118" spans="1:17" ht="14.25" customHeight="1">
      <c r="A1118" s="130"/>
      <c r="B1118" s="110"/>
      <c r="C1118" s="110"/>
      <c r="D1118" s="110" t="s">
        <v>395</v>
      </c>
      <c r="E1118" s="110"/>
      <c r="F1118" s="835">
        <f>중기사용료!$M$1138</f>
        <v>25570</v>
      </c>
      <c r="G1118" s="835"/>
      <c r="H1118" s="286" t="s">
        <v>975</v>
      </c>
      <c r="I1118" s="118" t="s">
        <v>972</v>
      </c>
      <c r="J1118" s="275" t="s">
        <v>1767</v>
      </c>
      <c r="K1118" s="282">
        <f>N1114</f>
        <v>0.72</v>
      </c>
      <c r="L1118" s="275" t="s">
        <v>1768</v>
      </c>
      <c r="M1118" s="854">
        <f>TRUNC(F1118*48/68/K1118*2)</f>
        <v>50137</v>
      </c>
      <c r="N1118" s="854"/>
      <c r="O1118" s="854"/>
      <c r="P1118" s="854"/>
      <c r="Q1118" s="855"/>
    </row>
    <row r="1119" spans="1:17" ht="14.25" customHeight="1">
      <c r="A1119" s="130"/>
      <c r="B1119" s="110"/>
      <c r="C1119" s="118"/>
      <c r="D1119" s="110"/>
      <c r="E1119" s="290"/>
      <c r="F1119" s="291"/>
      <c r="G1119" s="291"/>
      <c r="H1119" s="118"/>
      <c r="I1119" s="110"/>
      <c r="J1119" s="118"/>
      <c r="K1119" s="285"/>
      <c r="L1119" s="121"/>
      <c r="M1119" s="118"/>
      <c r="N1119" s="160"/>
      <c r="O1119" s="110"/>
      <c r="P1119" s="110"/>
      <c r="Q1119" s="277"/>
    </row>
    <row r="1120" spans="1:17" ht="14.25" customHeight="1">
      <c r="A1120" s="130"/>
      <c r="B1120" s="110"/>
      <c r="C1120" s="110"/>
      <c r="D1120" s="110" t="s">
        <v>396</v>
      </c>
      <c r="E1120" s="110"/>
      <c r="F1120" s="835">
        <f>중기사용료!$M$1132</f>
        <v>24483</v>
      </c>
      <c r="G1120" s="835"/>
      <c r="H1120" s="286" t="s">
        <v>975</v>
      </c>
      <c r="I1120" s="118" t="s">
        <v>300</v>
      </c>
      <c r="J1120" s="330">
        <f>N1114</f>
        <v>0.72</v>
      </c>
      <c r="K1120" s="331">
        <v>2</v>
      </c>
      <c r="L1120" s="121">
        <f>TRUNC(F1120/J1120*K1120)</f>
        <v>68008</v>
      </c>
      <c r="M1120" s="110" t="s">
        <v>1160</v>
      </c>
      <c r="N1120" s="33"/>
      <c r="O1120" s="33"/>
      <c r="P1120" s="33"/>
      <c r="Q1120" s="277"/>
    </row>
    <row r="1121" spans="1:18" ht="14.25" customHeight="1">
      <c r="A1121" s="130"/>
      <c r="B1121" s="110"/>
      <c r="C1121" s="118"/>
      <c r="D1121" s="110"/>
      <c r="E1121" s="290"/>
      <c r="F1121" s="291"/>
      <c r="G1121" s="291"/>
      <c r="H1121" s="118"/>
      <c r="I1121" s="110"/>
      <c r="J1121" s="118"/>
      <c r="K1121" s="285"/>
      <c r="L1121" s="121"/>
      <c r="M1121" s="118"/>
      <c r="N1121" s="160"/>
      <c r="O1121" s="110"/>
      <c r="P1121" s="110"/>
      <c r="Q1121" s="277"/>
    </row>
    <row r="1122" spans="1:18" ht="14.25" customHeight="1">
      <c r="A1122" s="130"/>
      <c r="B1122" s="110"/>
      <c r="C1122" s="110"/>
      <c r="D1122" s="110" t="s">
        <v>398</v>
      </c>
      <c r="E1122" s="110"/>
      <c r="F1122" s="835">
        <f>중기사용료!$M$1126</f>
        <v>14520</v>
      </c>
      <c r="G1122" s="835"/>
      <c r="H1122" s="118" t="s">
        <v>975</v>
      </c>
      <c r="I1122" s="118" t="s">
        <v>300</v>
      </c>
      <c r="J1122" s="330">
        <f>N1114</f>
        <v>0.72</v>
      </c>
      <c r="K1122" s="331">
        <v>2</v>
      </c>
      <c r="L1122" s="121">
        <f>TRUNC(F1122/J1122*K1122)</f>
        <v>40333</v>
      </c>
      <c r="M1122" s="110" t="s">
        <v>1160</v>
      </c>
      <c r="N1122" s="160"/>
      <c r="O1122" s="110"/>
      <c r="P1122" s="110"/>
      <c r="Q1122" s="277"/>
      <c r="R1122" s="272" t="s">
        <v>1436</v>
      </c>
    </row>
    <row r="1123" spans="1:18" ht="14.25" customHeight="1">
      <c r="A1123" s="130"/>
      <c r="B1123" s="110"/>
      <c r="C1123" s="118"/>
      <c r="D1123" s="110"/>
      <c r="E1123" s="110"/>
      <c r="F1123" s="110"/>
      <c r="G1123" s="110"/>
      <c r="H1123" s="110"/>
      <c r="I1123" s="110"/>
      <c r="J1123" s="110"/>
      <c r="K1123" s="110"/>
      <c r="L1123" s="110"/>
      <c r="M1123" s="118"/>
      <c r="N1123" s="291"/>
      <c r="O1123" s="110"/>
      <c r="P1123" s="110"/>
      <c r="Q1123" s="277"/>
    </row>
    <row r="1124" spans="1:18" s="302" customFormat="1" ht="14.25" customHeight="1">
      <c r="A1124" s="162"/>
      <c r="B1124" s="164"/>
      <c r="C1124" s="164"/>
      <c r="D1124" s="164"/>
      <c r="E1124" s="164"/>
      <c r="F1124" s="299"/>
      <c r="G1124" s="299"/>
      <c r="H1124" s="299"/>
      <c r="I1124" s="165"/>
      <c r="J1124" s="164"/>
      <c r="K1124" s="165" t="s">
        <v>1454</v>
      </c>
      <c r="L1124" s="332">
        <f>SUM(M1118,L1120,L1122)</f>
        <v>158478</v>
      </c>
      <c r="M1124" s="164" t="s">
        <v>975</v>
      </c>
      <c r="N1124" s="300"/>
      <c r="O1124" s="300"/>
      <c r="P1124" s="164"/>
      <c r="Q1124" s="301"/>
      <c r="R1124" s="272"/>
    </row>
    <row r="1125" spans="1:18" ht="14.25" customHeight="1">
      <c r="A1125" s="130"/>
      <c r="B1125" s="110"/>
      <c r="C1125" s="110"/>
      <c r="D1125" s="110"/>
      <c r="E1125" s="110"/>
      <c r="F1125" s="110"/>
      <c r="G1125" s="110"/>
      <c r="H1125" s="110"/>
      <c r="I1125" s="110"/>
      <c r="J1125" s="110"/>
      <c r="K1125" s="110"/>
      <c r="L1125" s="110"/>
      <c r="M1125" s="110"/>
      <c r="N1125" s="110"/>
      <c r="O1125" s="110"/>
      <c r="P1125" s="110"/>
      <c r="Q1125" s="277"/>
    </row>
    <row r="1126" spans="1:18" ht="14.25" customHeight="1">
      <c r="A1126" s="130"/>
      <c r="B1126" s="110"/>
      <c r="C1126" s="110"/>
      <c r="D1126" s="110"/>
      <c r="E1126" s="110"/>
      <c r="F1126" s="110"/>
      <c r="G1126" s="110"/>
      <c r="H1126" s="110"/>
      <c r="I1126" s="110"/>
      <c r="J1126" s="110"/>
      <c r="K1126" s="110"/>
      <c r="L1126" s="110"/>
      <c r="M1126" s="110"/>
      <c r="N1126" s="110"/>
      <c r="O1126" s="110"/>
      <c r="P1126" s="110"/>
      <c r="Q1126" s="277"/>
    </row>
    <row r="1127" spans="1:18" ht="14.25" customHeight="1">
      <c r="A1127" s="135"/>
      <c r="B1127" s="138"/>
      <c r="C1127" s="138"/>
      <c r="D1127" s="138"/>
      <c r="E1127" s="138"/>
      <c r="F1127" s="138"/>
      <c r="G1127" s="138"/>
      <c r="H1127" s="138"/>
      <c r="I1127" s="138"/>
      <c r="J1127" s="138"/>
      <c r="K1127" s="138"/>
      <c r="L1127" s="138"/>
      <c r="M1127" s="138"/>
      <c r="N1127" s="138"/>
      <c r="O1127" s="138"/>
      <c r="P1127" s="138"/>
      <c r="Q1127" s="293"/>
    </row>
  </sheetData>
  <mergeCells count="682">
    <mergeCell ref="A528:A529"/>
    <mergeCell ref="B528:B529"/>
    <mergeCell ref="C528:C529"/>
    <mergeCell ref="D529:I529"/>
    <mergeCell ref="E516:F516"/>
    <mergeCell ref="E517:F517"/>
    <mergeCell ref="N528:O529"/>
    <mergeCell ref="K529:L529"/>
    <mergeCell ref="F531:G531"/>
    <mergeCell ref="E522:F522"/>
    <mergeCell ref="E523:F523"/>
    <mergeCell ref="E524:F524"/>
    <mergeCell ref="J528:J529"/>
    <mergeCell ref="K528:L528"/>
    <mergeCell ref="M528:M529"/>
    <mergeCell ref="F433:G433"/>
    <mergeCell ref="F435:G435"/>
    <mergeCell ref="F437:G437"/>
    <mergeCell ref="N518:O518"/>
    <mergeCell ref="N519:O519"/>
    <mergeCell ref="E520:F520"/>
    <mergeCell ref="E521:F521"/>
    <mergeCell ref="F439:G439"/>
    <mergeCell ref="C499:C500"/>
    <mergeCell ref="D499:F499"/>
    <mergeCell ref="D500:F500"/>
    <mergeCell ref="E503:F503"/>
    <mergeCell ref="E508:F508"/>
    <mergeCell ref="F488:G488"/>
    <mergeCell ref="N469:O469"/>
    <mergeCell ref="N470:O470"/>
    <mergeCell ref="E471:F471"/>
    <mergeCell ref="E472:F472"/>
    <mergeCell ref="E473:F473"/>
    <mergeCell ref="E474:F474"/>
    <mergeCell ref="E475:F475"/>
    <mergeCell ref="A430:A431"/>
    <mergeCell ref="B430:B431"/>
    <mergeCell ref="C430:C431"/>
    <mergeCell ref="D431:I431"/>
    <mergeCell ref="J430:J431"/>
    <mergeCell ref="K430:L430"/>
    <mergeCell ref="M430:M431"/>
    <mergeCell ref="N430:O431"/>
    <mergeCell ref="K431:L431"/>
    <mergeCell ref="E418:F418"/>
    <mergeCell ref="E419:F419"/>
    <mergeCell ref="N420:O420"/>
    <mergeCell ref="N421:O421"/>
    <mergeCell ref="E422:F422"/>
    <mergeCell ref="E423:F423"/>
    <mergeCell ref="E424:F424"/>
    <mergeCell ref="E425:F425"/>
    <mergeCell ref="E426:F426"/>
    <mergeCell ref="C401:C402"/>
    <mergeCell ref="D401:F401"/>
    <mergeCell ref="D402:F402"/>
    <mergeCell ref="E405:F405"/>
    <mergeCell ref="E410:F410"/>
    <mergeCell ref="E412:F412"/>
    <mergeCell ref="E415:F415"/>
    <mergeCell ref="E416:F416"/>
    <mergeCell ref="E417:F417"/>
    <mergeCell ref="A332:A333"/>
    <mergeCell ref="B332:B333"/>
    <mergeCell ref="C332:C333"/>
    <mergeCell ref="D333:I333"/>
    <mergeCell ref="J332:J333"/>
    <mergeCell ref="K332:L332"/>
    <mergeCell ref="M332:M333"/>
    <mergeCell ref="N332:O333"/>
    <mergeCell ref="K333:L333"/>
    <mergeCell ref="N969:O970"/>
    <mergeCell ref="K970:L970"/>
    <mergeCell ref="F972:G972"/>
    <mergeCell ref="F974:G974"/>
    <mergeCell ref="F976:G976"/>
    <mergeCell ref="F978:G978"/>
    <mergeCell ref="E312:F312"/>
    <mergeCell ref="E314:F314"/>
    <mergeCell ref="E317:F317"/>
    <mergeCell ref="E318:F318"/>
    <mergeCell ref="E319:F319"/>
    <mergeCell ref="E320:F320"/>
    <mergeCell ref="E321:F321"/>
    <mergeCell ref="E328:F328"/>
    <mergeCell ref="F341:G341"/>
    <mergeCell ref="N322:O322"/>
    <mergeCell ref="N323:O323"/>
    <mergeCell ref="E324:F324"/>
    <mergeCell ref="E325:F325"/>
    <mergeCell ref="E326:F326"/>
    <mergeCell ref="E327:F327"/>
    <mergeCell ref="F335:G335"/>
    <mergeCell ref="F337:G337"/>
    <mergeCell ref="F339:G339"/>
    <mergeCell ref="E964:F964"/>
    <mergeCell ref="E965:F965"/>
    <mergeCell ref="A969:A970"/>
    <mergeCell ref="B969:B970"/>
    <mergeCell ref="C969:C970"/>
    <mergeCell ref="D970:I970"/>
    <mergeCell ref="J969:J970"/>
    <mergeCell ref="K969:L969"/>
    <mergeCell ref="M969:M970"/>
    <mergeCell ref="E955:F955"/>
    <mergeCell ref="E956:F956"/>
    <mergeCell ref="E957:F957"/>
    <mergeCell ref="E958:F958"/>
    <mergeCell ref="N959:O959"/>
    <mergeCell ref="N960:O960"/>
    <mergeCell ref="E961:F961"/>
    <mergeCell ref="E962:F962"/>
    <mergeCell ref="E963:F963"/>
    <mergeCell ref="J577:J578"/>
    <mergeCell ref="K577:L577"/>
    <mergeCell ref="M577:M578"/>
    <mergeCell ref="N577:O578"/>
    <mergeCell ref="K578:L578"/>
    <mergeCell ref="F580:G580"/>
    <mergeCell ref="F582:G582"/>
    <mergeCell ref="F584:G584"/>
    <mergeCell ref="F586:G586"/>
    <mergeCell ref="E569:F569"/>
    <mergeCell ref="E570:F570"/>
    <mergeCell ref="E571:F571"/>
    <mergeCell ref="E572:F572"/>
    <mergeCell ref="E573:F573"/>
    <mergeCell ref="A577:A578"/>
    <mergeCell ref="B577:B578"/>
    <mergeCell ref="C577:C578"/>
    <mergeCell ref="D578:I578"/>
    <mergeCell ref="E557:F557"/>
    <mergeCell ref="E559:F559"/>
    <mergeCell ref="E562:F562"/>
    <mergeCell ref="E563:F563"/>
    <mergeCell ref="E564:F564"/>
    <mergeCell ref="E565:F565"/>
    <mergeCell ref="E566:F566"/>
    <mergeCell ref="N567:O567"/>
    <mergeCell ref="N568:O568"/>
    <mergeCell ref="C548:C549"/>
    <mergeCell ref="D548:F548"/>
    <mergeCell ref="D549:F549"/>
    <mergeCell ref="E552:F552"/>
    <mergeCell ref="E510:F510"/>
    <mergeCell ref="E513:F513"/>
    <mergeCell ref="E514:F514"/>
    <mergeCell ref="E515:F515"/>
    <mergeCell ref="F533:G533"/>
    <mergeCell ref="F535:G535"/>
    <mergeCell ref="F537:G537"/>
    <mergeCell ref="A479:A480"/>
    <mergeCell ref="B479:B480"/>
    <mergeCell ref="C479:C480"/>
    <mergeCell ref="D480:I480"/>
    <mergeCell ref="J479:J480"/>
    <mergeCell ref="K479:L479"/>
    <mergeCell ref="M479:M480"/>
    <mergeCell ref="N479:O480"/>
    <mergeCell ref="K480:L480"/>
    <mergeCell ref="A1018:A1019"/>
    <mergeCell ref="B1018:B1019"/>
    <mergeCell ref="C1018:C1019"/>
    <mergeCell ref="D1019:I1019"/>
    <mergeCell ref="K1018:L1018"/>
    <mergeCell ref="M1018:M1019"/>
    <mergeCell ref="N1018:O1019"/>
    <mergeCell ref="K1019:L1019"/>
    <mergeCell ref="F1021:G1021"/>
    <mergeCell ref="J1018:J1019"/>
    <mergeCell ref="K1114:L1114"/>
    <mergeCell ref="M1114:M1115"/>
    <mergeCell ref="N1114:O1115"/>
    <mergeCell ref="K1115:L1115"/>
    <mergeCell ref="F1118:G1118"/>
    <mergeCell ref="F1120:G1120"/>
    <mergeCell ref="F1122:G1122"/>
    <mergeCell ref="M1118:Q1118"/>
    <mergeCell ref="C989:C990"/>
    <mergeCell ref="D989:F989"/>
    <mergeCell ref="D990:F990"/>
    <mergeCell ref="E993:F993"/>
    <mergeCell ref="E998:F998"/>
    <mergeCell ref="E1000:F1000"/>
    <mergeCell ref="E1003:F1003"/>
    <mergeCell ref="E1004:F1004"/>
    <mergeCell ref="E1005:F1005"/>
    <mergeCell ref="E1006:F1006"/>
    <mergeCell ref="E1007:F1007"/>
    <mergeCell ref="N1008:O1008"/>
    <mergeCell ref="N1009:O1009"/>
    <mergeCell ref="E1010:F1010"/>
    <mergeCell ref="E1011:F1011"/>
    <mergeCell ref="E1012:F1012"/>
    <mergeCell ref="E1105:F1105"/>
    <mergeCell ref="E1106:F1106"/>
    <mergeCell ref="E1107:F1107"/>
    <mergeCell ref="E1108:F1108"/>
    <mergeCell ref="A1114:A1115"/>
    <mergeCell ref="B1114:B1115"/>
    <mergeCell ref="C1114:C1115"/>
    <mergeCell ref="D1115:G1115"/>
    <mergeCell ref="J1114:J1115"/>
    <mergeCell ref="I1086:J1086"/>
    <mergeCell ref="C1090:C1091"/>
    <mergeCell ref="D1090:F1090"/>
    <mergeCell ref="D1091:F1091"/>
    <mergeCell ref="E1099:F1099"/>
    <mergeCell ref="E1100:F1100"/>
    <mergeCell ref="E1101:F1101"/>
    <mergeCell ref="E1102:F1102"/>
    <mergeCell ref="E1104:F1104"/>
    <mergeCell ref="M249:N249"/>
    <mergeCell ref="E363:F363"/>
    <mergeCell ref="F139:G139"/>
    <mergeCell ref="F141:G141"/>
    <mergeCell ref="F143:G143"/>
    <mergeCell ref="E165:F165"/>
    <mergeCell ref="E167:F167"/>
    <mergeCell ref="E170:F170"/>
    <mergeCell ref="E171:F171"/>
    <mergeCell ref="E172:F172"/>
    <mergeCell ref="M250:N250"/>
    <mergeCell ref="M251:N251"/>
    <mergeCell ref="M252:N252"/>
    <mergeCell ref="J185:J186"/>
    <mergeCell ref="K185:L185"/>
    <mergeCell ref="M185:M186"/>
    <mergeCell ref="N185:O186"/>
    <mergeCell ref="F292:G292"/>
    <mergeCell ref="E173:F173"/>
    <mergeCell ref="E174:F174"/>
    <mergeCell ref="E177:F177"/>
    <mergeCell ref="E178:F178"/>
    <mergeCell ref="E221:F221"/>
    <mergeCell ref="K186:L186"/>
    <mergeCell ref="A136:A137"/>
    <mergeCell ref="B136:B137"/>
    <mergeCell ref="C136:C137"/>
    <mergeCell ref="J136:J137"/>
    <mergeCell ref="K136:L136"/>
    <mergeCell ref="M136:M137"/>
    <mergeCell ref="N136:O137"/>
    <mergeCell ref="D137:I137"/>
    <mergeCell ref="K137:L137"/>
    <mergeCell ref="I8:J8"/>
    <mergeCell ref="J36:J37"/>
    <mergeCell ref="K36:L36"/>
    <mergeCell ref="M36:M37"/>
    <mergeCell ref="N36:O37"/>
    <mergeCell ref="K37:L37"/>
    <mergeCell ref="E30:F30"/>
    <mergeCell ref="A36:A37"/>
    <mergeCell ref="B36:B37"/>
    <mergeCell ref="C36:C37"/>
    <mergeCell ref="D37:I37"/>
    <mergeCell ref="C12:C13"/>
    <mergeCell ref="D12:F12"/>
    <mergeCell ref="D13:F13"/>
    <mergeCell ref="E26:F26"/>
    <mergeCell ref="E27:F27"/>
    <mergeCell ref="E28:F28"/>
    <mergeCell ref="E29:F29"/>
    <mergeCell ref="E21:F21"/>
    <mergeCell ref="E22:F22"/>
    <mergeCell ref="E23:F23"/>
    <mergeCell ref="E24:F24"/>
    <mergeCell ref="I59:J59"/>
    <mergeCell ref="C63:C64"/>
    <mergeCell ref="D63:F63"/>
    <mergeCell ref="D64:F64"/>
    <mergeCell ref="F40:G40"/>
    <mergeCell ref="F42:G42"/>
    <mergeCell ref="N42:P42"/>
    <mergeCell ref="F44:G44"/>
    <mergeCell ref="N40:P40"/>
    <mergeCell ref="A85:A86"/>
    <mergeCell ref="B85:B86"/>
    <mergeCell ref="C85:C86"/>
    <mergeCell ref="D86:I86"/>
    <mergeCell ref="J76:K76"/>
    <mergeCell ref="E77:F77"/>
    <mergeCell ref="E78:F78"/>
    <mergeCell ref="E79:F79"/>
    <mergeCell ref="E72:F72"/>
    <mergeCell ref="E73:F73"/>
    <mergeCell ref="E74:F74"/>
    <mergeCell ref="E76:F76"/>
    <mergeCell ref="N91:P91"/>
    <mergeCell ref="F93:G93"/>
    <mergeCell ref="N89:P89"/>
    <mergeCell ref="J85:J86"/>
    <mergeCell ref="K85:L85"/>
    <mergeCell ref="M85:M86"/>
    <mergeCell ref="N85:O86"/>
    <mergeCell ref="K86:L86"/>
    <mergeCell ref="E80:F80"/>
    <mergeCell ref="C156:C157"/>
    <mergeCell ref="D156:F156"/>
    <mergeCell ref="D157:F157"/>
    <mergeCell ref="G163:H163"/>
    <mergeCell ref="F89:G89"/>
    <mergeCell ref="F91:G91"/>
    <mergeCell ref="C107:C108"/>
    <mergeCell ref="D107:F107"/>
    <mergeCell ref="D108:F108"/>
    <mergeCell ref="G114:H114"/>
    <mergeCell ref="E125:F125"/>
    <mergeCell ref="E128:F128"/>
    <mergeCell ref="E129:F129"/>
    <mergeCell ref="E130:F130"/>
    <mergeCell ref="E131:F131"/>
    <mergeCell ref="E132:F132"/>
    <mergeCell ref="E116:F116"/>
    <mergeCell ref="E118:F118"/>
    <mergeCell ref="E121:F121"/>
    <mergeCell ref="E122:F122"/>
    <mergeCell ref="E123:F123"/>
    <mergeCell ref="E124:F124"/>
    <mergeCell ref="E179:F179"/>
    <mergeCell ref="E180:F180"/>
    <mergeCell ref="E181:F181"/>
    <mergeCell ref="F188:G188"/>
    <mergeCell ref="F190:G190"/>
    <mergeCell ref="A185:A186"/>
    <mergeCell ref="B185:B186"/>
    <mergeCell ref="C185:C186"/>
    <mergeCell ref="D186:I186"/>
    <mergeCell ref="G212:H212"/>
    <mergeCell ref="E214:F214"/>
    <mergeCell ref="E216:F216"/>
    <mergeCell ref="E219:F219"/>
    <mergeCell ref="F192:G192"/>
    <mergeCell ref="C205:C206"/>
    <mergeCell ref="D205:F205"/>
    <mergeCell ref="D206:F206"/>
    <mergeCell ref="E220:F220"/>
    <mergeCell ref="A234:A235"/>
    <mergeCell ref="B234:B235"/>
    <mergeCell ref="C234:C235"/>
    <mergeCell ref="D235:I235"/>
    <mergeCell ref="E225:F225"/>
    <mergeCell ref="E227:F227"/>
    <mergeCell ref="E228:F228"/>
    <mergeCell ref="E229:F229"/>
    <mergeCell ref="E222:F222"/>
    <mergeCell ref="E223:F223"/>
    <mergeCell ref="F237:G237"/>
    <mergeCell ref="F239:G239"/>
    <mergeCell ref="F241:G241"/>
    <mergeCell ref="J234:J235"/>
    <mergeCell ref="K234:L234"/>
    <mergeCell ref="M234:M235"/>
    <mergeCell ref="N234:O235"/>
    <mergeCell ref="K235:L235"/>
    <mergeCell ref="E230:F230"/>
    <mergeCell ref="E267:F267"/>
    <mergeCell ref="E268:F268"/>
    <mergeCell ref="E269:F269"/>
    <mergeCell ref="E270:F270"/>
    <mergeCell ref="E258:F258"/>
    <mergeCell ref="G261:H261"/>
    <mergeCell ref="E263:F263"/>
    <mergeCell ref="E265:F265"/>
    <mergeCell ref="C254:C255"/>
    <mergeCell ref="D254:F254"/>
    <mergeCell ref="D255:F255"/>
    <mergeCell ref="E276:F276"/>
    <mergeCell ref="E277:F277"/>
    <mergeCell ref="E278:F278"/>
    <mergeCell ref="E279:F279"/>
    <mergeCell ref="E271:F271"/>
    <mergeCell ref="N272:O272"/>
    <mergeCell ref="N273:O273"/>
    <mergeCell ref="E275:F275"/>
    <mergeCell ref="N274:O274"/>
    <mergeCell ref="K283:L283"/>
    <mergeCell ref="M283:M284"/>
    <mergeCell ref="N283:O284"/>
    <mergeCell ref="D284:I284"/>
    <mergeCell ref="K284:L284"/>
    <mergeCell ref="A283:A284"/>
    <mergeCell ref="B283:B284"/>
    <mergeCell ref="C283:C284"/>
    <mergeCell ref="J283:J284"/>
    <mergeCell ref="F286:G286"/>
    <mergeCell ref="F288:G288"/>
    <mergeCell ref="F290:G290"/>
    <mergeCell ref="C352:C353"/>
    <mergeCell ref="D352:F352"/>
    <mergeCell ref="D353:F353"/>
    <mergeCell ref="C303:C304"/>
    <mergeCell ref="D303:F303"/>
    <mergeCell ref="D304:F304"/>
    <mergeCell ref="E307:F307"/>
    <mergeCell ref="N372:O372"/>
    <mergeCell ref="E373:F373"/>
    <mergeCell ref="E374:F374"/>
    <mergeCell ref="E375:F375"/>
    <mergeCell ref="E368:F368"/>
    <mergeCell ref="E369:F369"/>
    <mergeCell ref="E370:F370"/>
    <mergeCell ref="N371:O371"/>
    <mergeCell ref="E356:F356"/>
    <mergeCell ref="E361:F361"/>
    <mergeCell ref="E366:F366"/>
    <mergeCell ref="E367:F367"/>
    <mergeCell ref="M381:M382"/>
    <mergeCell ref="N381:O382"/>
    <mergeCell ref="K382:L382"/>
    <mergeCell ref="E376:F376"/>
    <mergeCell ref="E377:F377"/>
    <mergeCell ref="A381:A382"/>
    <mergeCell ref="B381:B382"/>
    <mergeCell ref="C381:C382"/>
    <mergeCell ref="D382:I382"/>
    <mergeCell ref="I596:J596"/>
    <mergeCell ref="C600:C601"/>
    <mergeCell ref="D600:F600"/>
    <mergeCell ref="D601:F601"/>
    <mergeCell ref="F384:G384"/>
    <mergeCell ref="F386:G386"/>
    <mergeCell ref="F388:G388"/>
    <mergeCell ref="J381:J382"/>
    <mergeCell ref="K381:L381"/>
    <mergeCell ref="F390:G390"/>
    <mergeCell ref="C450:C451"/>
    <mergeCell ref="D450:F450"/>
    <mergeCell ref="D451:F451"/>
    <mergeCell ref="E454:F454"/>
    <mergeCell ref="E459:F459"/>
    <mergeCell ref="E461:F461"/>
    <mergeCell ref="E464:F464"/>
    <mergeCell ref="E465:F465"/>
    <mergeCell ref="E466:F466"/>
    <mergeCell ref="E467:F467"/>
    <mergeCell ref="E468:F468"/>
    <mergeCell ref="F482:G482"/>
    <mergeCell ref="F484:G484"/>
    <mergeCell ref="F486:G486"/>
    <mergeCell ref="A624:A625"/>
    <mergeCell ref="B624:B625"/>
    <mergeCell ref="C624:C625"/>
    <mergeCell ref="D625:I625"/>
    <mergeCell ref="E614:F614"/>
    <mergeCell ref="E615:F615"/>
    <mergeCell ref="E616:F616"/>
    <mergeCell ref="E617:F617"/>
    <mergeCell ref="E609:F609"/>
    <mergeCell ref="E610:F610"/>
    <mergeCell ref="E611:F611"/>
    <mergeCell ref="E612:F612"/>
    <mergeCell ref="N630:P630"/>
    <mergeCell ref="F632:G632"/>
    <mergeCell ref="N628:P628"/>
    <mergeCell ref="J624:J625"/>
    <mergeCell ref="K624:L624"/>
    <mergeCell ref="M624:M625"/>
    <mergeCell ref="N624:O625"/>
    <mergeCell ref="K625:L625"/>
    <mergeCell ref="E618:F618"/>
    <mergeCell ref="E660:F660"/>
    <mergeCell ref="E661:F661"/>
    <mergeCell ref="E662:F662"/>
    <mergeCell ref="E664:F664"/>
    <mergeCell ref="I647:J647"/>
    <mergeCell ref="C651:C652"/>
    <mergeCell ref="D651:F651"/>
    <mergeCell ref="D652:F652"/>
    <mergeCell ref="F628:G628"/>
    <mergeCell ref="F630:G630"/>
    <mergeCell ref="A673:A674"/>
    <mergeCell ref="B673:B674"/>
    <mergeCell ref="C673:C674"/>
    <mergeCell ref="D674:I674"/>
    <mergeCell ref="J664:K664"/>
    <mergeCell ref="E665:F665"/>
    <mergeCell ref="E666:F666"/>
    <mergeCell ref="E667:F667"/>
    <mergeCell ref="J673:J674"/>
    <mergeCell ref="K673:L673"/>
    <mergeCell ref="C695:C696"/>
    <mergeCell ref="D695:F695"/>
    <mergeCell ref="D696:F696"/>
    <mergeCell ref="M673:M674"/>
    <mergeCell ref="N673:O674"/>
    <mergeCell ref="K674:L674"/>
    <mergeCell ref="E668:F668"/>
    <mergeCell ref="G702:H702"/>
    <mergeCell ref="F677:G677"/>
    <mergeCell ref="F679:G679"/>
    <mergeCell ref="N679:P679"/>
    <mergeCell ref="F681:G681"/>
    <mergeCell ref="N677:P677"/>
    <mergeCell ref="E717:F717"/>
    <mergeCell ref="E718:F718"/>
    <mergeCell ref="E719:F719"/>
    <mergeCell ref="E720:F720"/>
    <mergeCell ref="E711:F711"/>
    <mergeCell ref="E712:F712"/>
    <mergeCell ref="E713:F713"/>
    <mergeCell ref="E716:F716"/>
    <mergeCell ref="E704:F704"/>
    <mergeCell ref="E706:F706"/>
    <mergeCell ref="E709:F709"/>
    <mergeCell ref="E710:F710"/>
    <mergeCell ref="K724:L724"/>
    <mergeCell ref="M724:M725"/>
    <mergeCell ref="N724:O725"/>
    <mergeCell ref="D725:I725"/>
    <mergeCell ref="K725:L725"/>
    <mergeCell ref="A724:A725"/>
    <mergeCell ref="B724:B725"/>
    <mergeCell ref="C724:C725"/>
    <mergeCell ref="J724:J725"/>
    <mergeCell ref="G751:H751"/>
    <mergeCell ref="E753:F753"/>
    <mergeCell ref="E755:F755"/>
    <mergeCell ref="E758:F758"/>
    <mergeCell ref="F727:G727"/>
    <mergeCell ref="F729:G729"/>
    <mergeCell ref="F731:G731"/>
    <mergeCell ref="C744:C745"/>
    <mergeCell ref="D744:F744"/>
    <mergeCell ref="D745:F745"/>
    <mergeCell ref="A773:A774"/>
    <mergeCell ref="B773:B774"/>
    <mergeCell ref="C773:C774"/>
    <mergeCell ref="D774:I774"/>
    <mergeCell ref="E765:F765"/>
    <mergeCell ref="E766:F766"/>
    <mergeCell ref="E767:F767"/>
    <mergeCell ref="E768:F768"/>
    <mergeCell ref="E759:F759"/>
    <mergeCell ref="E760:F760"/>
    <mergeCell ref="E761:F761"/>
    <mergeCell ref="E762:F762"/>
    <mergeCell ref="C793:C794"/>
    <mergeCell ref="D793:F793"/>
    <mergeCell ref="D794:F794"/>
    <mergeCell ref="J773:J774"/>
    <mergeCell ref="K773:L773"/>
    <mergeCell ref="M773:M774"/>
    <mergeCell ref="N773:O774"/>
    <mergeCell ref="K774:L774"/>
    <mergeCell ref="E769:F769"/>
    <mergeCell ref="E808:F808"/>
    <mergeCell ref="E809:F809"/>
    <mergeCell ref="E810:F810"/>
    <mergeCell ref="E811:F811"/>
    <mergeCell ref="G800:H800"/>
    <mergeCell ref="E802:F802"/>
    <mergeCell ref="E804:F804"/>
    <mergeCell ref="E807:F807"/>
    <mergeCell ref="F776:G776"/>
    <mergeCell ref="F778:G778"/>
    <mergeCell ref="F780:G780"/>
    <mergeCell ref="E818:F818"/>
    <mergeCell ref="A822:A823"/>
    <mergeCell ref="B822:B823"/>
    <mergeCell ref="C822:C823"/>
    <mergeCell ref="D823:I823"/>
    <mergeCell ref="E813:F813"/>
    <mergeCell ref="E815:F815"/>
    <mergeCell ref="E816:F816"/>
    <mergeCell ref="E817:F817"/>
    <mergeCell ref="F825:G825"/>
    <mergeCell ref="F827:G827"/>
    <mergeCell ref="F829:G829"/>
    <mergeCell ref="M837:N837"/>
    <mergeCell ref="J822:J823"/>
    <mergeCell ref="K822:L822"/>
    <mergeCell ref="M822:M823"/>
    <mergeCell ref="N822:O823"/>
    <mergeCell ref="K823:L823"/>
    <mergeCell ref="E846:F846"/>
    <mergeCell ref="G849:H849"/>
    <mergeCell ref="E851:F851"/>
    <mergeCell ref="E853:F853"/>
    <mergeCell ref="M838:N838"/>
    <mergeCell ref="M839:N839"/>
    <mergeCell ref="M840:N840"/>
    <mergeCell ref="C842:C843"/>
    <mergeCell ref="D842:F842"/>
    <mergeCell ref="D843:F843"/>
    <mergeCell ref="E863:F863"/>
    <mergeCell ref="E864:F864"/>
    <mergeCell ref="E865:F865"/>
    <mergeCell ref="E866:F866"/>
    <mergeCell ref="E859:F859"/>
    <mergeCell ref="N860:O860"/>
    <mergeCell ref="N861:O861"/>
    <mergeCell ref="N862:O862"/>
    <mergeCell ref="E855:F855"/>
    <mergeCell ref="E856:F856"/>
    <mergeCell ref="E857:F857"/>
    <mergeCell ref="E858:F858"/>
    <mergeCell ref="K872:L872"/>
    <mergeCell ref="M872:M873"/>
    <mergeCell ref="N872:O873"/>
    <mergeCell ref="K873:L873"/>
    <mergeCell ref="E867:F867"/>
    <mergeCell ref="A872:A873"/>
    <mergeCell ref="B872:B873"/>
    <mergeCell ref="C872:C873"/>
    <mergeCell ref="D873:I873"/>
    <mergeCell ref="F875:G875"/>
    <mergeCell ref="F877:G877"/>
    <mergeCell ref="F879:G879"/>
    <mergeCell ref="C891:C892"/>
    <mergeCell ref="D891:F891"/>
    <mergeCell ref="D892:F892"/>
    <mergeCell ref="F880:G880"/>
    <mergeCell ref="F881:G881"/>
    <mergeCell ref="J872:J873"/>
    <mergeCell ref="N910:O910"/>
    <mergeCell ref="N911:O911"/>
    <mergeCell ref="E912:F912"/>
    <mergeCell ref="E913:F913"/>
    <mergeCell ref="E906:F906"/>
    <mergeCell ref="E907:F907"/>
    <mergeCell ref="E908:F908"/>
    <mergeCell ref="E909:F909"/>
    <mergeCell ref="E895:F895"/>
    <mergeCell ref="E900:F900"/>
    <mergeCell ref="E902:F902"/>
    <mergeCell ref="E905:F905"/>
    <mergeCell ref="J920:J921"/>
    <mergeCell ref="K920:L920"/>
    <mergeCell ref="M920:M921"/>
    <mergeCell ref="N920:O921"/>
    <mergeCell ref="K921:L921"/>
    <mergeCell ref="E914:F914"/>
    <mergeCell ref="E915:F915"/>
    <mergeCell ref="E916:F916"/>
    <mergeCell ref="A920:A921"/>
    <mergeCell ref="B920:B921"/>
    <mergeCell ref="C920:C921"/>
    <mergeCell ref="D921:I921"/>
    <mergeCell ref="E1050:F1050"/>
    <mergeCell ref="E1051:F1051"/>
    <mergeCell ref="E1052:F1052"/>
    <mergeCell ref="E1053:F1053"/>
    <mergeCell ref="I1037:J1037"/>
    <mergeCell ref="C1041:C1042"/>
    <mergeCell ref="D1041:F1041"/>
    <mergeCell ref="D1042:F1042"/>
    <mergeCell ref="F923:G923"/>
    <mergeCell ref="F925:G925"/>
    <mergeCell ref="F927:G927"/>
    <mergeCell ref="E1013:F1013"/>
    <mergeCell ref="E1014:F1014"/>
    <mergeCell ref="F1023:G1023"/>
    <mergeCell ref="F1025:G1025"/>
    <mergeCell ref="F929:G929"/>
    <mergeCell ref="F1027:G1027"/>
    <mergeCell ref="C940:C941"/>
    <mergeCell ref="D940:F940"/>
    <mergeCell ref="D941:F941"/>
    <mergeCell ref="E944:F944"/>
    <mergeCell ref="E949:F949"/>
    <mergeCell ref="E951:F951"/>
    <mergeCell ref="E954:F954"/>
    <mergeCell ref="E1059:F1059"/>
    <mergeCell ref="A1065:A1066"/>
    <mergeCell ref="B1065:B1066"/>
    <mergeCell ref="C1065:C1066"/>
    <mergeCell ref="D1066:I1066"/>
    <mergeCell ref="E1055:F1055"/>
    <mergeCell ref="E1056:F1056"/>
    <mergeCell ref="E1057:F1057"/>
    <mergeCell ref="E1058:F1058"/>
    <mergeCell ref="F1069:G1069"/>
    <mergeCell ref="F1071:G1071"/>
    <mergeCell ref="N1071:P1071"/>
    <mergeCell ref="F1073:G1073"/>
    <mergeCell ref="J1065:J1066"/>
    <mergeCell ref="K1065:L1065"/>
    <mergeCell ref="M1065:M1066"/>
    <mergeCell ref="N1065:O1066"/>
    <mergeCell ref="K1066:L1066"/>
  </mergeCells>
  <phoneticPr fontId="2" type="noConversion"/>
  <printOptions horizontalCentered="1"/>
  <pageMargins left="0.6692913385826772" right="0.59055118110236227" top="1.0236220472440944" bottom="0.78740157480314965" header="0.70866141732283472" footer="0.51181102362204722"/>
  <pageSetup paperSize="9" scale="9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8"/>
  <sheetViews>
    <sheetView view="pageBreakPreview" zoomScaleSheetLayoutView="100" workbookViewId="0">
      <selection activeCell="B3" sqref="B3"/>
    </sheetView>
  </sheetViews>
  <sheetFormatPr defaultRowHeight="12.95" customHeight="1"/>
  <cols>
    <col min="1" max="1" width="1.77734375" style="54" customWidth="1"/>
    <col min="2" max="2" width="3.77734375" style="54" customWidth="1"/>
    <col min="3" max="3" width="3.33203125" style="54" customWidth="1"/>
    <col min="4" max="4" width="8.88671875" style="54"/>
    <col min="5" max="5" width="6.109375" style="54" customWidth="1"/>
    <col min="6" max="6" width="6" style="54" customWidth="1"/>
    <col min="7" max="7" width="6.21875" style="54" customWidth="1"/>
    <col min="8" max="8" width="7.5546875" style="54" customWidth="1"/>
    <col min="9" max="9" width="3.88671875" style="54" customWidth="1"/>
    <col min="10" max="10" width="4.88671875" style="54" customWidth="1"/>
    <col min="11" max="11" width="7.6640625" style="54" customWidth="1"/>
    <col min="12" max="12" width="10" style="54" bestFit="1" customWidth="1"/>
    <col min="13" max="13" width="4.6640625" style="54" customWidth="1"/>
    <col min="14" max="14" width="3" style="54" customWidth="1"/>
    <col min="15" max="15" width="10.88671875" style="54" customWidth="1"/>
    <col min="16" max="16" width="8.44140625" style="54" customWidth="1"/>
    <col min="17" max="17" width="8.88671875" style="54"/>
    <col min="18" max="18" width="6.77734375" style="54" customWidth="1"/>
    <col min="19" max="19" width="8.21875" style="54" customWidth="1"/>
    <col min="20" max="20" width="9.5546875" style="54" customWidth="1"/>
    <col min="21" max="21" width="6.5546875" style="54" customWidth="1"/>
    <col min="22" max="22" width="5.33203125" style="54" customWidth="1"/>
    <col min="23" max="23" width="6.6640625" style="54" customWidth="1"/>
    <col min="24" max="47" width="2.77734375" style="54" customWidth="1"/>
    <col min="48" max="48" width="9.109375" style="54" customWidth="1"/>
    <col min="49" max="16384" width="8.88671875" style="54"/>
  </cols>
  <sheetData>
    <row r="1" spans="1:48" s="19" customFormat="1" ht="21.2" customHeight="1">
      <c r="A1" s="10" t="s">
        <v>237</v>
      </c>
      <c r="B1" s="11"/>
      <c r="C1" s="11"/>
      <c r="D1" s="12"/>
      <c r="E1" s="12"/>
      <c r="F1" s="13"/>
      <c r="G1" s="14">
        <v>8</v>
      </c>
      <c r="H1" s="15" t="s">
        <v>1193</v>
      </c>
      <c r="I1" s="11"/>
      <c r="J1" s="12"/>
      <c r="K1" s="12"/>
      <c r="L1" s="11"/>
      <c r="M1" s="16"/>
      <c r="N1" s="10" t="s">
        <v>238</v>
      </c>
      <c r="O1" s="11"/>
      <c r="P1" s="11"/>
      <c r="Q1" s="12"/>
      <c r="R1" s="12"/>
      <c r="S1" s="13"/>
      <c r="T1" s="13"/>
      <c r="U1" s="13"/>
      <c r="V1" s="11"/>
      <c r="W1" s="16"/>
      <c r="X1" s="10" t="s">
        <v>297</v>
      </c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947">
        <f>사급자재!M223</f>
        <v>88500</v>
      </c>
      <c r="AN1" s="947"/>
      <c r="AO1" s="947"/>
      <c r="AP1" s="17" t="s">
        <v>1435</v>
      </c>
      <c r="AQ1" s="17"/>
      <c r="AR1" s="17"/>
      <c r="AS1" s="948">
        <f>TRUNC(AM1/1.1)</f>
        <v>80454</v>
      </c>
      <c r="AT1" s="948"/>
      <c r="AU1" s="948"/>
      <c r="AV1" s="18"/>
    </row>
    <row r="2" spans="1:48" s="23" customFormat="1" ht="12.95" customHeight="1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2"/>
      <c r="N2" s="20"/>
      <c r="O2" s="21"/>
      <c r="P2" s="21"/>
      <c r="Q2" s="21"/>
      <c r="R2" s="21"/>
      <c r="S2" s="21"/>
      <c r="T2" s="21"/>
      <c r="U2" s="21"/>
      <c r="V2" s="21"/>
      <c r="W2" s="22"/>
      <c r="X2" s="20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2"/>
    </row>
    <row r="3" spans="1:48" s="23" customFormat="1" ht="12.95" customHeight="1">
      <c r="A3" s="20"/>
      <c r="B3" s="24"/>
      <c r="C3" s="21" t="s">
        <v>2003</v>
      </c>
      <c r="D3" s="21"/>
      <c r="E3" s="21"/>
      <c r="F3" s="21"/>
      <c r="G3" s="21"/>
      <c r="H3" s="21"/>
      <c r="I3" s="21"/>
      <c r="J3" s="21"/>
      <c r="K3" s="21"/>
      <c r="L3" s="21"/>
      <c r="M3" s="22"/>
      <c r="N3" s="20"/>
      <c r="O3" s="21" t="s">
        <v>2004</v>
      </c>
      <c r="P3" s="21"/>
      <c r="Q3" s="21"/>
      <c r="R3" s="21"/>
      <c r="S3" s="21"/>
      <c r="T3" s="21"/>
      <c r="U3" s="21"/>
      <c r="V3" s="21"/>
      <c r="W3" s="22"/>
      <c r="X3" s="20"/>
      <c r="Y3" s="869" t="s">
        <v>2005</v>
      </c>
      <c r="Z3" s="869"/>
      <c r="AA3" s="869"/>
      <c r="AB3" s="869"/>
      <c r="AC3" s="869" t="s">
        <v>2006</v>
      </c>
      <c r="AD3" s="869"/>
      <c r="AE3" s="869"/>
      <c r="AF3" s="869"/>
      <c r="AG3" s="873" t="s">
        <v>2007</v>
      </c>
      <c r="AH3" s="869"/>
      <c r="AI3" s="869"/>
      <c r="AJ3" s="869" t="s">
        <v>2008</v>
      </c>
      <c r="AK3" s="869"/>
      <c r="AL3" s="869"/>
      <c r="AM3" s="869" t="s">
        <v>2009</v>
      </c>
      <c r="AN3" s="869"/>
      <c r="AO3" s="869"/>
      <c r="AP3" s="869" t="s">
        <v>2010</v>
      </c>
      <c r="AQ3" s="869"/>
      <c r="AR3" s="869"/>
      <c r="AS3" s="869" t="s">
        <v>2011</v>
      </c>
      <c r="AT3" s="869"/>
      <c r="AU3" s="869"/>
      <c r="AV3" s="22"/>
    </row>
    <row r="4" spans="1:48" s="23" customFormat="1" ht="12.95" customHeight="1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2"/>
      <c r="N4" s="20"/>
      <c r="O4" s="21"/>
      <c r="P4" s="21"/>
      <c r="Q4" s="21"/>
      <c r="R4" s="21"/>
      <c r="S4" s="21"/>
      <c r="T4" s="21"/>
      <c r="U4" s="21"/>
      <c r="V4" s="21"/>
      <c r="W4" s="22"/>
      <c r="X4" s="20"/>
      <c r="Y4" s="869"/>
      <c r="Z4" s="869"/>
      <c r="AA4" s="869"/>
      <c r="AB4" s="869"/>
      <c r="AC4" s="869"/>
      <c r="AD4" s="869"/>
      <c r="AE4" s="869"/>
      <c r="AF4" s="869"/>
      <c r="AG4" s="869"/>
      <c r="AH4" s="869"/>
      <c r="AI4" s="869"/>
      <c r="AJ4" s="869"/>
      <c r="AK4" s="869"/>
      <c r="AL4" s="869"/>
      <c r="AM4" s="869"/>
      <c r="AN4" s="869"/>
      <c r="AO4" s="869"/>
      <c r="AP4" s="869"/>
      <c r="AQ4" s="869"/>
      <c r="AR4" s="869"/>
      <c r="AS4" s="869"/>
      <c r="AT4" s="869"/>
      <c r="AU4" s="869"/>
      <c r="AV4" s="22"/>
    </row>
    <row r="5" spans="1:48" s="23" customFormat="1" ht="12.95" customHeight="1">
      <c r="A5" s="20"/>
      <c r="B5" s="21"/>
      <c r="C5" s="26" t="s">
        <v>2012</v>
      </c>
      <c r="D5" s="21"/>
      <c r="E5" s="27">
        <f>G1*1000</f>
        <v>8000</v>
      </c>
      <c r="F5" s="28" t="s">
        <v>300</v>
      </c>
      <c r="G5" s="28">
        <v>40</v>
      </c>
      <c r="H5" s="21" t="s">
        <v>2013</v>
      </c>
      <c r="I5" s="870">
        <f>TRUNC(E5/G5)</f>
        <v>200</v>
      </c>
      <c r="J5" s="870"/>
      <c r="K5" s="21"/>
      <c r="L5" s="21"/>
      <c r="M5" s="22"/>
      <c r="N5" s="20"/>
      <c r="O5" s="869" t="s">
        <v>239</v>
      </c>
      <c r="P5" s="869" t="s">
        <v>2014</v>
      </c>
      <c r="Q5" s="869"/>
      <c r="R5" s="869"/>
      <c r="S5" s="869" t="s">
        <v>2015</v>
      </c>
      <c r="T5" s="869"/>
      <c r="U5" s="869"/>
      <c r="V5" s="869" t="s">
        <v>918</v>
      </c>
      <c r="W5" s="22"/>
      <c r="X5" s="20"/>
      <c r="Y5" s="933" t="s">
        <v>2016</v>
      </c>
      <c r="Z5" s="933"/>
      <c r="AA5" s="933"/>
      <c r="AB5" s="933"/>
      <c r="AC5" s="887" t="s">
        <v>2017</v>
      </c>
      <c r="AD5" s="887"/>
      <c r="AE5" s="887"/>
      <c r="AF5" s="887"/>
      <c r="AG5" s="949">
        <f>AS1</f>
        <v>80454</v>
      </c>
      <c r="AH5" s="949"/>
      <c r="AI5" s="949"/>
      <c r="AJ5" s="858">
        <v>154</v>
      </c>
      <c r="AK5" s="858"/>
      <c r="AL5" s="858"/>
      <c r="AM5" s="858">
        <f>TRUNC($AG$5/AJ5)</f>
        <v>522</v>
      </c>
      <c r="AN5" s="858"/>
      <c r="AO5" s="858"/>
      <c r="AP5" s="858">
        <f>TRUNC(1/AJ5*(AJ5*0.95/5+10)/450*7*$AS$12)</f>
        <v>355</v>
      </c>
      <c r="AQ5" s="858"/>
      <c r="AR5" s="858"/>
      <c r="AS5" s="858">
        <f>SUM(AM5:AR6)</f>
        <v>877</v>
      </c>
      <c r="AT5" s="858"/>
      <c r="AU5" s="858"/>
      <c r="AV5" s="22"/>
    </row>
    <row r="6" spans="1:48" s="23" customFormat="1" ht="12.95" customHeight="1">
      <c r="A6" s="20"/>
      <c r="B6" s="21"/>
      <c r="C6" s="21"/>
      <c r="D6" s="21"/>
      <c r="E6" s="27"/>
      <c r="F6" s="28"/>
      <c r="G6" s="29"/>
      <c r="H6" s="28" t="s">
        <v>1582</v>
      </c>
      <c r="I6" s="870">
        <v>200</v>
      </c>
      <c r="J6" s="870"/>
      <c r="K6" s="21" t="s">
        <v>2018</v>
      </c>
      <c r="L6" s="21"/>
      <c r="M6" s="22"/>
      <c r="N6" s="20"/>
      <c r="O6" s="869"/>
      <c r="P6" s="869"/>
      <c r="Q6" s="869"/>
      <c r="R6" s="869"/>
      <c r="S6" s="869"/>
      <c r="T6" s="869"/>
      <c r="U6" s="869"/>
      <c r="V6" s="869"/>
      <c r="W6" s="22"/>
      <c r="X6" s="20"/>
      <c r="Y6" s="933"/>
      <c r="Z6" s="933"/>
      <c r="AA6" s="933"/>
      <c r="AB6" s="933"/>
      <c r="AC6" s="887"/>
      <c r="AD6" s="887"/>
      <c r="AE6" s="887"/>
      <c r="AF6" s="887"/>
      <c r="AG6" s="949"/>
      <c r="AH6" s="949"/>
      <c r="AI6" s="949"/>
      <c r="AJ6" s="858"/>
      <c r="AK6" s="858"/>
      <c r="AL6" s="858"/>
      <c r="AM6" s="858"/>
      <c r="AN6" s="858"/>
      <c r="AO6" s="858"/>
      <c r="AP6" s="858"/>
      <c r="AQ6" s="858"/>
      <c r="AR6" s="858"/>
      <c r="AS6" s="858"/>
      <c r="AT6" s="858"/>
      <c r="AU6" s="858"/>
      <c r="AV6" s="22"/>
    </row>
    <row r="7" spans="1:48" s="23" customFormat="1" ht="12.95" customHeight="1">
      <c r="A7" s="20"/>
      <c r="B7" s="21"/>
      <c r="C7" s="26" t="s">
        <v>2019</v>
      </c>
      <c r="D7" s="21"/>
      <c r="E7" s="27"/>
      <c r="F7" s="28"/>
      <c r="G7" s="28"/>
      <c r="H7" s="21"/>
      <c r="I7" s="28"/>
      <c r="J7" s="28"/>
      <c r="K7" s="21"/>
      <c r="L7" s="21"/>
      <c r="M7" s="22"/>
      <c r="N7" s="20"/>
      <c r="O7" s="869" t="s">
        <v>2020</v>
      </c>
      <c r="P7" s="903">
        <f>사급자재!M225</f>
        <v>107260</v>
      </c>
      <c r="Q7" s="905" t="s">
        <v>2021</v>
      </c>
      <c r="R7" s="906">
        <f>TRUNC(P7/1.1/10)</f>
        <v>9750</v>
      </c>
      <c r="S7" s="907">
        <f>R7</f>
        <v>9750</v>
      </c>
      <c r="T7" s="905" t="s">
        <v>2022</v>
      </c>
      <c r="U7" s="909">
        <f>TRUNC(S7/1000,0)</f>
        <v>9</v>
      </c>
      <c r="V7" s="869"/>
      <c r="W7" s="22"/>
      <c r="X7" s="20"/>
      <c r="Y7" s="933" t="s">
        <v>2023</v>
      </c>
      <c r="Z7" s="933"/>
      <c r="AA7" s="933"/>
      <c r="AB7" s="933"/>
      <c r="AC7" s="887" t="s">
        <v>1453</v>
      </c>
      <c r="AD7" s="887"/>
      <c r="AE7" s="887"/>
      <c r="AF7" s="887"/>
      <c r="AG7" s="949"/>
      <c r="AH7" s="949"/>
      <c r="AI7" s="949"/>
      <c r="AJ7" s="858">
        <v>72</v>
      </c>
      <c r="AK7" s="858"/>
      <c r="AL7" s="858"/>
      <c r="AM7" s="858">
        <f>TRUNC($AG$5/AJ7)</f>
        <v>1117</v>
      </c>
      <c r="AN7" s="858"/>
      <c r="AO7" s="858"/>
      <c r="AP7" s="858">
        <f>TRUNC(1/AJ7*(AJ7*0.95/2+10)/450*7*$AS$12)</f>
        <v>855</v>
      </c>
      <c r="AQ7" s="858"/>
      <c r="AR7" s="858"/>
      <c r="AS7" s="858">
        <f>SUM(AM7:AR8)</f>
        <v>1972</v>
      </c>
      <c r="AT7" s="858"/>
      <c r="AU7" s="858"/>
      <c r="AV7" s="22"/>
    </row>
    <row r="8" spans="1:48" s="23" customFormat="1" ht="12.95" customHeight="1">
      <c r="A8" s="20"/>
      <c r="B8" s="21"/>
      <c r="C8" s="21"/>
      <c r="D8" s="21"/>
      <c r="E8" s="27"/>
      <c r="F8" s="28"/>
      <c r="G8" s="28"/>
      <c r="H8" s="21"/>
      <c r="I8" s="28"/>
      <c r="J8" s="28"/>
      <c r="K8" s="21"/>
      <c r="L8" s="21"/>
      <c r="M8" s="22"/>
      <c r="N8" s="20"/>
      <c r="O8" s="869"/>
      <c r="P8" s="904"/>
      <c r="Q8" s="905"/>
      <c r="R8" s="906"/>
      <c r="S8" s="907"/>
      <c r="T8" s="905"/>
      <c r="U8" s="909"/>
      <c r="V8" s="869"/>
      <c r="W8" s="22"/>
      <c r="X8" s="20"/>
      <c r="Y8" s="933"/>
      <c r="Z8" s="933"/>
      <c r="AA8" s="933"/>
      <c r="AB8" s="933"/>
      <c r="AC8" s="887"/>
      <c r="AD8" s="887"/>
      <c r="AE8" s="887"/>
      <c r="AF8" s="887"/>
      <c r="AG8" s="949"/>
      <c r="AH8" s="949"/>
      <c r="AI8" s="949"/>
      <c r="AJ8" s="858"/>
      <c r="AK8" s="858"/>
      <c r="AL8" s="858"/>
      <c r="AM8" s="858"/>
      <c r="AN8" s="858"/>
      <c r="AO8" s="858"/>
      <c r="AP8" s="858"/>
      <c r="AQ8" s="858"/>
      <c r="AR8" s="858"/>
      <c r="AS8" s="858"/>
      <c r="AT8" s="858"/>
      <c r="AU8" s="858"/>
      <c r="AV8" s="22"/>
    </row>
    <row r="9" spans="1:48" s="23" customFormat="1" ht="12.95" customHeight="1">
      <c r="A9" s="20"/>
      <c r="B9" s="21"/>
      <c r="C9" s="21"/>
      <c r="D9" s="869" t="s">
        <v>2024</v>
      </c>
      <c r="E9" s="893" t="s">
        <v>2025</v>
      </c>
      <c r="F9" s="894"/>
      <c r="G9" s="893" t="s">
        <v>2026</v>
      </c>
      <c r="H9" s="894"/>
      <c r="I9" s="897" t="s">
        <v>2027</v>
      </c>
      <c r="J9" s="869" t="s">
        <v>2028</v>
      </c>
      <c r="K9" s="869"/>
      <c r="L9" s="869" t="s">
        <v>2029</v>
      </c>
      <c r="M9" s="22"/>
      <c r="N9" s="20"/>
      <c r="O9" s="21"/>
      <c r="P9" s="21"/>
      <c r="Q9" s="21"/>
      <c r="R9" s="21"/>
      <c r="S9" s="21"/>
      <c r="T9" s="21"/>
      <c r="U9" s="21"/>
      <c r="V9" s="21"/>
      <c r="W9" s="22"/>
      <c r="X9" s="20"/>
      <c r="Y9" s="933" t="s">
        <v>2030</v>
      </c>
      <c r="Z9" s="933"/>
      <c r="AA9" s="933"/>
      <c r="AB9" s="933"/>
      <c r="AC9" s="887" t="s">
        <v>1736</v>
      </c>
      <c r="AD9" s="887"/>
      <c r="AE9" s="887"/>
      <c r="AF9" s="887"/>
      <c r="AG9" s="949"/>
      <c r="AH9" s="949"/>
      <c r="AI9" s="949"/>
      <c r="AJ9" s="858">
        <v>61</v>
      </c>
      <c r="AK9" s="858"/>
      <c r="AL9" s="858"/>
      <c r="AM9" s="858">
        <f>TRUNC($AG$5/AJ9)</f>
        <v>1318</v>
      </c>
      <c r="AN9" s="858"/>
      <c r="AO9" s="858"/>
      <c r="AP9" s="858">
        <f>AS22</f>
        <v>548.29201101928379</v>
      </c>
      <c r="AQ9" s="858"/>
      <c r="AR9" s="858"/>
      <c r="AS9" s="858">
        <f>SUM(AM9:AR10)</f>
        <v>1866.2920110192838</v>
      </c>
      <c r="AT9" s="858"/>
      <c r="AU9" s="858"/>
      <c r="AV9" s="22"/>
    </row>
    <row r="10" spans="1:48" s="23" customFormat="1" ht="12.95" customHeight="1">
      <c r="A10" s="20"/>
      <c r="B10" s="21"/>
      <c r="C10" s="21"/>
      <c r="D10" s="869"/>
      <c r="E10" s="895"/>
      <c r="F10" s="896"/>
      <c r="G10" s="895"/>
      <c r="H10" s="896"/>
      <c r="I10" s="898"/>
      <c r="J10" s="869"/>
      <c r="K10" s="869"/>
      <c r="L10" s="869"/>
      <c r="M10" s="22"/>
      <c r="N10" s="20"/>
      <c r="O10" s="21" t="s">
        <v>664</v>
      </c>
      <c r="P10" s="21"/>
      <c r="Q10" s="21"/>
      <c r="R10" s="21"/>
      <c r="S10" s="21"/>
      <c r="T10" s="21"/>
      <c r="U10" s="21"/>
      <c r="V10" s="21"/>
      <c r="W10" s="22"/>
      <c r="X10" s="20"/>
      <c r="Y10" s="933"/>
      <c r="Z10" s="933"/>
      <c r="AA10" s="933"/>
      <c r="AB10" s="933"/>
      <c r="AC10" s="887"/>
      <c r="AD10" s="887"/>
      <c r="AE10" s="887"/>
      <c r="AF10" s="887"/>
      <c r="AG10" s="949"/>
      <c r="AH10" s="949"/>
      <c r="AI10" s="949"/>
      <c r="AJ10" s="858"/>
      <c r="AK10" s="858"/>
      <c r="AL10" s="858"/>
      <c r="AM10" s="858"/>
      <c r="AN10" s="858"/>
      <c r="AO10" s="858"/>
      <c r="AP10" s="858"/>
      <c r="AQ10" s="858"/>
      <c r="AR10" s="858"/>
      <c r="AS10" s="858"/>
      <c r="AT10" s="858"/>
      <c r="AU10" s="858"/>
      <c r="AV10" s="22"/>
    </row>
    <row r="11" spans="1:48" s="23" customFormat="1" ht="12.95" customHeight="1">
      <c r="A11" s="20"/>
      <c r="B11" s="21"/>
      <c r="C11" s="21"/>
      <c r="D11" s="869" t="s">
        <v>665</v>
      </c>
      <c r="E11" s="910">
        <f>사급자재!M222</f>
        <v>67020</v>
      </c>
      <c r="F11" s="911"/>
      <c r="G11" s="893" t="s">
        <v>2145</v>
      </c>
      <c r="H11" s="894"/>
      <c r="I11" s="909" t="s">
        <v>460</v>
      </c>
      <c r="J11" s="899" t="s">
        <v>666</v>
      </c>
      <c r="K11" s="900"/>
      <c r="L11" s="869">
        <f>TRUNC(E11/1.1/200,1)</f>
        <v>304.60000000000002</v>
      </c>
      <c r="M11" s="22"/>
      <c r="N11" s="20"/>
      <c r="O11" s="21"/>
      <c r="P11" s="21"/>
      <c r="Q11" s="21"/>
      <c r="R11" s="21"/>
      <c r="S11" s="21"/>
      <c r="T11" s="21"/>
      <c r="U11" s="21"/>
      <c r="V11" s="21"/>
      <c r="W11" s="22"/>
      <c r="X11" s="20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2"/>
    </row>
    <row r="12" spans="1:48" s="23" customFormat="1" ht="12.95" customHeight="1">
      <c r="A12" s="20"/>
      <c r="B12" s="21"/>
      <c r="C12" s="21"/>
      <c r="D12" s="869"/>
      <c r="E12" s="910"/>
      <c r="F12" s="911"/>
      <c r="G12" s="895"/>
      <c r="H12" s="896"/>
      <c r="I12" s="909"/>
      <c r="J12" s="901"/>
      <c r="K12" s="902"/>
      <c r="L12" s="869"/>
      <c r="M12" s="22"/>
      <c r="N12" s="20"/>
      <c r="O12" s="869" t="s">
        <v>239</v>
      </c>
      <c r="P12" s="869" t="s">
        <v>2014</v>
      </c>
      <c r="Q12" s="869"/>
      <c r="R12" s="869"/>
      <c r="S12" s="869" t="s">
        <v>2015</v>
      </c>
      <c r="T12" s="869"/>
      <c r="U12" s="869"/>
      <c r="V12" s="869" t="s">
        <v>918</v>
      </c>
      <c r="W12" s="22"/>
      <c r="X12" s="20"/>
      <c r="Y12" s="21" t="s">
        <v>3192</v>
      </c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 t="s">
        <v>1162</v>
      </c>
      <c r="AO12" s="21"/>
      <c r="AP12" s="21" t="s">
        <v>3193</v>
      </c>
      <c r="AQ12" s="32"/>
      <c r="AR12" s="32"/>
      <c r="AS12" s="857">
        <f>SUMIF('노임(2015)'!$B$4:$B$87,AN12,'노임(2015)'!$C$4:$C$87)+SUMIF('노임(2015)'!$E$4:$E$87,AN12,'노임(2015)'!$F$4:$F$87)</f>
        <v>89566</v>
      </c>
      <c r="AT12" s="857"/>
      <c r="AU12" s="857"/>
      <c r="AV12" s="22"/>
    </row>
    <row r="13" spans="1:48" s="23" customFormat="1" ht="12.95" customHeight="1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2"/>
      <c r="N13" s="20"/>
      <c r="O13" s="869"/>
      <c r="P13" s="869"/>
      <c r="Q13" s="869"/>
      <c r="R13" s="869"/>
      <c r="S13" s="869"/>
      <c r="T13" s="869"/>
      <c r="U13" s="869"/>
      <c r="V13" s="869"/>
      <c r="W13" s="22"/>
      <c r="X13" s="20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2"/>
    </row>
    <row r="14" spans="1:48" s="23" customFormat="1" ht="12.95" customHeight="1">
      <c r="A14" s="20"/>
      <c r="B14" s="21"/>
      <c r="C14" s="21" t="s">
        <v>667</v>
      </c>
      <c r="D14" s="21"/>
      <c r="E14" s="33">
        <f>사급자재!M69</f>
        <v>450</v>
      </c>
      <c r="F14" s="21" t="s">
        <v>2029</v>
      </c>
      <c r="G14" s="28" t="s">
        <v>300</v>
      </c>
      <c r="H14" s="28">
        <v>1.1000000000000001</v>
      </c>
      <c r="I14" s="28" t="s">
        <v>1582</v>
      </c>
      <c r="J14" s="908">
        <f>TRUNC(E14/H14,1)</f>
        <v>409</v>
      </c>
      <c r="K14" s="908"/>
      <c r="L14" s="21" t="s">
        <v>668</v>
      </c>
      <c r="M14" s="22"/>
      <c r="N14" s="20"/>
      <c r="O14" s="869" t="s">
        <v>2020</v>
      </c>
      <c r="P14" s="903">
        <f>사급자재!M226</f>
        <v>150540</v>
      </c>
      <c r="Q14" s="905" t="s">
        <v>2021</v>
      </c>
      <c r="R14" s="906">
        <f>TRUNC(P14/1.1/10)</f>
        <v>13685</v>
      </c>
      <c r="S14" s="907">
        <f>R14</f>
        <v>13685</v>
      </c>
      <c r="T14" s="905" t="s">
        <v>2022</v>
      </c>
      <c r="U14" s="909">
        <f>TRUNC(S14/1000,0)</f>
        <v>13</v>
      </c>
      <c r="V14" s="869"/>
      <c r="W14" s="22"/>
      <c r="X14" s="20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 t="s">
        <v>669</v>
      </c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2"/>
    </row>
    <row r="15" spans="1:48" s="23" customFormat="1" ht="12.95" customHeight="1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2"/>
      <c r="N15" s="20"/>
      <c r="O15" s="869"/>
      <c r="P15" s="904"/>
      <c r="Q15" s="905"/>
      <c r="R15" s="906"/>
      <c r="S15" s="907"/>
      <c r="T15" s="905"/>
      <c r="U15" s="909"/>
      <c r="V15" s="869"/>
      <c r="W15" s="22"/>
      <c r="X15" s="20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2"/>
    </row>
    <row r="16" spans="1:48" s="23" customFormat="1" ht="12.95" customHeight="1">
      <c r="A16" s="20"/>
      <c r="B16" s="21"/>
      <c r="C16" s="21" t="s">
        <v>670</v>
      </c>
      <c r="D16" s="21"/>
      <c r="E16" s="21" t="str">
        <f>"("&amp;G1&amp;"톤 덤프트럭 기준) "</f>
        <v xml:space="preserve">(8톤 덤프트럭 기준) </v>
      </c>
      <c r="F16" s="21"/>
      <c r="G16" s="21"/>
      <c r="H16" s="21"/>
      <c r="I16" s="21"/>
      <c r="J16" s="21"/>
      <c r="K16" s="21"/>
      <c r="L16" s="21"/>
      <c r="M16" s="22"/>
      <c r="N16" s="34"/>
      <c r="O16" s="35"/>
      <c r="P16" s="35"/>
      <c r="Q16" s="35"/>
      <c r="R16" s="35"/>
      <c r="S16" s="35"/>
      <c r="T16" s="35"/>
      <c r="U16" s="35"/>
      <c r="V16" s="35"/>
      <c r="W16" s="36"/>
      <c r="X16" s="20"/>
      <c r="Y16" s="21" t="s">
        <v>2210</v>
      </c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2"/>
    </row>
    <row r="17" spans="1:48" s="23" customFormat="1" ht="12.95" customHeight="1">
      <c r="A17" s="20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2"/>
      <c r="N17" s="37"/>
      <c r="O17" s="21"/>
      <c r="P17" s="21"/>
      <c r="Q17" s="21"/>
      <c r="R17" s="21"/>
      <c r="S17" s="21"/>
      <c r="T17" s="21"/>
      <c r="U17" s="21"/>
      <c r="V17" s="21"/>
      <c r="W17" s="37"/>
      <c r="X17" s="20"/>
      <c r="Y17" s="21"/>
      <c r="Z17" s="26" t="s">
        <v>671</v>
      </c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2"/>
    </row>
    <row r="18" spans="1:48" s="23" customFormat="1" ht="12.95" customHeight="1">
      <c r="A18" s="20"/>
      <c r="B18" s="21"/>
      <c r="C18" s="21"/>
      <c r="D18" s="21" t="s">
        <v>672</v>
      </c>
      <c r="E18" s="21"/>
      <c r="F18" s="29">
        <v>1</v>
      </c>
      <c r="G18" s="21" t="s">
        <v>1288</v>
      </c>
      <c r="H18" s="21"/>
      <c r="I18" s="38">
        <v>1</v>
      </c>
      <c r="J18" s="21" t="s">
        <v>1163</v>
      </c>
      <c r="K18" s="21"/>
      <c r="L18" s="21"/>
      <c r="M18" s="22"/>
      <c r="N18" s="929" t="s">
        <v>1289</v>
      </c>
      <c r="O18" s="930"/>
      <c r="P18" s="930"/>
      <c r="Q18" s="930"/>
      <c r="R18" s="930"/>
      <c r="S18" s="930"/>
      <c r="T18" s="930"/>
      <c r="U18" s="930"/>
      <c r="V18" s="930"/>
      <c r="W18" s="944"/>
      <c r="X18" s="20"/>
      <c r="Y18" s="21"/>
      <c r="Z18" s="26" t="s">
        <v>2212</v>
      </c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2"/>
    </row>
    <row r="19" spans="1:48" s="23" customFormat="1" ht="12.95" customHeight="1">
      <c r="A19" s="20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39"/>
      <c r="M19" s="22"/>
      <c r="N19" s="931"/>
      <c r="O19" s="932"/>
      <c r="P19" s="932"/>
      <c r="Q19" s="932"/>
      <c r="R19" s="932"/>
      <c r="S19" s="932"/>
      <c r="T19" s="932"/>
      <c r="U19" s="932"/>
      <c r="V19" s="932"/>
      <c r="W19" s="945"/>
      <c r="X19" s="20"/>
      <c r="Y19" s="21"/>
      <c r="Z19" s="26" t="s">
        <v>295</v>
      </c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2"/>
    </row>
    <row r="20" spans="1:48" s="23" customFormat="1" ht="12.95" customHeight="1">
      <c r="A20" s="20"/>
      <c r="B20" s="21"/>
      <c r="C20" s="21"/>
      <c r="D20" s="21" t="s">
        <v>2208</v>
      </c>
      <c r="E20" s="21"/>
      <c r="F20" s="21"/>
      <c r="G20" s="21"/>
      <c r="H20" s="28">
        <v>20</v>
      </c>
      <c r="I20" s="21" t="s">
        <v>1190</v>
      </c>
      <c r="J20" s="21"/>
      <c r="K20" s="21"/>
      <c r="L20" s="21"/>
      <c r="M20" s="22"/>
      <c r="N20" s="40"/>
      <c r="O20" s="41"/>
      <c r="P20" s="41"/>
      <c r="Q20" s="41"/>
      <c r="R20" s="41"/>
      <c r="S20" s="41"/>
      <c r="T20" s="41"/>
      <c r="U20" s="41"/>
      <c r="V20" s="41"/>
      <c r="W20" s="42"/>
      <c r="X20" s="20"/>
      <c r="Y20" s="21"/>
      <c r="Z20" s="21" t="s">
        <v>2211</v>
      </c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870">
        <v>72.599999999999994</v>
      </c>
      <c r="AT20" s="870"/>
      <c r="AU20" s="870"/>
      <c r="AV20" s="22"/>
    </row>
    <row r="21" spans="1:48" s="23" customFormat="1" ht="12.95" customHeight="1">
      <c r="A21" s="20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2"/>
      <c r="N21" s="20"/>
      <c r="O21" s="869" t="s">
        <v>239</v>
      </c>
      <c r="P21" s="899" t="s">
        <v>1290</v>
      </c>
      <c r="Q21" s="914"/>
      <c r="R21" s="914"/>
      <c r="S21" s="914"/>
      <c r="T21" s="914"/>
      <c r="U21" s="900"/>
      <c r="V21" s="912" t="s">
        <v>918</v>
      </c>
      <c r="W21" s="22"/>
      <c r="X21" s="20"/>
      <c r="Y21" s="21"/>
      <c r="Z21" s="26" t="s">
        <v>296</v>
      </c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866">
        <f>중기사용료!$M$1083</f>
        <v>39806</v>
      </c>
      <c r="AT21" s="866"/>
      <c r="AU21" s="866"/>
      <c r="AV21" s="22" t="s">
        <v>975</v>
      </c>
    </row>
    <row r="22" spans="1:48" s="23" customFormat="1" ht="12.95" customHeight="1">
      <c r="A22" s="20"/>
      <c r="B22" s="21"/>
      <c r="C22" s="21"/>
      <c r="D22" s="21" t="s">
        <v>1291</v>
      </c>
      <c r="E22" s="21"/>
      <c r="F22" s="27">
        <v>2500</v>
      </c>
      <c r="G22" s="21" t="s">
        <v>1292</v>
      </c>
      <c r="H22" s="44">
        <f>F22/60</f>
        <v>41.666666666666664</v>
      </c>
      <c r="I22" s="21" t="s">
        <v>1293</v>
      </c>
      <c r="J22" s="21"/>
      <c r="K22" s="21"/>
      <c r="L22" s="21"/>
      <c r="M22" s="22"/>
      <c r="N22" s="20"/>
      <c r="O22" s="869"/>
      <c r="P22" s="901"/>
      <c r="Q22" s="915"/>
      <c r="R22" s="915"/>
      <c r="S22" s="915"/>
      <c r="T22" s="915"/>
      <c r="U22" s="902"/>
      <c r="V22" s="913"/>
      <c r="W22" s="22"/>
      <c r="X22" s="20"/>
      <c r="Y22" s="21"/>
      <c r="Z22" s="21" t="s">
        <v>1601</v>
      </c>
      <c r="AA22" s="21" t="s">
        <v>2213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866">
        <f>AS21/AS20</f>
        <v>548.29201101928379</v>
      </c>
      <c r="AT22" s="866"/>
      <c r="AU22" s="866"/>
      <c r="AV22" s="22" t="s">
        <v>975</v>
      </c>
    </row>
    <row r="23" spans="1:48" s="23" customFormat="1" ht="12.95" customHeight="1">
      <c r="A23" s="20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2"/>
      <c r="N23" s="20"/>
      <c r="O23" s="869" t="s">
        <v>1436</v>
      </c>
      <c r="P23" s="446">
        <f>사급자재!M224</f>
        <v>84020</v>
      </c>
      <c r="Q23" s="41" t="s">
        <v>1294</v>
      </c>
      <c r="R23" s="45" t="s">
        <v>1582</v>
      </c>
      <c r="S23" s="43">
        <f>TRUNC(P23/35/200,1)</f>
        <v>12</v>
      </c>
      <c r="T23" s="41"/>
      <c r="U23" s="42"/>
      <c r="V23" s="437"/>
      <c r="W23" s="22"/>
      <c r="X23" s="20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2"/>
    </row>
    <row r="24" spans="1:48" s="23" customFormat="1" ht="12.95" customHeight="1">
      <c r="A24" s="20"/>
      <c r="B24" s="21"/>
      <c r="C24" s="21"/>
      <c r="D24" s="21" t="s">
        <v>1295</v>
      </c>
      <c r="E24" s="21"/>
      <c r="F24" s="21"/>
      <c r="G24" s="21"/>
      <c r="H24" s="21"/>
      <c r="I24" s="21"/>
      <c r="J24" s="21"/>
      <c r="K24" s="21"/>
      <c r="L24" s="21"/>
      <c r="M24" s="22"/>
      <c r="N24" s="20"/>
      <c r="O24" s="869"/>
      <c r="P24" s="20" t="s">
        <v>1296</v>
      </c>
      <c r="Q24" s="21"/>
      <c r="R24" s="32">
        <f>SUMIF('노임(2015)'!$B$4:$B$87,P25,'노임(2015)'!$C$4:$C$87)+SUMIF('노임(2015)'!$E$4:$E$87,P25,'노임(2015)'!$F$4:$F$87)</f>
        <v>89566</v>
      </c>
      <c r="S24" s="21" t="s">
        <v>1297</v>
      </c>
      <c r="T24" s="21"/>
      <c r="U24" s="46">
        <f>TRUNC(80/450*9*R24/35/200,1)</f>
        <v>20.399999999999999</v>
      </c>
      <c r="V24" s="438"/>
      <c r="W24" s="22"/>
      <c r="X24" s="20"/>
      <c r="Y24" s="21" t="s">
        <v>1298</v>
      </c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2"/>
    </row>
    <row r="25" spans="1:48" s="23" customFormat="1" ht="12.95" customHeight="1">
      <c r="A25" s="20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2"/>
      <c r="N25" s="20"/>
      <c r="O25" s="869"/>
      <c r="P25" s="20" t="s">
        <v>1162</v>
      </c>
      <c r="Q25" s="21"/>
      <c r="R25" s="21"/>
      <c r="S25" s="21"/>
      <c r="T25" s="21"/>
      <c r="U25" s="22"/>
      <c r="V25" s="438"/>
      <c r="W25" s="22"/>
      <c r="X25" s="20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2"/>
    </row>
    <row r="26" spans="1:48" s="23" customFormat="1" ht="12.95" customHeight="1">
      <c r="A26" s="20"/>
      <c r="B26" s="21"/>
      <c r="C26" s="21"/>
      <c r="D26" s="47" t="s">
        <v>1601</v>
      </c>
      <c r="E26" s="28">
        <f>H20</f>
        <v>20</v>
      </c>
      <c r="F26" s="28" t="s">
        <v>972</v>
      </c>
      <c r="G26" s="48">
        <f>F18+I18</f>
        <v>2</v>
      </c>
      <c r="H26" s="47" t="s">
        <v>1299</v>
      </c>
      <c r="I26" s="28">
        <v>1</v>
      </c>
      <c r="J26" s="28" t="s">
        <v>300</v>
      </c>
      <c r="K26" s="28">
        <v>7</v>
      </c>
      <c r="L26" s="49" t="s">
        <v>2112</v>
      </c>
      <c r="M26" s="22"/>
      <c r="N26" s="20"/>
      <c r="O26" s="869"/>
      <c r="P26" s="34"/>
      <c r="Q26" s="35"/>
      <c r="R26" s="35"/>
      <c r="S26" s="35"/>
      <c r="T26" s="882">
        <f>TRUNC(S23+U24,0)</f>
        <v>32</v>
      </c>
      <c r="U26" s="883"/>
      <c r="V26" s="439"/>
      <c r="W26" s="22"/>
      <c r="X26" s="869" t="s">
        <v>681</v>
      </c>
      <c r="Y26" s="869"/>
      <c r="Z26" s="869"/>
      <c r="AA26" s="869"/>
      <c r="AB26" s="869" t="s">
        <v>1527</v>
      </c>
      <c r="AC26" s="869"/>
      <c r="AD26" s="869"/>
      <c r="AE26" s="869" t="s">
        <v>682</v>
      </c>
      <c r="AF26" s="869"/>
      <c r="AG26" s="869"/>
      <c r="AH26" s="869"/>
      <c r="AI26" s="869"/>
      <c r="AJ26" s="869"/>
      <c r="AK26" s="869"/>
      <c r="AL26" s="869"/>
      <c r="AM26" s="869"/>
      <c r="AN26" s="869"/>
      <c r="AO26" s="869" t="s">
        <v>2008</v>
      </c>
      <c r="AP26" s="869"/>
      <c r="AQ26" s="869"/>
      <c r="AR26" s="869"/>
      <c r="AS26" s="869"/>
      <c r="AT26" s="869"/>
      <c r="AU26" s="869" t="s">
        <v>918</v>
      </c>
      <c r="AV26" s="869"/>
    </row>
    <row r="27" spans="1:48" s="23" customFormat="1" ht="12.95" customHeight="1">
      <c r="A27" s="20"/>
      <c r="B27" s="21"/>
      <c r="C27" s="21"/>
      <c r="D27" s="21"/>
      <c r="E27" s="28" t="s">
        <v>1582</v>
      </c>
      <c r="F27" s="21">
        <f>E26*G26*(I26/K26)</f>
        <v>5.7142857142857135</v>
      </c>
      <c r="G27" s="21" t="s">
        <v>683</v>
      </c>
      <c r="H27" s="28">
        <f>TRUNC(F27)</f>
        <v>5</v>
      </c>
      <c r="I27" s="21" t="s">
        <v>1163</v>
      </c>
      <c r="J27" s="21"/>
      <c r="K27" s="21"/>
      <c r="L27" s="21"/>
      <c r="M27" s="22"/>
      <c r="N27" s="34"/>
      <c r="O27" s="35"/>
      <c r="P27" s="35"/>
      <c r="Q27" s="35"/>
      <c r="R27" s="35"/>
      <c r="S27" s="35"/>
      <c r="T27" s="35"/>
      <c r="U27" s="35"/>
      <c r="V27" s="35"/>
      <c r="W27" s="36"/>
      <c r="X27" s="869"/>
      <c r="Y27" s="869"/>
      <c r="Z27" s="869"/>
      <c r="AA27" s="869"/>
      <c r="AB27" s="869"/>
      <c r="AC27" s="869"/>
      <c r="AD27" s="869"/>
      <c r="AE27" s="869"/>
      <c r="AF27" s="869"/>
      <c r="AG27" s="869"/>
      <c r="AH27" s="869"/>
      <c r="AI27" s="869"/>
      <c r="AJ27" s="869"/>
      <c r="AK27" s="869"/>
      <c r="AL27" s="869"/>
      <c r="AM27" s="869"/>
      <c r="AN27" s="869"/>
      <c r="AO27" s="869"/>
      <c r="AP27" s="869"/>
      <c r="AQ27" s="869"/>
      <c r="AR27" s="869"/>
      <c r="AS27" s="869"/>
      <c r="AT27" s="869"/>
      <c r="AU27" s="869"/>
      <c r="AV27" s="869"/>
    </row>
    <row r="28" spans="1:48" s="23" customFormat="1" ht="12.95" customHeight="1">
      <c r="A28" s="20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2"/>
      <c r="X28" s="892" t="s">
        <v>2016</v>
      </c>
      <c r="Y28" s="892"/>
      <c r="Z28" s="892"/>
      <c r="AA28" s="892"/>
      <c r="AB28" s="887" t="s">
        <v>2017</v>
      </c>
      <c r="AC28" s="887"/>
      <c r="AD28" s="887"/>
      <c r="AE28" s="891">
        <v>0.15</v>
      </c>
      <c r="AF28" s="890"/>
      <c r="AG28" s="890">
        <v>0.15</v>
      </c>
      <c r="AH28" s="890"/>
      <c r="AI28" s="884">
        <v>1</v>
      </c>
      <c r="AJ28" s="885">
        <v>2300</v>
      </c>
      <c r="AK28" s="885"/>
      <c r="AL28" s="874">
        <f>TRUNC(AE28*AG28*AI28*AJ28,2)</f>
        <v>51.75</v>
      </c>
      <c r="AM28" s="874"/>
      <c r="AN28" s="875"/>
      <c r="AO28" s="867">
        <v>8000</v>
      </c>
      <c r="AP28" s="868"/>
      <c r="AQ28" s="859">
        <f>AL28</f>
        <v>51.75</v>
      </c>
      <c r="AR28" s="859"/>
      <c r="AS28" s="860">
        <f>TRUNC(AO28/AQ28)</f>
        <v>154</v>
      </c>
      <c r="AT28" s="861"/>
      <c r="AU28" s="862" t="s">
        <v>684</v>
      </c>
      <c r="AV28" s="863"/>
    </row>
    <row r="29" spans="1:48" s="23" customFormat="1" ht="12.95" customHeight="1">
      <c r="A29" s="20"/>
      <c r="B29" s="21"/>
      <c r="C29" s="21"/>
      <c r="D29" s="21" t="s">
        <v>685</v>
      </c>
      <c r="E29" s="21"/>
      <c r="F29" s="21" t="s">
        <v>240</v>
      </c>
      <c r="G29" s="21" t="s">
        <v>686</v>
      </c>
      <c r="H29" s="21"/>
      <c r="I29" s="908">
        <f>TRUNC((20/42*2),2)</f>
        <v>0.95</v>
      </c>
      <c r="J29" s="908"/>
      <c r="K29" s="21" t="s">
        <v>241</v>
      </c>
      <c r="L29" s="21"/>
      <c r="M29" s="22"/>
      <c r="N29" s="929" t="s">
        <v>687</v>
      </c>
      <c r="O29" s="930"/>
      <c r="P29" s="930"/>
      <c r="Q29" s="930"/>
      <c r="R29" s="930"/>
      <c r="S29" s="930"/>
      <c r="T29" s="871">
        <f>사급자재!M223</f>
        <v>88500</v>
      </c>
      <c r="U29" s="876" t="s">
        <v>688</v>
      </c>
      <c r="V29" s="878">
        <f>TRUNC(T29/1.1)</f>
        <v>80454</v>
      </c>
      <c r="W29" s="879"/>
      <c r="X29" s="892"/>
      <c r="Y29" s="892"/>
      <c r="Z29" s="892"/>
      <c r="AA29" s="892"/>
      <c r="AB29" s="887"/>
      <c r="AC29" s="887"/>
      <c r="AD29" s="887"/>
      <c r="AE29" s="891"/>
      <c r="AF29" s="890"/>
      <c r="AG29" s="890"/>
      <c r="AH29" s="890"/>
      <c r="AI29" s="884"/>
      <c r="AJ29" s="885"/>
      <c r="AK29" s="885"/>
      <c r="AL29" s="874"/>
      <c r="AM29" s="874"/>
      <c r="AN29" s="875"/>
      <c r="AO29" s="867"/>
      <c r="AP29" s="868"/>
      <c r="AQ29" s="859"/>
      <c r="AR29" s="859"/>
      <c r="AS29" s="860"/>
      <c r="AT29" s="861"/>
      <c r="AU29" s="864"/>
      <c r="AV29" s="865"/>
    </row>
    <row r="30" spans="1:48" s="23" customFormat="1" ht="12.95" customHeight="1">
      <c r="A30" s="20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2"/>
      <c r="N30" s="931"/>
      <c r="O30" s="932"/>
      <c r="P30" s="932"/>
      <c r="Q30" s="932"/>
      <c r="R30" s="932"/>
      <c r="S30" s="932"/>
      <c r="T30" s="872"/>
      <c r="U30" s="877"/>
      <c r="V30" s="880"/>
      <c r="W30" s="881"/>
      <c r="X30" s="886" t="s">
        <v>2023</v>
      </c>
      <c r="Y30" s="886"/>
      <c r="Z30" s="886"/>
      <c r="AA30" s="886"/>
      <c r="AB30" s="887" t="s">
        <v>1453</v>
      </c>
      <c r="AC30" s="887"/>
      <c r="AD30" s="887"/>
      <c r="AE30" s="888">
        <f>(0.18+0.205)/2</f>
        <v>0.1925</v>
      </c>
      <c r="AF30" s="889"/>
      <c r="AG30" s="890">
        <v>0.25</v>
      </c>
      <c r="AH30" s="890"/>
      <c r="AI30" s="884">
        <v>1</v>
      </c>
      <c r="AJ30" s="885">
        <v>2300</v>
      </c>
      <c r="AK30" s="885"/>
      <c r="AL30" s="874">
        <f>TRUNC(AE30*AG30*AI30*AJ30,2)</f>
        <v>110.68</v>
      </c>
      <c r="AM30" s="874"/>
      <c r="AN30" s="875"/>
      <c r="AO30" s="867">
        <v>8000</v>
      </c>
      <c r="AP30" s="868"/>
      <c r="AQ30" s="859">
        <f>AL30</f>
        <v>110.68</v>
      </c>
      <c r="AR30" s="859"/>
      <c r="AS30" s="860">
        <f>TRUNC(AO30/AQ30)</f>
        <v>72</v>
      </c>
      <c r="AT30" s="861"/>
      <c r="AU30" s="862" t="s">
        <v>689</v>
      </c>
      <c r="AV30" s="863"/>
    </row>
    <row r="31" spans="1:48" s="23" customFormat="1" ht="12.95" customHeight="1">
      <c r="A31" s="20"/>
      <c r="B31" s="21"/>
      <c r="C31" s="21"/>
      <c r="D31" s="47" t="s">
        <v>1601</v>
      </c>
      <c r="E31" s="50">
        <f>I6</f>
        <v>200</v>
      </c>
      <c r="F31" s="28" t="s">
        <v>972</v>
      </c>
      <c r="G31" s="51">
        <f>I29</f>
        <v>0.95</v>
      </c>
      <c r="H31" s="28" t="s">
        <v>300</v>
      </c>
      <c r="I31" s="870">
        <f>H27</f>
        <v>5</v>
      </c>
      <c r="J31" s="870"/>
      <c r="K31" s="28" t="s">
        <v>1582</v>
      </c>
      <c r="L31" s="28">
        <f>TRUNC((E31*G31/I31))</f>
        <v>38</v>
      </c>
      <c r="M31" s="22" t="s">
        <v>241</v>
      </c>
      <c r="N31" s="40"/>
      <c r="O31" s="41"/>
      <c r="P31" s="41"/>
      <c r="Q31" s="41"/>
      <c r="R31" s="41"/>
      <c r="S31" s="41"/>
      <c r="T31" s="41"/>
      <c r="U31" s="41"/>
      <c r="V31" s="41"/>
      <c r="W31" s="42"/>
      <c r="X31" s="886"/>
      <c r="Y31" s="886"/>
      <c r="Z31" s="886"/>
      <c r="AA31" s="886"/>
      <c r="AB31" s="887"/>
      <c r="AC31" s="887"/>
      <c r="AD31" s="887"/>
      <c r="AE31" s="888"/>
      <c r="AF31" s="889"/>
      <c r="AG31" s="890"/>
      <c r="AH31" s="890"/>
      <c r="AI31" s="884"/>
      <c r="AJ31" s="885"/>
      <c r="AK31" s="885"/>
      <c r="AL31" s="874"/>
      <c r="AM31" s="874"/>
      <c r="AN31" s="875"/>
      <c r="AO31" s="867"/>
      <c r="AP31" s="868"/>
      <c r="AQ31" s="859"/>
      <c r="AR31" s="859"/>
      <c r="AS31" s="860"/>
      <c r="AT31" s="861"/>
      <c r="AU31" s="864"/>
      <c r="AV31" s="865"/>
    </row>
    <row r="32" spans="1:48" s="23" customFormat="1" ht="12.95" customHeight="1">
      <c r="A32" s="20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2"/>
      <c r="N32" s="20"/>
      <c r="O32" s="869" t="s">
        <v>690</v>
      </c>
      <c r="P32" s="869" t="s">
        <v>2008</v>
      </c>
      <c r="Q32" s="873" t="s">
        <v>2007</v>
      </c>
      <c r="R32" s="869" t="s">
        <v>691</v>
      </c>
      <c r="S32" s="869"/>
      <c r="T32" s="869" t="s">
        <v>692</v>
      </c>
      <c r="U32" s="869" t="s">
        <v>918</v>
      </c>
      <c r="V32" s="869"/>
      <c r="W32" s="22"/>
      <c r="X32" s="886" t="s">
        <v>2030</v>
      </c>
      <c r="Y32" s="886"/>
      <c r="Z32" s="886"/>
      <c r="AA32" s="886"/>
      <c r="AB32" s="887" t="s">
        <v>1736</v>
      </c>
      <c r="AC32" s="887"/>
      <c r="AD32" s="887"/>
      <c r="AE32" s="888" t="s">
        <v>2209</v>
      </c>
      <c r="AF32" s="889"/>
      <c r="AG32" s="890" t="s">
        <v>1582</v>
      </c>
      <c r="AH32" s="890"/>
      <c r="AI32" s="884"/>
      <c r="AJ32" s="885"/>
      <c r="AK32" s="885"/>
      <c r="AL32" s="874" t="s">
        <v>693</v>
      </c>
      <c r="AM32" s="874"/>
      <c r="AN32" s="875"/>
      <c r="AO32" s="867">
        <v>8000</v>
      </c>
      <c r="AP32" s="868"/>
      <c r="AQ32" s="859" t="str">
        <f>AL32</f>
        <v>130kg/㎡</v>
      </c>
      <c r="AR32" s="859"/>
      <c r="AS32" s="860" t="s">
        <v>694</v>
      </c>
      <c r="AT32" s="861"/>
      <c r="AU32" s="862" t="s">
        <v>689</v>
      </c>
      <c r="AV32" s="863"/>
    </row>
    <row r="33" spans="1:48" s="23" customFormat="1" ht="12.95" customHeight="1">
      <c r="A33" s="20"/>
      <c r="B33" s="21"/>
      <c r="C33" s="21"/>
      <c r="D33" s="21" t="s">
        <v>695</v>
      </c>
      <c r="E33" s="21"/>
      <c r="F33" s="21"/>
      <c r="G33" s="21"/>
      <c r="H33" s="21"/>
      <c r="I33" s="21"/>
      <c r="J33" s="21"/>
      <c r="K33" s="21"/>
      <c r="L33" s="28">
        <v>10</v>
      </c>
      <c r="M33" s="22" t="s">
        <v>241</v>
      </c>
      <c r="N33" s="20"/>
      <c r="O33" s="869"/>
      <c r="P33" s="869"/>
      <c r="Q33" s="869"/>
      <c r="R33" s="869"/>
      <c r="S33" s="869"/>
      <c r="T33" s="869"/>
      <c r="U33" s="869"/>
      <c r="V33" s="869"/>
      <c r="W33" s="22"/>
      <c r="X33" s="886"/>
      <c r="Y33" s="886"/>
      <c r="Z33" s="886"/>
      <c r="AA33" s="886"/>
      <c r="AB33" s="887"/>
      <c r="AC33" s="887"/>
      <c r="AD33" s="887"/>
      <c r="AE33" s="888"/>
      <c r="AF33" s="889"/>
      <c r="AG33" s="890"/>
      <c r="AH33" s="890"/>
      <c r="AI33" s="884"/>
      <c r="AJ33" s="885"/>
      <c r="AK33" s="885"/>
      <c r="AL33" s="874"/>
      <c r="AM33" s="874"/>
      <c r="AN33" s="875"/>
      <c r="AO33" s="867"/>
      <c r="AP33" s="868"/>
      <c r="AQ33" s="859"/>
      <c r="AR33" s="859"/>
      <c r="AS33" s="860"/>
      <c r="AT33" s="861"/>
      <c r="AU33" s="864"/>
      <c r="AV33" s="865"/>
    </row>
    <row r="34" spans="1:48" s="23" customFormat="1" ht="12.95" customHeight="1">
      <c r="A34" s="20"/>
      <c r="B34" s="21"/>
      <c r="C34" s="21"/>
      <c r="D34" s="47"/>
      <c r="E34" s="21"/>
      <c r="F34" s="21"/>
      <c r="G34" s="21"/>
      <c r="H34" s="21"/>
      <c r="I34" s="21"/>
      <c r="J34" s="21"/>
      <c r="K34" s="21"/>
      <c r="L34" s="21"/>
      <c r="M34" s="22"/>
      <c r="N34" s="20"/>
      <c r="O34" s="25" t="s">
        <v>696</v>
      </c>
      <c r="P34" s="52">
        <v>40</v>
      </c>
      <c r="Q34" s="946">
        <f>V29</f>
        <v>80454</v>
      </c>
      <c r="R34" s="927">
        <f>TRUNC($Q$34/P34)</f>
        <v>2011</v>
      </c>
      <c r="S34" s="927"/>
      <c r="T34" s="53">
        <f>TRUNC(R34/2.5)</f>
        <v>804</v>
      </c>
      <c r="U34" s="869" t="s">
        <v>697</v>
      </c>
      <c r="V34" s="869"/>
      <c r="W34" s="22"/>
    </row>
    <row r="35" spans="1:48" s="23" customFormat="1" ht="12.95" customHeight="1">
      <c r="A35" s="20"/>
      <c r="B35" s="21"/>
      <c r="C35" s="21"/>
      <c r="D35" s="47" t="s">
        <v>1601</v>
      </c>
      <c r="E35" s="28" t="s">
        <v>698</v>
      </c>
      <c r="F35" s="28" t="s">
        <v>242</v>
      </c>
      <c r="G35" s="28">
        <f>L31</f>
        <v>38</v>
      </c>
      <c r="H35" s="28" t="s">
        <v>397</v>
      </c>
      <c r="I35" s="870">
        <f>L33</f>
        <v>10</v>
      </c>
      <c r="J35" s="870"/>
      <c r="K35" s="28" t="s">
        <v>1582</v>
      </c>
      <c r="L35" s="28">
        <f>G35+I35</f>
        <v>48</v>
      </c>
      <c r="M35" s="22" t="s">
        <v>241</v>
      </c>
      <c r="N35" s="20"/>
      <c r="O35" s="25" t="s">
        <v>699</v>
      </c>
      <c r="P35" s="52">
        <v>36</v>
      </c>
      <c r="Q35" s="946"/>
      <c r="R35" s="927">
        <f t="shared" ref="R35:R44" si="0">TRUNC($Q$34/P35)</f>
        <v>2234</v>
      </c>
      <c r="S35" s="927"/>
      <c r="T35" s="53">
        <f t="shared" ref="T35:T44" si="1">TRUNC(R35/2.5)</f>
        <v>893</v>
      </c>
      <c r="U35" s="869"/>
      <c r="V35" s="869"/>
      <c r="W35" s="22"/>
    </row>
    <row r="36" spans="1:48" s="23" customFormat="1" ht="12.95" customHeight="1">
      <c r="A36" s="20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2"/>
      <c r="N36" s="20"/>
      <c r="O36" s="25" t="s">
        <v>700</v>
      </c>
      <c r="P36" s="52">
        <v>20</v>
      </c>
      <c r="Q36" s="946"/>
      <c r="R36" s="927">
        <f t="shared" si="0"/>
        <v>4022</v>
      </c>
      <c r="S36" s="927"/>
      <c r="T36" s="53">
        <f t="shared" si="1"/>
        <v>1608</v>
      </c>
      <c r="U36" s="869"/>
      <c r="V36" s="869"/>
      <c r="W36" s="22"/>
    </row>
    <row r="37" spans="1:48" s="23" customFormat="1" ht="12.95" customHeight="1">
      <c r="A37" s="20"/>
      <c r="B37" s="21"/>
      <c r="C37" s="21"/>
      <c r="D37" s="47" t="s">
        <v>1601</v>
      </c>
      <c r="E37" s="21" t="s">
        <v>701</v>
      </c>
      <c r="F37" s="21"/>
      <c r="G37" s="21" t="s">
        <v>3184</v>
      </c>
      <c r="H37" s="21"/>
      <c r="I37" s="21"/>
      <c r="J37" s="21"/>
      <c r="K37" s="21"/>
      <c r="L37" s="21"/>
      <c r="M37" s="22"/>
      <c r="N37" s="20"/>
      <c r="O37" s="25" t="s">
        <v>702</v>
      </c>
      <c r="P37" s="52">
        <v>16</v>
      </c>
      <c r="Q37" s="946"/>
      <c r="R37" s="927">
        <f t="shared" si="0"/>
        <v>5028</v>
      </c>
      <c r="S37" s="927"/>
      <c r="T37" s="53">
        <f t="shared" si="1"/>
        <v>2011</v>
      </c>
      <c r="U37" s="869"/>
      <c r="V37" s="869"/>
      <c r="W37" s="22"/>
    </row>
    <row r="38" spans="1:48" s="23" customFormat="1" ht="12.95" customHeight="1">
      <c r="A38" s="20"/>
      <c r="B38" s="21"/>
      <c r="C38" s="21"/>
      <c r="D38" s="21"/>
      <c r="E38" s="21"/>
      <c r="F38" s="21"/>
      <c r="G38" s="21"/>
      <c r="H38" s="21"/>
      <c r="I38" s="21"/>
      <c r="J38" s="21"/>
      <c r="K38" s="28"/>
      <c r="L38" s="21"/>
      <c r="M38" s="22"/>
      <c r="N38" s="20"/>
      <c r="O38" s="25" t="s">
        <v>703</v>
      </c>
      <c r="P38" s="52">
        <v>12</v>
      </c>
      <c r="Q38" s="946"/>
      <c r="R38" s="927">
        <f t="shared" si="0"/>
        <v>6704</v>
      </c>
      <c r="S38" s="927"/>
      <c r="T38" s="53">
        <f t="shared" si="1"/>
        <v>2681</v>
      </c>
      <c r="U38" s="869"/>
      <c r="V38" s="869"/>
      <c r="W38" s="22"/>
    </row>
    <row r="39" spans="1:48" s="23" customFormat="1" ht="12.95" customHeight="1">
      <c r="A39" s="20"/>
      <c r="B39" s="21"/>
      <c r="C39" s="21"/>
      <c r="D39" s="21"/>
      <c r="E39" s="26" t="str">
        <f>"1/"&amp;I6&amp;"× ("&amp;L35&amp;"/450) × "</f>
        <v xml:space="preserve">1/200× (48/450) × </v>
      </c>
      <c r="F39" s="21"/>
      <c r="G39" s="21"/>
      <c r="H39" s="28">
        <v>7</v>
      </c>
      <c r="I39" s="28" t="s">
        <v>1163</v>
      </c>
      <c r="J39" s="28" t="s">
        <v>972</v>
      </c>
      <c r="K39" s="928">
        <f>SUMIF('노임(2015)'!$B$4:$B$87,G37,'노임(2015)'!$C$4:$C$87)+SUMIF('노임(2015)'!$E$4:$E$87,G37,'노임(2015)'!$F$4:$F$87)</f>
        <v>89566</v>
      </c>
      <c r="L39" s="928"/>
      <c r="M39" s="22" t="s">
        <v>975</v>
      </c>
      <c r="N39" s="20"/>
      <c r="O39" s="25" t="s">
        <v>704</v>
      </c>
      <c r="P39" s="52">
        <v>9</v>
      </c>
      <c r="Q39" s="946"/>
      <c r="R39" s="927">
        <f t="shared" si="0"/>
        <v>8939</v>
      </c>
      <c r="S39" s="927"/>
      <c r="T39" s="53">
        <f t="shared" si="1"/>
        <v>3575</v>
      </c>
      <c r="U39" s="869"/>
      <c r="V39" s="869"/>
      <c r="W39" s="22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</row>
    <row r="40" spans="1:48" s="23" customFormat="1" ht="12.95" customHeight="1">
      <c r="A40" s="20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2"/>
      <c r="N40" s="20"/>
      <c r="O40" s="25" t="s">
        <v>705</v>
      </c>
      <c r="P40" s="52">
        <v>6</v>
      </c>
      <c r="Q40" s="946"/>
      <c r="R40" s="927">
        <f t="shared" si="0"/>
        <v>13409</v>
      </c>
      <c r="S40" s="927"/>
      <c r="T40" s="53">
        <f t="shared" si="1"/>
        <v>5363</v>
      </c>
      <c r="U40" s="869"/>
      <c r="V40" s="869"/>
      <c r="W40" s="22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</row>
    <row r="41" spans="1:48" s="23" customFormat="1" ht="12.95" customHeight="1">
      <c r="A41" s="20"/>
      <c r="B41" s="21"/>
      <c r="C41" s="21"/>
      <c r="D41" s="21"/>
      <c r="E41" s="28" t="s">
        <v>1582</v>
      </c>
      <c r="F41" s="29">
        <f>TRUNC(K39*(1/I6)*(L35/450)*H39,1)</f>
        <v>334.3</v>
      </c>
      <c r="G41" s="21" t="s">
        <v>2029</v>
      </c>
      <c r="H41" s="21"/>
      <c r="I41" s="21"/>
      <c r="J41" s="21"/>
      <c r="K41" s="21"/>
      <c r="L41" s="21"/>
      <c r="M41" s="22"/>
      <c r="N41" s="20"/>
      <c r="O41" s="25" t="s">
        <v>706</v>
      </c>
      <c r="P41" s="52">
        <v>5</v>
      </c>
      <c r="Q41" s="946"/>
      <c r="R41" s="927">
        <f t="shared" si="0"/>
        <v>16090</v>
      </c>
      <c r="S41" s="927"/>
      <c r="T41" s="53">
        <f t="shared" si="1"/>
        <v>6436</v>
      </c>
      <c r="U41" s="869"/>
      <c r="V41" s="869"/>
      <c r="W41" s="22"/>
    </row>
    <row r="42" spans="1:48" s="23" customFormat="1" ht="12.95" customHeight="1">
      <c r="A42" s="20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 t="s">
        <v>2265</v>
      </c>
      <c r="M42" s="22"/>
      <c r="N42" s="20"/>
      <c r="O42" s="25" t="s">
        <v>707</v>
      </c>
      <c r="P42" s="52">
        <v>4</v>
      </c>
      <c r="Q42" s="946"/>
      <c r="R42" s="927">
        <f t="shared" si="0"/>
        <v>20113</v>
      </c>
      <c r="S42" s="927"/>
      <c r="T42" s="53">
        <f t="shared" si="1"/>
        <v>8045</v>
      </c>
      <c r="U42" s="869"/>
      <c r="V42" s="869"/>
      <c r="W42" s="22"/>
    </row>
    <row r="43" spans="1:48" s="23" customFormat="1" ht="12.95" customHeight="1">
      <c r="A43" s="20"/>
      <c r="B43" s="869" t="s">
        <v>239</v>
      </c>
      <c r="C43" s="869"/>
      <c r="D43" s="912" t="s">
        <v>1115</v>
      </c>
      <c r="E43" s="914" t="s">
        <v>708</v>
      </c>
      <c r="F43" s="914"/>
      <c r="G43" s="914"/>
      <c r="H43" s="914"/>
      <c r="I43" s="914"/>
      <c r="J43" s="914"/>
      <c r="K43" s="900"/>
      <c r="L43" s="916" t="s">
        <v>709</v>
      </c>
      <c r="M43" s="22"/>
      <c r="N43" s="20"/>
      <c r="O43" s="25" t="s">
        <v>710</v>
      </c>
      <c r="P43" s="52">
        <v>3</v>
      </c>
      <c r="Q43" s="946"/>
      <c r="R43" s="927">
        <f t="shared" si="0"/>
        <v>26818</v>
      </c>
      <c r="S43" s="927"/>
      <c r="T43" s="53">
        <f t="shared" si="1"/>
        <v>10727</v>
      </c>
      <c r="U43" s="869"/>
      <c r="V43" s="869"/>
      <c r="W43" s="22"/>
    </row>
    <row r="44" spans="1:48" s="23" customFormat="1" ht="12.95" customHeight="1">
      <c r="A44" s="20"/>
      <c r="B44" s="869"/>
      <c r="C44" s="869"/>
      <c r="D44" s="913"/>
      <c r="E44" s="915"/>
      <c r="F44" s="915"/>
      <c r="G44" s="915"/>
      <c r="H44" s="915"/>
      <c r="I44" s="915"/>
      <c r="J44" s="915"/>
      <c r="K44" s="902"/>
      <c r="L44" s="917"/>
      <c r="M44" s="22"/>
      <c r="N44" s="20"/>
      <c r="O44" s="25" t="s">
        <v>711</v>
      </c>
      <c r="P44" s="52">
        <v>2</v>
      </c>
      <c r="Q44" s="946"/>
      <c r="R44" s="927">
        <f t="shared" si="0"/>
        <v>40227</v>
      </c>
      <c r="S44" s="927"/>
      <c r="T44" s="53">
        <f t="shared" si="1"/>
        <v>16090</v>
      </c>
      <c r="U44" s="869"/>
      <c r="V44" s="869"/>
      <c r="W44" s="22"/>
    </row>
    <row r="45" spans="1:48" s="23" customFormat="1" ht="12.95" customHeight="1">
      <c r="A45" s="20"/>
      <c r="B45" s="869"/>
      <c r="C45" s="869"/>
      <c r="D45" s="869" t="s">
        <v>712</v>
      </c>
      <c r="E45" s="869" t="s">
        <v>713</v>
      </c>
      <c r="F45" s="869"/>
      <c r="G45" s="869" t="s">
        <v>1198</v>
      </c>
      <c r="H45" s="869"/>
      <c r="I45" s="869" t="s">
        <v>1454</v>
      </c>
      <c r="J45" s="869"/>
      <c r="K45" s="869"/>
      <c r="L45" s="917"/>
      <c r="M45" s="22"/>
      <c r="N45" s="20"/>
      <c r="O45" s="21"/>
      <c r="P45" s="21"/>
      <c r="Q45" s="21"/>
      <c r="R45" s="21"/>
      <c r="S45" s="21"/>
      <c r="T45" s="21"/>
      <c r="U45" s="21"/>
      <c r="V45" s="21"/>
      <c r="W45" s="22"/>
    </row>
    <row r="46" spans="1:48" s="23" customFormat="1" ht="12.95" customHeight="1">
      <c r="A46" s="20"/>
      <c r="B46" s="869"/>
      <c r="C46" s="869"/>
      <c r="D46" s="869"/>
      <c r="E46" s="869"/>
      <c r="F46" s="869"/>
      <c r="G46" s="869"/>
      <c r="H46" s="869"/>
      <c r="I46" s="869"/>
      <c r="J46" s="869"/>
      <c r="K46" s="869"/>
      <c r="L46" s="918"/>
      <c r="M46" s="22"/>
      <c r="N46" s="34"/>
      <c r="O46" s="35"/>
      <c r="P46" s="35"/>
      <c r="Q46" s="35"/>
      <c r="R46" s="35"/>
      <c r="S46" s="35"/>
      <c r="T46" s="35"/>
      <c r="U46" s="35"/>
      <c r="V46" s="35"/>
      <c r="W46" s="36"/>
    </row>
    <row r="47" spans="1:48" s="23" customFormat="1" ht="12.95" customHeight="1">
      <c r="A47" s="20"/>
      <c r="B47" s="899" t="s">
        <v>714</v>
      </c>
      <c r="C47" s="900"/>
      <c r="D47" s="925">
        <f>F41</f>
        <v>334.3</v>
      </c>
      <c r="E47" s="919">
        <f>J14</f>
        <v>409</v>
      </c>
      <c r="F47" s="921"/>
      <c r="G47" s="919">
        <f>L11</f>
        <v>304.60000000000002</v>
      </c>
      <c r="H47" s="921"/>
      <c r="I47" s="919">
        <f>E47+G47</f>
        <v>713.6</v>
      </c>
      <c r="J47" s="920"/>
      <c r="K47" s="921"/>
      <c r="L47" s="925">
        <f>D47+I47</f>
        <v>1047.9000000000001</v>
      </c>
      <c r="M47" s="22"/>
    </row>
    <row r="48" spans="1:48" s="23" customFormat="1" ht="12.95" customHeight="1">
      <c r="A48" s="20"/>
      <c r="B48" s="901"/>
      <c r="C48" s="902"/>
      <c r="D48" s="926"/>
      <c r="E48" s="922"/>
      <c r="F48" s="924"/>
      <c r="G48" s="922"/>
      <c r="H48" s="924"/>
      <c r="I48" s="922"/>
      <c r="J48" s="923"/>
      <c r="K48" s="924"/>
      <c r="L48" s="926"/>
      <c r="M48" s="22"/>
    </row>
    <row r="49" spans="1:48" s="23" customFormat="1" ht="12.95" customHeight="1">
      <c r="A49" s="20"/>
      <c r="B49" s="899" t="s">
        <v>2015</v>
      </c>
      <c r="C49" s="900"/>
      <c r="D49" s="934">
        <f>TRUNC(D47/B50,1)</f>
        <v>8.3000000000000007</v>
      </c>
      <c r="E49" s="936">
        <f>TRUNC(E47/B50,2)</f>
        <v>10.220000000000001</v>
      </c>
      <c r="F49" s="937"/>
      <c r="G49" s="936">
        <f>TRUNC(G47/B50,1)</f>
        <v>7.6</v>
      </c>
      <c r="H49" s="937"/>
      <c r="I49" s="936">
        <f>E49+G49</f>
        <v>17.82</v>
      </c>
      <c r="J49" s="940"/>
      <c r="K49" s="937"/>
      <c r="L49" s="942">
        <f>TRUNC(D49+I49,0)</f>
        <v>26</v>
      </c>
      <c r="M49" s="22"/>
    </row>
    <row r="50" spans="1:48" s="23" customFormat="1" ht="12.95" customHeight="1">
      <c r="A50" s="20"/>
      <c r="B50" s="30">
        <v>40</v>
      </c>
      <c r="C50" s="31" t="s">
        <v>1799</v>
      </c>
      <c r="D50" s="935"/>
      <c r="E50" s="938"/>
      <c r="F50" s="939"/>
      <c r="G50" s="938"/>
      <c r="H50" s="939"/>
      <c r="I50" s="938"/>
      <c r="J50" s="941"/>
      <c r="K50" s="939"/>
      <c r="L50" s="943"/>
      <c r="M50" s="22"/>
    </row>
    <row r="51" spans="1:48" s="23" customFormat="1" ht="12.95" customHeight="1">
      <c r="A51" s="34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6"/>
    </row>
    <row r="52" spans="1:48" ht="12.95" customHeight="1"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spans="1:48" ht="12.95" customHeight="1"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</row>
    <row r="54" spans="1:48" ht="12.95" customHeight="1"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</row>
    <row r="55" spans="1:48" ht="12.95" customHeight="1"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</row>
    <row r="56" spans="1:48" ht="12.95" customHeight="1"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</row>
    <row r="57" spans="1:48" ht="12.95" customHeight="1"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</row>
    <row r="58" spans="1:48" ht="12.95" customHeight="1"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</row>
  </sheetData>
  <mergeCells count="162">
    <mergeCell ref="AS3:AU4"/>
    <mergeCell ref="AM1:AO1"/>
    <mergeCell ref="AS1:AU1"/>
    <mergeCell ref="V5:V6"/>
    <mergeCell ref="AG3:AI4"/>
    <mergeCell ref="AJ3:AL4"/>
    <mergeCell ref="AM3:AO4"/>
    <mergeCell ref="AP3:AR4"/>
    <mergeCell ref="Y5:AB6"/>
    <mergeCell ref="Y3:AB4"/>
    <mergeCell ref="AC3:AF4"/>
    <mergeCell ref="AJ5:AL6"/>
    <mergeCell ref="AC5:AF6"/>
    <mergeCell ref="AM5:AO6"/>
    <mergeCell ref="AP5:AR6"/>
    <mergeCell ref="AS5:AU6"/>
    <mergeCell ref="AG5:AI10"/>
    <mergeCell ref="Y7:AB8"/>
    <mergeCell ref="AS7:AU8"/>
    <mergeCell ref="AP9:AR10"/>
    <mergeCell ref="AS9:AU10"/>
    <mergeCell ref="V7:V8"/>
    <mergeCell ref="AJ7:AL8"/>
    <mergeCell ref="AC7:AF8"/>
    <mergeCell ref="O5:O6"/>
    <mergeCell ref="P5:R6"/>
    <mergeCell ref="S5:U6"/>
    <mergeCell ref="O12:O13"/>
    <mergeCell ref="P12:R13"/>
    <mergeCell ref="S12:U13"/>
    <mergeCell ref="S7:S8"/>
    <mergeCell ref="T7:T8"/>
    <mergeCell ref="U7:U8"/>
    <mergeCell ref="O7:O8"/>
    <mergeCell ref="P7:P8"/>
    <mergeCell ref="Q7:Q8"/>
    <mergeCell ref="R7:R8"/>
    <mergeCell ref="AC9:AF10"/>
    <mergeCell ref="Y9:AB10"/>
    <mergeCell ref="AJ9:AL10"/>
    <mergeCell ref="AM9:AO10"/>
    <mergeCell ref="B49:C49"/>
    <mergeCell ref="D49:D50"/>
    <mergeCell ref="E49:F50"/>
    <mergeCell ref="G49:H50"/>
    <mergeCell ref="I49:K50"/>
    <mergeCell ref="L49:L50"/>
    <mergeCell ref="B47:C48"/>
    <mergeCell ref="D47:D48"/>
    <mergeCell ref="N18:W19"/>
    <mergeCell ref="I45:K46"/>
    <mergeCell ref="O21:O22"/>
    <mergeCell ref="P21:U22"/>
    <mergeCell ref="V21:V22"/>
    <mergeCell ref="O23:O26"/>
    <mergeCell ref="R44:S44"/>
    <mergeCell ref="U34:V44"/>
    <mergeCell ref="Q34:Q44"/>
    <mergeCell ref="R34:S34"/>
    <mergeCell ref="R35:S35"/>
    <mergeCell ref="R36:S36"/>
    <mergeCell ref="R37:S37"/>
    <mergeCell ref="R38:S38"/>
    <mergeCell ref="R39:S39"/>
    <mergeCell ref="R40:S40"/>
    <mergeCell ref="I29:J29"/>
    <mergeCell ref="I31:J31"/>
    <mergeCell ref="I35:J35"/>
    <mergeCell ref="E47:F48"/>
    <mergeCell ref="G47:H48"/>
    <mergeCell ref="K39:L39"/>
    <mergeCell ref="R43:S43"/>
    <mergeCell ref="R41:S41"/>
    <mergeCell ref="R42:S42"/>
    <mergeCell ref="N29:S30"/>
    <mergeCell ref="B43:C46"/>
    <mergeCell ref="D43:D44"/>
    <mergeCell ref="E43:K44"/>
    <mergeCell ref="L43:L46"/>
    <mergeCell ref="D45:D46"/>
    <mergeCell ref="E45:F46"/>
    <mergeCell ref="G45:H46"/>
    <mergeCell ref="I47:K48"/>
    <mergeCell ref="L47:L48"/>
    <mergeCell ref="E9:F10"/>
    <mergeCell ref="I5:J5"/>
    <mergeCell ref="D9:D10"/>
    <mergeCell ref="J9:K10"/>
    <mergeCell ref="I6:J6"/>
    <mergeCell ref="G9:H10"/>
    <mergeCell ref="D11:D12"/>
    <mergeCell ref="E11:F12"/>
    <mergeCell ref="I11:I12"/>
    <mergeCell ref="L11:L12"/>
    <mergeCell ref="G11:H12"/>
    <mergeCell ref="I9:I10"/>
    <mergeCell ref="J11:K12"/>
    <mergeCell ref="L9:L10"/>
    <mergeCell ref="V12:V13"/>
    <mergeCell ref="O14:O15"/>
    <mergeCell ref="P14:P15"/>
    <mergeCell ref="Q14:Q15"/>
    <mergeCell ref="R14:R15"/>
    <mergeCell ref="S14:S15"/>
    <mergeCell ref="J14:K14"/>
    <mergeCell ref="T14:T15"/>
    <mergeCell ref="U14:U15"/>
    <mergeCell ref="V14:V15"/>
    <mergeCell ref="AJ28:AK29"/>
    <mergeCell ref="AI32:AI33"/>
    <mergeCell ref="AJ32:AK33"/>
    <mergeCell ref="AL32:AN33"/>
    <mergeCell ref="X30:AA31"/>
    <mergeCell ref="AB30:AD31"/>
    <mergeCell ref="AE28:AF29"/>
    <mergeCell ref="AG28:AH29"/>
    <mergeCell ref="AE30:AF31"/>
    <mergeCell ref="AG30:AH31"/>
    <mergeCell ref="X28:AA29"/>
    <mergeCell ref="AB28:AD29"/>
    <mergeCell ref="T29:T30"/>
    <mergeCell ref="O32:O33"/>
    <mergeCell ref="P32:P33"/>
    <mergeCell ref="Q32:Q33"/>
    <mergeCell ref="R32:S33"/>
    <mergeCell ref="T32:T33"/>
    <mergeCell ref="AO30:AP31"/>
    <mergeCell ref="AE26:AN27"/>
    <mergeCell ref="X26:AA27"/>
    <mergeCell ref="AO26:AT27"/>
    <mergeCell ref="AL28:AN29"/>
    <mergeCell ref="AB26:AD27"/>
    <mergeCell ref="U32:V33"/>
    <mergeCell ref="U29:U30"/>
    <mergeCell ref="V29:W30"/>
    <mergeCell ref="T26:U26"/>
    <mergeCell ref="AI30:AI31"/>
    <mergeCell ref="AJ30:AK31"/>
    <mergeCell ref="AL30:AN31"/>
    <mergeCell ref="X32:AA33"/>
    <mergeCell ref="AB32:AD33"/>
    <mergeCell ref="AE32:AF33"/>
    <mergeCell ref="AG32:AH33"/>
    <mergeCell ref="AI28:AI29"/>
    <mergeCell ref="AS12:AU12"/>
    <mergeCell ref="AP7:AR8"/>
    <mergeCell ref="AQ32:AR33"/>
    <mergeCell ref="AS32:AT33"/>
    <mergeCell ref="AU32:AV33"/>
    <mergeCell ref="AS21:AU21"/>
    <mergeCell ref="AU30:AV31"/>
    <mergeCell ref="AU28:AV29"/>
    <mergeCell ref="AO32:AP33"/>
    <mergeCell ref="AQ28:AR29"/>
    <mergeCell ref="AS28:AT29"/>
    <mergeCell ref="AQ30:AR31"/>
    <mergeCell ref="AS30:AT31"/>
    <mergeCell ref="AU26:AV27"/>
    <mergeCell ref="AS20:AU20"/>
    <mergeCell ref="AS22:AU22"/>
    <mergeCell ref="AM7:AO8"/>
    <mergeCell ref="AO28:AP29"/>
  </mergeCells>
  <phoneticPr fontId="2" type="noConversion"/>
  <printOptions horizontalCentered="1"/>
  <pageMargins left="0.70866141732283472" right="0.70866141732283472" top="0.98425196850393704" bottom="0.98425196850393704" header="0.51181102362204722" footer="0.51181102362204722"/>
  <pageSetup paperSize="9" orientation="portrait" r:id="rId1"/>
  <headerFooter alignWithMargins="0"/>
  <ignoredErrors>
    <ignoredError sqref="AP9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C000"/>
  </sheetPr>
  <dimension ref="A1:I47"/>
  <sheetViews>
    <sheetView view="pageBreakPreview" zoomScaleSheetLayoutView="100" workbookViewId="0">
      <selection activeCell="B3" sqref="B3:B4"/>
    </sheetView>
  </sheetViews>
  <sheetFormatPr defaultRowHeight="13.5"/>
  <cols>
    <col min="1" max="1" width="4.88671875" style="8" bestFit="1" customWidth="1"/>
    <col min="2" max="2" width="13.77734375" style="8" customWidth="1"/>
    <col min="3" max="3" width="15.21875" style="8" customWidth="1"/>
    <col min="4" max="4" width="4.6640625" style="8" customWidth="1"/>
    <col min="5" max="5" width="11.88671875" style="8" customWidth="1"/>
    <col min="6" max="6" width="11.88671875" style="9" customWidth="1"/>
    <col min="7" max="7" width="4.5546875" style="8" customWidth="1"/>
    <col min="8" max="8" width="6.77734375" style="8" customWidth="1"/>
    <col min="9" max="9" width="1.33203125" style="8" customWidth="1"/>
    <col min="10" max="16384" width="8.88671875" style="8"/>
  </cols>
  <sheetData>
    <row r="1" spans="1:9" ht="20.25">
      <c r="A1" s="966" t="s">
        <v>4035</v>
      </c>
      <c r="B1" s="966"/>
      <c r="C1" s="966"/>
      <c r="D1" s="966"/>
      <c r="E1" s="966"/>
      <c r="F1" s="966"/>
      <c r="G1" s="966"/>
      <c r="H1" s="966"/>
      <c r="I1" s="966"/>
    </row>
    <row r="2" spans="1:9" ht="13.5" customHeight="1">
      <c r="A2"/>
      <c r="B2"/>
      <c r="C2"/>
      <c r="D2"/>
      <c r="E2"/>
      <c r="F2"/>
      <c r="G2"/>
      <c r="H2"/>
      <c r="I2"/>
    </row>
    <row r="3" spans="1:9" ht="18" customHeight="1">
      <c r="A3" s="959" t="s">
        <v>1425</v>
      </c>
      <c r="B3" s="959" t="s">
        <v>1426</v>
      </c>
      <c r="C3" s="959" t="s">
        <v>1427</v>
      </c>
      <c r="D3" s="959" t="s">
        <v>1428</v>
      </c>
      <c r="E3" s="961" t="s">
        <v>1429</v>
      </c>
      <c r="F3" s="962"/>
      <c r="G3" s="972" t="s">
        <v>3559</v>
      </c>
      <c r="H3" s="973"/>
      <c r="I3" s="974"/>
    </row>
    <row r="4" spans="1:9" ht="18" customHeight="1" thickBot="1">
      <c r="A4" s="960"/>
      <c r="B4" s="960"/>
      <c r="C4" s="960"/>
      <c r="D4" s="960"/>
      <c r="E4" s="536" t="s">
        <v>3560</v>
      </c>
      <c r="F4" s="536" t="s">
        <v>3561</v>
      </c>
      <c r="G4" s="975"/>
      <c r="H4" s="976"/>
      <c r="I4" s="977"/>
    </row>
    <row r="5" spans="1:9" ht="17.100000000000001" customHeight="1" thickTop="1">
      <c r="A5" s="537">
        <v>1</v>
      </c>
      <c r="B5" s="538" t="s">
        <v>1430</v>
      </c>
      <c r="C5" s="539" t="s">
        <v>3562</v>
      </c>
      <c r="D5" s="639" t="s">
        <v>3365</v>
      </c>
      <c r="E5" s="719">
        <v>3820</v>
      </c>
      <c r="F5" s="634">
        <f>TRUNC(E5/1.1)</f>
        <v>3472</v>
      </c>
      <c r="G5" s="969"/>
      <c r="H5" s="970"/>
      <c r="I5" s="971"/>
    </row>
    <row r="6" spans="1:9" ht="17.100000000000001" customHeight="1">
      <c r="A6" s="967">
        <v>2</v>
      </c>
      <c r="B6" s="968" t="s">
        <v>3563</v>
      </c>
      <c r="C6" s="540" t="s">
        <v>3564</v>
      </c>
      <c r="D6" s="638" t="s">
        <v>1431</v>
      </c>
      <c r="E6" s="720">
        <v>611670</v>
      </c>
      <c r="F6" s="633">
        <f t="shared" ref="F6:F47" si="0">TRUNC(E6/1.1)</f>
        <v>556063</v>
      </c>
      <c r="G6" s="950" t="s">
        <v>3565</v>
      </c>
      <c r="H6" s="950"/>
      <c r="I6" s="951"/>
    </row>
    <row r="7" spans="1:9" ht="17.100000000000001" customHeight="1">
      <c r="A7" s="964"/>
      <c r="B7" s="957"/>
      <c r="C7" s="541" t="s">
        <v>3566</v>
      </c>
      <c r="D7" s="637" t="s">
        <v>1431</v>
      </c>
      <c r="E7" s="721">
        <v>601060</v>
      </c>
      <c r="F7" s="632">
        <f t="shared" si="0"/>
        <v>546418</v>
      </c>
      <c r="G7" s="952"/>
      <c r="H7" s="952"/>
      <c r="I7" s="953"/>
    </row>
    <row r="8" spans="1:9" ht="17.100000000000001" customHeight="1">
      <c r="A8" s="965"/>
      <c r="B8" s="958"/>
      <c r="C8" s="542" t="s">
        <v>3567</v>
      </c>
      <c r="D8" s="636" t="s">
        <v>1431</v>
      </c>
      <c r="E8" s="722">
        <v>595750</v>
      </c>
      <c r="F8" s="631">
        <f t="shared" si="0"/>
        <v>541590</v>
      </c>
      <c r="G8" s="952"/>
      <c r="H8" s="952"/>
      <c r="I8" s="953"/>
    </row>
    <row r="9" spans="1:9" ht="17.100000000000001" customHeight="1">
      <c r="A9" s="963">
        <v>3</v>
      </c>
      <c r="B9" s="956" t="s">
        <v>3568</v>
      </c>
      <c r="C9" s="543" t="s">
        <v>3569</v>
      </c>
      <c r="D9" s="635" t="s">
        <v>1431</v>
      </c>
      <c r="E9" s="720">
        <v>616980</v>
      </c>
      <c r="F9" s="630">
        <f t="shared" si="0"/>
        <v>560890</v>
      </c>
      <c r="G9" s="952"/>
      <c r="H9" s="952"/>
      <c r="I9" s="953"/>
    </row>
    <row r="10" spans="1:9" ht="17.100000000000001" customHeight="1">
      <c r="A10" s="964"/>
      <c r="B10" s="957"/>
      <c r="C10" s="541" t="s">
        <v>3570</v>
      </c>
      <c r="D10" s="637" t="s">
        <v>1431</v>
      </c>
      <c r="E10" s="721">
        <v>606360</v>
      </c>
      <c r="F10" s="632">
        <f t="shared" si="0"/>
        <v>551236</v>
      </c>
      <c r="G10" s="952"/>
      <c r="H10" s="952"/>
      <c r="I10" s="953"/>
    </row>
    <row r="11" spans="1:9" ht="17.100000000000001" customHeight="1">
      <c r="A11" s="965"/>
      <c r="B11" s="958"/>
      <c r="C11" s="542" t="s">
        <v>3571</v>
      </c>
      <c r="D11" s="636" t="s">
        <v>1431</v>
      </c>
      <c r="E11" s="722">
        <v>625860</v>
      </c>
      <c r="F11" s="631">
        <f t="shared" si="0"/>
        <v>568963</v>
      </c>
      <c r="G11" s="954"/>
      <c r="H11" s="954"/>
      <c r="I11" s="955"/>
    </row>
    <row r="12" spans="1:9" ht="17.100000000000001" customHeight="1">
      <c r="A12" s="967">
        <v>4</v>
      </c>
      <c r="B12" s="968" t="s">
        <v>3572</v>
      </c>
      <c r="C12" s="540" t="s">
        <v>3573</v>
      </c>
      <c r="D12" s="638" t="s">
        <v>1431</v>
      </c>
      <c r="E12" s="720">
        <v>50720</v>
      </c>
      <c r="F12" s="633">
        <f t="shared" si="0"/>
        <v>46109</v>
      </c>
      <c r="G12" s="950" t="s">
        <v>3917</v>
      </c>
      <c r="H12" s="950"/>
      <c r="I12" s="951"/>
    </row>
    <row r="13" spans="1:9" ht="17.100000000000001" customHeight="1">
      <c r="A13" s="964"/>
      <c r="B13" s="957"/>
      <c r="C13" s="541" t="s">
        <v>3575</v>
      </c>
      <c r="D13" s="637" t="s">
        <v>1431</v>
      </c>
      <c r="E13" s="721">
        <v>61990</v>
      </c>
      <c r="F13" s="632">
        <f t="shared" si="0"/>
        <v>56354</v>
      </c>
      <c r="G13" s="952"/>
      <c r="H13" s="952"/>
      <c r="I13" s="953"/>
    </row>
    <row r="14" spans="1:9" ht="17.100000000000001" customHeight="1">
      <c r="A14" s="965"/>
      <c r="B14" s="958"/>
      <c r="C14" s="542" t="s">
        <v>3576</v>
      </c>
      <c r="D14" s="636" t="s">
        <v>1431</v>
      </c>
      <c r="E14" s="722">
        <v>52440</v>
      </c>
      <c r="F14" s="631">
        <f t="shared" si="0"/>
        <v>47672</v>
      </c>
      <c r="G14" s="954"/>
      <c r="H14" s="954"/>
      <c r="I14" s="955"/>
    </row>
    <row r="15" spans="1:9" ht="17.100000000000001" customHeight="1">
      <c r="A15" s="967">
        <v>5</v>
      </c>
      <c r="B15" s="968" t="s">
        <v>3577</v>
      </c>
      <c r="C15" s="540" t="s">
        <v>3578</v>
      </c>
      <c r="D15" s="638" t="s">
        <v>1432</v>
      </c>
      <c r="E15" s="720">
        <v>57170</v>
      </c>
      <c r="F15" s="633">
        <f t="shared" si="0"/>
        <v>51972</v>
      </c>
      <c r="G15" s="950" t="s">
        <v>3579</v>
      </c>
      <c r="H15" s="950"/>
      <c r="I15" s="951"/>
    </row>
    <row r="16" spans="1:9" ht="17.100000000000001" customHeight="1">
      <c r="A16" s="964"/>
      <c r="B16" s="957"/>
      <c r="C16" s="541" t="s">
        <v>3580</v>
      </c>
      <c r="D16" s="637" t="s">
        <v>1432</v>
      </c>
      <c r="E16" s="721">
        <v>58180</v>
      </c>
      <c r="F16" s="632">
        <f t="shared" si="0"/>
        <v>52890</v>
      </c>
      <c r="G16" s="952"/>
      <c r="H16" s="952"/>
      <c r="I16" s="953"/>
    </row>
    <row r="17" spans="1:9" ht="17.100000000000001" customHeight="1">
      <c r="A17" s="964"/>
      <c r="B17" s="957"/>
      <c r="C17" s="541" t="s">
        <v>3581</v>
      </c>
      <c r="D17" s="637" t="s">
        <v>1432</v>
      </c>
      <c r="E17" s="721">
        <v>61360</v>
      </c>
      <c r="F17" s="632">
        <f t="shared" si="0"/>
        <v>55781</v>
      </c>
      <c r="G17" s="952"/>
      <c r="H17" s="952"/>
      <c r="I17" s="953"/>
    </row>
    <row r="18" spans="1:9" ht="17.100000000000001" customHeight="1">
      <c r="A18" s="964"/>
      <c r="B18" s="957"/>
      <c r="C18" s="541" t="s">
        <v>3582</v>
      </c>
      <c r="D18" s="637" t="s">
        <v>1432</v>
      </c>
      <c r="E18" s="721">
        <v>62990</v>
      </c>
      <c r="F18" s="632">
        <f t="shared" si="0"/>
        <v>57263</v>
      </c>
      <c r="G18" s="952"/>
      <c r="H18" s="952"/>
      <c r="I18" s="953"/>
    </row>
    <row r="19" spans="1:9" ht="17.100000000000001" customHeight="1">
      <c r="A19" s="964"/>
      <c r="B19" s="957"/>
      <c r="C19" s="541" t="s">
        <v>3583</v>
      </c>
      <c r="D19" s="637" t="s">
        <v>1432</v>
      </c>
      <c r="E19" s="721">
        <v>59710</v>
      </c>
      <c r="F19" s="632">
        <f t="shared" si="0"/>
        <v>54281</v>
      </c>
      <c r="G19" s="952"/>
      <c r="H19" s="952"/>
      <c r="I19" s="953"/>
    </row>
    <row r="20" spans="1:9" ht="17.100000000000001" customHeight="1">
      <c r="A20" s="964"/>
      <c r="B20" s="957"/>
      <c r="C20" s="541" t="s">
        <v>3584</v>
      </c>
      <c r="D20" s="637" t="s">
        <v>1432</v>
      </c>
      <c r="E20" s="721">
        <v>65760</v>
      </c>
      <c r="F20" s="632">
        <f t="shared" si="0"/>
        <v>59781</v>
      </c>
      <c r="G20" s="952"/>
      <c r="H20" s="952"/>
      <c r="I20" s="953"/>
    </row>
    <row r="21" spans="1:9" ht="17.100000000000001" customHeight="1">
      <c r="A21" s="964"/>
      <c r="B21" s="957"/>
      <c r="C21" s="541" t="s">
        <v>3585</v>
      </c>
      <c r="D21" s="637" t="s">
        <v>1432</v>
      </c>
      <c r="E21" s="721">
        <v>67120</v>
      </c>
      <c r="F21" s="632">
        <f t="shared" si="0"/>
        <v>61018</v>
      </c>
      <c r="G21" s="952"/>
      <c r="H21" s="952"/>
      <c r="I21" s="953"/>
    </row>
    <row r="22" spans="1:9" ht="17.100000000000001" customHeight="1">
      <c r="A22" s="964"/>
      <c r="B22" s="957"/>
      <c r="C22" s="541" t="s">
        <v>3586</v>
      </c>
      <c r="D22" s="637" t="s">
        <v>1432</v>
      </c>
      <c r="E22" s="721">
        <v>68440</v>
      </c>
      <c r="F22" s="632">
        <f t="shared" si="0"/>
        <v>62218</v>
      </c>
      <c r="G22" s="952"/>
      <c r="H22" s="952"/>
      <c r="I22" s="953"/>
    </row>
    <row r="23" spans="1:9" ht="17.100000000000001" customHeight="1">
      <c r="A23" s="965"/>
      <c r="B23" s="958"/>
      <c r="C23" s="542" t="s">
        <v>3587</v>
      </c>
      <c r="D23" s="636" t="s">
        <v>1432</v>
      </c>
      <c r="E23" s="722">
        <v>70000</v>
      </c>
      <c r="F23" s="631">
        <f t="shared" si="0"/>
        <v>63636</v>
      </c>
      <c r="G23" s="954"/>
      <c r="H23" s="954"/>
      <c r="I23" s="955"/>
    </row>
    <row r="24" spans="1:9" ht="17.100000000000001" customHeight="1">
      <c r="A24" s="967">
        <v>6</v>
      </c>
      <c r="B24" s="968" t="s">
        <v>1433</v>
      </c>
      <c r="C24" s="540" t="s">
        <v>3588</v>
      </c>
      <c r="D24" s="638" t="s">
        <v>1434</v>
      </c>
      <c r="E24" s="720">
        <v>38890</v>
      </c>
      <c r="F24" s="633">
        <f t="shared" si="0"/>
        <v>35354</v>
      </c>
      <c r="G24" s="950" t="s">
        <v>3918</v>
      </c>
      <c r="H24" s="950"/>
      <c r="I24" s="951"/>
    </row>
    <row r="25" spans="1:9" ht="17.100000000000001" customHeight="1">
      <c r="A25" s="964"/>
      <c r="B25" s="957"/>
      <c r="C25" s="541" t="s">
        <v>2504</v>
      </c>
      <c r="D25" s="637" t="s">
        <v>1434</v>
      </c>
      <c r="E25" s="721">
        <v>49100</v>
      </c>
      <c r="F25" s="632">
        <f t="shared" si="0"/>
        <v>44636</v>
      </c>
      <c r="G25" s="952"/>
      <c r="H25" s="952"/>
      <c r="I25" s="953"/>
    </row>
    <row r="26" spans="1:9" ht="17.100000000000001" customHeight="1">
      <c r="A26" s="964"/>
      <c r="B26" s="957"/>
      <c r="C26" s="541" t="s">
        <v>2506</v>
      </c>
      <c r="D26" s="637" t="s">
        <v>1434</v>
      </c>
      <c r="E26" s="721">
        <v>59460</v>
      </c>
      <c r="F26" s="632">
        <f t="shared" si="0"/>
        <v>54054</v>
      </c>
      <c r="G26" s="952"/>
      <c r="H26" s="952"/>
      <c r="I26" s="953"/>
    </row>
    <row r="27" spans="1:9" ht="17.100000000000001" customHeight="1">
      <c r="A27" s="964"/>
      <c r="B27" s="957"/>
      <c r="C27" s="541" t="s">
        <v>2507</v>
      </c>
      <c r="D27" s="637" t="s">
        <v>1434</v>
      </c>
      <c r="E27" s="721">
        <v>98210</v>
      </c>
      <c r="F27" s="632">
        <f t="shared" si="0"/>
        <v>89281</v>
      </c>
      <c r="G27" s="952"/>
      <c r="H27" s="952"/>
      <c r="I27" s="953"/>
    </row>
    <row r="28" spans="1:9" ht="17.100000000000001" customHeight="1">
      <c r="A28" s="964"/>
      <c r="B28" s="957"/>
      <c r="C28" s="541" t="s">
        <v>2508</v>
      </c>
      <c r="D28" s="637" t="s">
        <v>1434</v>
      </c>
      <c r="E28" s="721">
        <v>134200</v>
      </c>
      <c r="F28" s="632">
        <f t="shared" si="0"/>
        <v>122000</v>
      </c>
      <c r="G28" s="952"/>
      <c r="H28" s="952"/>
      <c r="I28" s="953"/>
    </row>
    <row r="29" spans="1:9" ht="17.100000000000001" customHeight="1">
      <c r="A29" s="964"/>
      <c r="B29" s="957"/>
      <c r="C29" s="541" t="s">
        <v>2509</v>
      </c>
      <c r="D29" s="637" t="s">
        <v>1434</v>
      </c>
      <c r="E29" s="721">
        <v>173330</v>
      </c>
      <c r="F29" s="632">
        <f t="shared" si="0"/>
        <v>157572</v>
      </c>
      <c r="G29" s="952"/>
      <c r="H29" s="952"/>
      <c r="I29" s="953"/>
    </row>
    <row r="30" spans="1:9" ht="17.100000000000001" customHeight="1">
      <c r="A30" s="964"/>
      <c r="B30" s="957"/>
      <c r="C30" s="541" t="s">
        <v>2510</v>
      </c>
      <c r="D30" s="637" t="s">
        <v>1434</v>
      </c>
      <c r="E30" s="721">
        <v>219890</v>
      </c>
      <c r="F30" s="632">
        <f t="shared" si="0"/>
        <v>199900</v>
      </c>
      <c r="G30" s="952"/>
      <c r="H30" s="952"/>
      <c r="I30" s="953"/>
    </row>
    <row r="31" spans="1:9" ht="17.100000000000001" customHeight="1">
      <c r="A31" s="964"/>
      <c r="B31" s="957"/>
      <c r="C31" s="541" t="s">
        <v>2511</v>
      </c>
      <c r="D31" s="637" t="s">
        <v>1434</v>
      </c>
      <c r="E31" s="721">
        <v>273410</v>
      </c>
      <c r="F31" s="632">
        <f t="shared" si="0"/>
        <v>248554</v>
      </c>
      <c r="G31" s="952"/>
      <c r="H31" s="952"/>
      <c r="I31" s="953"/>
    </row>
    <row r="32" spans="1:9" ht="17.100000000000001" customHeight="1">
      <c r="A32" s="964"/>
      <c r="B32" s="957"/>
      <c r="C32" s="541" t="s">
        <v>2512</v>
      </c>
      <c r="D32" s="637" t="s">
        <v>1434</v>
      </c>
      <c r="E32" s="721">
        <v>319030</v>
      </c>
      <c r="F32" s="632">
        <f t="shared" si="0"/>
        <v>290027</v>
      </c>
      <c r="G32" s="952"/>
      <c r="H32" s="952"/>
      <c r="I32" s="953"/>
    </row>
    <row r="33" spans="1:9" ht="17.100000000000001" customHeight="1">
      <c r="A33" s="964"/>
      <c r="B33" s="957"/>
      <c r="C33" s="541" t="s">
        <v>2513</v>
      </c>
      <c r="D33" s="637" t="s">
        <v>1434</v>
      </c>
      <c r="E33" s="721">
        <v>384390</v>
      </c>
      <c r="F33" s="632">
        <f t="shared" si="0"/>
        <v>349445</v>
      </c>
      <c r="G33" s="952"/>
      <c r="H33" s="952"/>
      <c r="I33" s="953"/>
    </row>
    <row r="34" spans="1:9" ht="17.100000000000001" customHeight="1">
      <c r="A34" s="965"/>
      <c r="B34" s="958"/>
      <c r="C34" s="542" t="s">
        <v>3589</v>
      </c>
      <c r="D34" s="636" t="s">
        <v>1434</v>
      </c>
      <c r="E34" s="722">
        <v>459140</v>
      </c>
      <c r="F34" s="631">
        <f t="shared" si="0"/>
        <v>417400</v>
      </c>
      <c r="G34" s="954"/>
      <c r="H34" s="954"/>
      <c r="I34" s="955"/>
    </row>
    <row r="35" spans="1:9" ht="17.100000000000001" customHeight="1">
      <c r="A35" s="967">
        <v>7</v>
      </c>
      <c r="B35" s="968" t="s">
        <v>3590</v>
      </c>
      <c r="C35" s="540" t="s">
        <v>3591</v>
      </c>
      <c r="D35" s="638" t="s">
        <v>1026</v>
      </c>
      <c r="E35" s="720">
        <v>24910</v>
      </c>
      <c r="F35" s="633">
        <f t="shared" si="0"/>
        <v>22645</v>
      </c>
      <c r="G35" s="950" t="s">
        <v>3918</v>
      </c>
      <c r="H35" s="950"/>
      <c r="I35" s="951"/>
    </row>
    <row r="36" spans="1:9" ht="17.100000000000001" customHeight="1">
      <c r="A36" s="965"/>
      <c r="B36" s="958"/>
      <c r="C36" s="542" t="s">
        <v>3592</v>
      </c>
      <c r="D36" s="636" t="s">
        <v>1026</v>
      </c>
      <c r="E36" s="722">
        <v>39970</v>
      </c>
      <c r="F36" s="631">
        <f t="shared" si="0"/>
        <v>36336</v>
      </c>
      <c r="G36" s="954"/>
      <c r="H36" s="954"/>
      <c r="I36" s="955"/>
    </row>
    <row r="37" spans="1:9" ht="17.100000000000001" customHeight="1">
      <c r="A37" s="967">
        <v>8</v>
      </c>
      <c r="B37" s="968" t="s">
        <v>3593</v>
      </c>
      <c r="C37" s="540" t="s">
        <v>3594</v>
      </c>
      <c r="D37" s="638" t="s">
        <v>1026</v>
      </c>
      <c r="E37" s="720">
        <v>15900</v>
      </c>
      <c r="F37" s="633">
        <f t="shared" si="0"/>
        <v>14454</v>
      </c>
      <c r="G37" s="950" t="s">
        <v>3918</v>
      </c>
      <c r="H37" s="950"/>
      <c r="I37" s="951"/>
    </row>
    <row r="38" spans="1:9" ht="17.100000000000001" customHeight="1">
      <c r="A38" s="965"/>
      <c r="B38" s="958"/>
      <c r="C38" s="542" t="s">
        <v>3595</v>
      </c>
      <c r="D38" s="636" t="s">
        <v>1026</v>
      </c>
      <c r="E38" s="722">
        <v>26140</v>
      </c>
      <c r="F38" s="631">
        <f t="shared" si="0"/>
        <v>23763</v>
      </c>
      <c r="G38" s="954"/>
      <c r="H38" s="954"/>
      <c r="I38" s="955"/>
    </row>
    <row r="39" spans="1:9" ht="17.100000000000001" customHeight="1">
      <c r="A39" s="967">
        <v>9</v>
      </c>
      <c r="B39" s="968" t="s">
        <v>3596</v>
      </c>
      <c r="C39" s="544" t="s">
        <v>3597</v>
      </c>
      <c r="D39" s="638" t="s">
        <v>2496</v>
      </c>
      <c r="E39" s="720">
        <v>225000</v>
      </c>
      <c r="F39" s="633">
        <f t="shared" si="0"/>
        <v>204545</v>
      </c>
      <c r="G39" s="950" t="s">
        <v>3919</v>
      </c>
      <c r="H39" s="950"/>
      <c r="I39" s="951"/>
    </row>
    <row r="40" spans="1:9" ht="17.100000000000001" customHeight="1">
      <c r="A40" s="965"/>
      <c r="B40" s="958"/>
      <c r="C40" s="545" t="s">
        <v>3598</v>
      </c>
      <c r="D40" s="636" t="s">
        <v>2496</v>
      </c>
      <c r="E40" s="722">
        <v>434100</v>
      </c>
      <c r="F40" s="631">
        <f t="shared" si="0"/>
        <v>394636</v>
      </c>
      <c r="G40" s="954"/>
      <c r="H40" s="954"/>
      <c r="I40" s="955"/>
    </row>
    <row r="41" spans="1:9" ht="17.100000000000001" customHeight="1">
      <c r="A41" s="967">
        <v>10</v>
      </c>
      <c r="B41" s="968" t="s">
        <v>3599</v>
      </c>
      <c r="C41" s="540" t="s">
        <v>3600</v>
      </c>
      <c r="D41" s="638" t="s">
        <v>2465</v>
      </c>
      <c r="E41" s="720">
        <v>6460</v>
      </c>
      <c r="F41" s="633">
        <f t="shared" si="0"/>
        <v>5872</v>
      </c>
      <c r="G41" s="950" t="s">
        <v>3601</v>
      </c>
      <c r="H41" s="950"/>
      <c r="I41" s="951"/>
    </row>
    <row r="42" spans="1:9" ht="17.100000000000001" customHeight="1">
      <c r="A42" s="964"/>
      <c r="B42" s="957"/>
      <c r="C42" s="541" t="s">
        <v>3602</v>
      </c>
      <c r="D42" s="637" t="s">
        <v>2465</v>
      </c>
      <c r="E42" s="721">
        <v>7010</v>
      </c>
      <c r="F42" s="632">
        <f t="shared" si="0"/>
        <v>6372</v>
      </c>
      <c r="G42" s="952"/>
      <c r="H42" s="952"/>
      <c r="I42" s="953"/>
    </row>
    <row r="43" spans="1:9" ht="17.100000000000001" customHeight="1">
      <c r="A43" s="965"/>
      <c r="B43" s="958"/>
      <c r="C43" s="542" t="s">
        <v>3603</v>
      </c>
      <c r="D43" s="636" t="s">
        <v>2465</v>
      </c>
      <c r="E43" s="722">
        <v>9040</v>
      </c>
      <c r="F43" s="631">
        <f t="shared" si="0"/>
        <v>8218</v>
      </c>
      <c r="G43" s="954"/>
      <c r="H43" s="954"/>
      <c r="I43" s="955"/>
    </row>
    <row r="44" spans="1:9" ht="17.100000000000001" customHeight="1">
      <c r="A44" s="963">
        <v>11</v>
      </c>
      <c r="B44" s="956" t="s">
        <v>3604</v>
      </c>
      <c r="C44" s="543" t="s">
        <v>3605</v>
      </c>
      <c r="D44" s="635" t="s">
        <v>1026</v>
      </c>
      <c r="E44" s="720">
        <v>20700</v>
      </c>
      <c r="F44" s="630">
        <f t="shared" si="0"/>
        <v>18818</v>
      </c>
      <c r="G44" s="978" t="s">
        <v>3574</v>
      </c>
      <c r="H44" s="978"/>
      <c r="I44" s="979"/>
    </row>
    <row r="45" spans="1:9" ht="17.100000000000001" customHeight="1">
      <c r="A45" s="963"/>
      <c r="B45" s="956"/>
      <c r="C45" s="543" t="s">
        <v>3606</v>
      </c>
      <c r="D45" s="635" t="s">
        <v>1026</v>
      </c>
      <c r="E45" s="721">
        <v>32200</v>
      </c>
      <c r="F45" s="630">
        <f t="shared" si="0"/>
        <v>29272</v>
      </c>
      <c r="G45" s="978"/>
      <c r="H45" s="978"/>
      <c r="I45" s="979"/>
    </row>
    <row r="46" spans="1:9" ht="17.100000000000001" customHeight="1">
      <c r="A46" s="964"/>
      <c r="B46" s="957"/>
      <c r="C46" s="541" t="s">
        <v>3607</v>
      </c>
      <c r="D46" s="637" t="s">
        <v>1026</v>
      </c>
      <c r="E46" s="721">
        <v>10300</v>
      </c>
      <c r="F46" s="632">
        <f t="shared" si="0"/>
        <v>9363</v>
      </c>
      <c r="G46" s="952"/>
      <c r="H46" s="952"/>
      <c r="I46" s="953"/>
    </row>
    <row r="47" spans="1:9" ht="17.100000000000001" customHeight="1">
      <c r="A47" s="965"/>
      <c r="B47" s="958"/>
      <c r="C47" s="542" t="s">
        <v>3608</v>
      </c>
      <c r="D47" s="636" t="s">
        <v>1026</v>
      </c>
      <c r="E47" s="722">
        <v>15900</v>
      </c>
      <c r="F47" s="631">
        <f t="shared" si="0"/>
        <v>14454</v>
      </c>
      <c r="G47" s="954"/>
      <c r="H47" s="954"/>
      <c r="I47" s="955"/>
    </row>
  </sheetData>
  <mergeCells count="37">
    <mergeCell ref="A41:A43"/>
    <mergeCell ref="A44:A47"/>
    <mergeCell ref="G41:I43"/>
    <mergeCell ref="B44:B47"/>
    <mergeCell ref="B41:B43"/>
    <mergeCell ref="G44:I47"/>
    <mergeCell ref="B39:B40"/>
    <mergeCell ref="G35:I36"/>
    <mergeCell ref="G37:I38"/>
    <mergeCell ref="B12:B14"/>
    <mergeCell ref="A37:A38"/>
    <mergeCell ref="A39:A40"/>
    <mergeCell ref="A24:A34"/>
    <mergeCell ref="A15:A23"/>
    <mergeCell ref="B15:B23"/>
    <mergeCell ref="A35:A36"/>
    <mergeCell ref="B37:B38"/>
    <mergeCell ref="B35:B36"/>
    <mergeCell ref="B24:B34"/>
    <mergeCell ref="G39:I40"/>
    <mergeCell ref="A12:A14"/>
    <mergeCell ref="G24:I34"/>
    <mergeCell ref="A1:I1"/>
    <mergeCell ref="A6:A8"/>
    <mergeCell ref="B6:B8"/>
    <mergeCell ref="G5:I5"/>
    <mergeCell ref="G6:I11"/>
    <mergeCell ref="G3:I4"/>
    <mergeCell ref="G15:I23"/>
    <mergeCell ref="G12:I14"/>
    <mergeCell ref="B9:B11"/>
    <mergeCell ref="A3:A4"/>
    <mergeCell ref="B3:B4"/>
    <mergeCell ref="C3:C4"/>
    <mergeCell ref="E3:F3"/>
    <mergeCell ref="A9:A11"/>
    <mergeCell ref="D3:D4"/>
  </mergeCells>
  <phoneticPr fontId="4" type="noConversion"/>
  <printOptions horizontalCentered="1"/>
  <pageMargins left="0.19685039370078741" right="0.19685039370078741" top="0.59055118110236227" bottom="0.39370078740157483" header="0.51181102362204722" footer="0.31496062992125984"/>
  <pageSetup paperSize="9" scale="92" orientation="portrait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12</vt:i4>
      </vt:variant>
      <vt:variant>
        <vt:lpstr>이름이 지정된 범위</vt:lpstr>
      </vt:variant>
      <vt:variant>
        <vt:i4>16</vt:i4>
      </vt:variant>
    </vt:vector>
  </HeadingPairs>
  <TitlesOfParts>
    <vt:vector size="28" baseType="lpstr">
      <vt:lpstr>내역서</vt:lpstr>
      <vt:lpstr>일위대가</vt:lpstr>
      <vt:lpstr>중기기준</vt:lpstr>
      <vt:lpstr>중기사용료</vt:lpstr>
      <vt:lpstr>작업과정 및 Q산출</vt:lpstr>
      <vt:lpstr>Asp포장</vt:lpstr>
      <vt:lpstr>운반비</vt:lpstr>
      <vt:lpstr>자재운반비</vt:lpstr>
      <vt:lpstr>관급자재</vt:lpstr>
      <vt:lpstr>사급자재</vt:lpstr>
      <vt:lpstr>노임(2015)</vt:lpstr>
      <vt:lpstr>기계경비산출표</vt:lpstr>
      <vt:lpstr>Asp포장!Print_Area</vt:lpstr>
      <vt:lpstr>관급자재!Print_Area</vt:lpstr>
      <vt:lpstr>기계경비산출표!Print_Area</vt:lpstr>
      <vt:lpstr>내역서!Print_Area</vt:lpstr>
      <vt:lpstr>'노임(2015)'!Print_Area</vt:lpstr>
      <vt:lpstr>사급자재!Print_Area</vt:lpstr>
      <vt:lpstr>운반비!Print_Area</vt:lpstr>
      <vt:lpstr>일위대가!Print_Area</vt:lpstr>
      <vt:lpstr>'작업과정 및 Q산출'!Print_Area</vt:lpstr>
      <vt:lpstr>중기기준!Print_Area</vt:lpstr>
      <vt:lpstr>중기사용료!Print_Area</vt:lpstr>
      <vt:lpstr>관급자재!Print_Titles</vt:lpstr>
      <vt:lpstr>기계경비산출표!Print_Titles</vt:lpstr>
      <vt:lpstr>내역서!Print_Titles</vt:lpstr>
      <vt:lpstr>사급자재!Print_Titles</vt:lpstr>
      <vt:lpstr>일위대가!Print_Titles</vt:lpstr>
    </vt:vector>
  </TitlesOfParts>
  <Company>중랑구청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중랑</dc:creator>
  <cp:lastModifiedBy>Windows 사용자</cp:lastModifiedBy>
  <cp:lastPrinted>2015-12-17T07:08:47Z</cp:lastPrinted>
  <dcterms:created xsi:type="dcterms:W3CDTF">2005-07-19T00:09:55Z</dcterms:created>
  <dcterms:modified xsi:type="dcterms:W3CDTF">2016-06-30T08:07:06Z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ream_Timestamp_Length">
    <vt:lpwstr>10000</vt:lpwstr>
  </property>
  <property fmtid="{D5CDD505-2E9C-101B-9397-08002B2CF9AE}" pid="3" name="Dream_Timestamp_01">
    <vt:lpwstr>Dreamsecurity_MagicOfficeAddIn_TST_Value_010633430820c5b06092a864886f70d010702a0820c4c30820c48020103310f300d0609608648016503040203050030820141060b2a864886f70d0109100104a08201300482012c30820128020101060a2a831a868d21020107023051300d0609608648016</vt:lpwstr>
  </property>
  <property fmtid="{D5CDD505-2E9C-101B-9397-08002B2CF9AE}" pid="4" name="Dream_Timestamp_02">
    <vt:lpwstr>Dreamsecurity_MagicOfficeAddIn_TST_Value_02503040203050004402816e17f67754896369012fa700f352cf216a4dc626e4335990c4d26b5392d76a64374f6a41ad5b2f377334a8d57b867a1dc0ddbd6dde60555726bf7199c83300206574102f812af181332303136303633303038303730392e30373</vt:lpwstr>
  </property>
  <property fmtid="{D5CDD505-2E9C-101B-9397-08002B2CF9AE}" pid="5" name="Dream_Timestamp_03">
    <vt:lpwstr>Dreamsecurity_MagicOfficeAddIn_TST_Value_0315a3004800201f4021100a8756e1ae769c6aa286445366089a0b4a0818da4818a308187310b3009060355040613024b52311c301a060355040a0c13476f7665726e6d656e74206f66204b6f72656131183016060355040b0c0f47726f7570206f6620536</vt:lpwstr>
  </property>
  <property fmtid="{D5CDD505-2E9C-101B-9397-08002B2CF9AE}" pid="6" name="Dream_Timestamp_04">
    <vt:lpwstr>Dreamsecurity_MagicOfficeAddIn_TST_Value_0457276657231273025060355040b0c1e6e436970686572204453452045534e3a414644322d324437322d463242313117301506035504030c0e4754534131333131303030303032a082082b3082050c308203f4a0030201020214038c5e5dd3d3db8d8ca70</vt:lpwstr>
  </property>
  <property fmtid="{D5CDD505-2E9C-101B-9397-08002B2CF9AE}" pid="7" name="Dream_Timestamp_05">
    <vt:lpwstr>Dreamsecurity_MagicOfficeAddIn_TST_Value_0581b6cfb2fdc74ed646c300d06092a864886f70d01010b05003050310b3009060355040613024b52311c301a060355040a0c13476f7665726e6d656e74206f66204b6f726561310d300b060355040b0c0447504b493114301206035504030c0b434131333</vt:lpwstr>
  </property>
  <property fmtid="{D5CDD505-2E9C-101B-9397-08002B2CF9AE}" pid="8" name="Dream_Timestamp_06">
    <vt:lpwstr>Dreamsecurity_MagicOfficeAddIn_TST_Value_061313030303031301e170d3132303632363131313931325a170d3231303932323036313232335a308187310b3009060355040613024b52311c301a060355040a0c13476f7665726e6d656e74206f66204b6f72656131183016060355040b0c0f47726f757</vt:lpwstr>
  </property>
  <property fmtid="{D5CDD505-2E9C-101B-9397-08002B2CF9AE}" pid="9" name="Dream_Timestamp_07">
    <vt:lpwstr>Dreamsecurity_MagicOfficeAddIn_TST_Value_070206f662053657276657231273025060355040b0c1e6e436970686572204453452045534e3a414644322d324437322d463242313117301506035504030c0e475453413133313130303030303230820122300d06092a864886f70d01010105000382010f0</vt:lpwstr>
  </property>
  <property fmtid="{D5CDD505-2E9C-101B-9397-08002B2CF9AE}" pid="10" name="Dream_Timestamp_08">
    <vt:lpwstr>Dreamsecurity_MagicOfficeAddIn_TST_Value_0803082010a0282010100ad98b3699debcac0c528e92a7ef34a2a7809f693d183557a141c6068793c42a79450ffcd40172e04a12795480b71964b09564349d8516309ed6d2f64a81902d0dacc8874f1b8299a1e7eecec0d0f6ed30c501d01d5f7353441bef</vt:lpwstr>
  </property>
  <property fmtid="{D5CDD505-2E9C-101B-9397-08002B2CF9AE}" pid="11" name="Dream_Timestamp_09">
    <vt:lpwstr>Dreamsecurity_MagicOfficeAddIn_TST_Value_09759d463f7c4bb9922c9ca92ac3b073cf69c4cc1253036329d5e8847f3bfe964f6a3e775fed78b196f4fd84330d33b14d9941cd2f78dfadb26bc707c7fcecac7c2697948e7bfff325b6dca5155becbeb3bc1f2fc051dd2c739db62231d7709a65cf9172f7</vt:lpwstr>
  </property>
  <property fmtid="{D5CDD505-2E9C-101B-9397-08002B2CF9AE}" pid="12" name="Dream_Timestamp_10">
    <vt:lpwstr>Dreamsecurity_MagicOfficeAddIn_TST_Value_1000aa111d94cef1634bfdbcb31107aba49a8086f7ca4727f37b3eb3f3078e103b9d43e39c0960f1ba95ac6d65ea5e2121bb3dd1431d661ba68eeec76657ca178ceb10203010001a38201a4308201a030790603551d2304723070801492a47817b1aa2f19d</vt:lpwstr>
  </property>
  <property fmtid="{D5CDD505-2E9C-101B-9397-08002B2CF9AE}" pid="13" name="Dream_Timestamp_11">
    <vt:lpwstr>Dreamsecurity_MagicOfficeAddIn_TST_Value_1182b3fb9b32b231583d59735a154a4523050310b3009060355040613024b52311c301a060355040a0c13476f7665726e6d656e74206f66204b6f726561310d300b060355040b0c0447504b493114301206035504030c0b47504b49526f6f7443413182022</vt:lpwstr>
  </property>
  <property fmtid="{D5CDD505-2E9C-101B-9397-08002B2CF9AE}" pid="14" name="Dream_Timestamp_12">
    <vt:lpwstr>Dreamsecurity_MagicOfficeAddIn_TST_Value_12712301d0603551d0e04160414cce106d50c4bbbac18fd7d34d5ab5a9a42dfbb80300b0603551d0f0404030206c030160603551d20040f300d300b06092a831a868d2102010230160603551d250101ff040c300a06082b0601050507030830818e0603551</vt:lpwstr>
  </property>
  <property fmtid="{D5CDD505-2E9C-101B-9397-08002B2CF9AE}" pid="15" name="Dream_Timestamp_13">
    <vt:lpwstr>Dreamsecurity_MagicOfficeAddIn_TST_Value_13d1f048186308183308180a07ea07c867a6c6461703a2f2f63656e2e6469722e676f2e6b723a3338392f636e3d63726c31703164703233332c636e3d43413133313130303030312c6f753d47504b492c6f3d476f7665726e6d656e74206f66204b6f72656</vt:lpwstr>
  </property>
  <property fmtid="{D5CDD505-2E9C-101B-9397-08002B2CF9AE}" pid="16" name="Dream_Timestamp_14">
    <vt:lpwstr>Dreamsecurity_MagicOfficeAddIn_TST_Value_1412c633d4b523f63657274696669636174655265766f636174696f6e4c6973743b62696e617279303606082b06010505070101042a3028302606082b06010505073001861a687474703a2f2f6776612e67706b692e676f2e6b723a38303030300d06092a8</vt:lpwstr>
  </property>
  <property fmtid="{D5CDD505-2E9C-101B-9397-08002B2CF9AE}" pid="17" name="Dream_Timestamp_15">
    <vt:lpwstr>Dreamsecurity_MagicOfficeAddIn_TST_Value_1564886f70d01010b0500038201010005f2f7cefdb3ebbfea3892832faa097e6d877a3d5d5920761ec2b6fbd62dcef7d9a6f80d432f710b7a08508730c8472ab96cda65574ebb6ee24a293e54d3d02610a4d787fa784fb893323b67bc939216faac81e9438</vt:lpwstr>
  </property>
  <property fmtid="{D5CDD505-2E9C-101B-9397-08002B2CF9AE}" pid="18" name="Dream_Timestamp_16">
    <vt:lpwstr>Dreamsecurity_MagicOfficeAddIn_TST_Value_16b89bef5715783085ba84675b853b591358dade9cae03f69bf895aa9344c52d6c7704da966aadbbbb7d3b97f2f6a4a67d46af77c418f4ce0aeac158ee338f7d856b90864b5285e044f13d434d9f58a2110d57fa8c2e15f6974f58d0cafa2e506cca2c5415</vt:lpwstr>
  </property>
  <property fmtid="{D5CDD505-2E9C-101B-9397-08002B2CF9AE}" pid="19" name="Dream_Timestamp_17">
    <vt:lpwstr>Dreamsecurity_MagicOfficeAddIn_TST_Value_17be0817c9988bfb7234712b0f13990e1720e74ebbbddf146cef29a6a1afcb3f44f1105bfd0a0c50420536477d47db35b208485759bbb711bd71c357a290d6dedd49dd6254bf9e0a1820317308201ff0201013081b7a1818da4818a308187310b300906035</vt:lpwstr>
  </property>
  <property fmtid="{D5CDD505-2E9C-101B-9397-08002B2CF9AE}" pid="20" name="Dream_Timestamp_18">
    <vt:lpwstr>Dreamsecurity_MagicOfficeAddIn_TST_Value_185040613024b52311c301a060355040a0c13476f7665726e6d656e74206f66204b6f72656131183016060355040b0c0f47726f7570206f662053657276657231273025060355040b0c1e6e436970686572204453452045534e3a414644322d324437322d4</vt:lpwstr>
  </property>
  <property fmtid="{D5CDD505-2E9C-101B-9397-08002B2CF9AE}" pid="21" name="Dream_Timestamp_19">
    <vt:lpwstr>Dreamsecurity_MagicOfficeAddIn_TST_Value_1963242313117301506035504030c0e4754534131333131303030303032a2250a0101300906052b0e03021a050003150035afa3122e350c32394f48f2ed69813a70d3fad0a0818f30818ca48189308186310b3009060355040613024b52311c301a0603550</vt:lpwstr>
  </property>
  <property fmtid="{D5CDD505-2E9C-101B-9397-08002B2CF9AE}" pid="22" name="Dream_Timestamp_20">
    <vt:lpwstr>Dreamsecurity_MagicOfficeAddIn_TST_Value_2040a0c13476f7665726e6d656e74206f66204b6f72656131183016060355040b0c0f47726f7570206f662053657276657231273025060355040b0c1e6e436970686572204e54532045534e3a453741302d363738322d453246443116301406035504030c0</vt:lpwstr>
  </property>
  <property fmtid="{D5CDD505-2E9C-101B-9397-08002B2CF9AE}" pid="23" name="Dream_Timestamp_21">
    <vt:lpwstr>Dreamsecurity_MagicOfficeAddIn_TST_Value_21d47544131333131303030303033300d06092a864886f70d01010b0500020500db1f48ff3022180f32303136303633303037333030375a180f32303136303730313038333030375a3074303a060a2b0601040184590a0401312c302a300a020500db1f48f</vt:lpwstr>
  </property>
  <property fmtid="{D5CDD505-2E9C-101B-9397-08002B2CF9AE}" pid="24" name="Dream_Timestamp_22">
    <vt:lpwstr>Dreamsecurity_MagicOfficeAddIn_TST_Value_22f0201003007020100020201413007020100020212fd300a020500db20a88f0201003036060a2b0601040184590a040231283026300c060a2a831a868d2102010701a00a3008020100020307a120a10a300802010002030186a0300d06092a864886f70d0</vt:lpwstr>
  </property>
  <property fmtid="{D5CDD505-2E9C-101B-9397-08002B2CF9AE}" pid="25" name="Dream_Timestamp_23">
    <vt:lpwstr>Dreamsecurity_MagicOfficeAddIn_TST_Value_231010b050003820101009482c2a7805a290d5b8e59ffa34b01adb29705b86726c04d8403c98c4092a60887b622a32a4f1dd936101b285a76c87d4d59a4df21f8864e955fc5e9f30dd863885b5b974fd2245f9ced2c69830c00d8a02106505da2eee59dd56</vt:lpwstr>
  </property>
  <property fmtid="{D5CDD505-2E9C-101B-9397-08002B2CF9AE}" pid="26" name="Dream_Timestamp_24">
    <vt:lpwstr>Dreamsecurity_MagicOfficeAddIn_TST_Value_244660d468f07a435f76b833816d3ea0d382571460e2bd091e0279711ce37de92d9c20de6ee2e7a9989e7460e69e3b536d13b75f3851267be9003cc1adc446a7127f00554f611c6b649bd6fe7a405cfa7c24c474354389bbe47fca7ebb1c1f844e43b4e362</vt:lpwstr>
  </property>
  <property fmtid="{D5CDD505-2E9C-101B-9397-08002B2CF9AE}" pid="27" name="Dream_Timestamp_25">
    <vt:lpwstr>Dreamsecurity_MagicOfficeAddIn_TST_Value_25263b6aa325615908049d68db8338ce54d824c90f199745c508f228e9bf9d86709c4958ef43e8c7d52d506b2a379de8ca5e1a98e81fa6b3439287609b155444f126a318202bc308202b802010130683050310b3009060355040613024b52311c301a06035</vt:lpwstr>
  </property>
  <property fmtid="{D5CDD505-2E9C-101B-9397-08002B2CF9AE}" pid="28" name="Dream_Timestamp_26">
    <vt:lpwstr>Dreamsecurity_MagicOfficeAddIn_TST_Value_265040a0c13476f7665726e6d656e74206f66204b6f726561310d300b060355040b0c0447504b493114301206035504030c0b43413133313130303030310214038c5e5dd3d3db8d8ca7081b6cfb2fdc74ed646c300d06096086480165030402030500a0820</vt:lpwstr>
  </property>
  <property fmtid="{D5CDD505-2E9C-101B-9397-08002B2CF9AE}" pid="29" name="Dream_Timestamp_27">
    <vt:lpwstr>Dreamsecurity_MagicOfficeAddIn_TST_Value_27125301a06092a864886f70d010903310d060b2a864886f70d0109100104304f06092a864886f70d010904314204409130afa982147da9d91de63debb3b00cc82c97c83b188a2c19a9c236229b95b83700e2d2dba37adf0bec674f18e0b1b872a7af847c2</vt:lpwstr>
  </property>
  <property fmtid="{D5CDD505-2E9C-101B-9397-08002B2CF9AE}" pid="30" name="Dream_Timestamp_28">
    <vt:lpwstr>Dreamsecurity_MagicOfficeAddIn_TST_Value_28996f20602d940e304a8843081b5060b2a864886f70d010910020c3181a53081a230819f308184041435afa3122e350c32394f48f2ed69813a70d3fad0306c3054a4523050310b3009060355040613024b52311c301a060355040a0c13476f7665726e6d6</vt:lpwstr>
  </property>
  <property fmtid="{D5CDD505-2E9C-101B-9397-08002B2CF9AE}" pid="31" name="Dream_Timestamp_29">
    <vt:lpwstr>Dreamsecurity_MagicOfficeAddIn_TST_Value_2956e74206f66204b6f726561310d300b060355040b0c0447504b493114301206035504030c0b43413133313130303030310214038c5e5dd3d3db8d8ca7081b6cfb2fdc74ed646c30160414f0839a4e4f09bb49f894eb51dcfaac712021c677300d06092a8</vt:lpwstr>
  </property>
  <property fmtid="{D5CDD505-2E9C-101B-9397-08002B2CF9AE}" pid="32" name="Dream_Timestamp_30">
    <vt:lpwstr>Dreamsecurity_MagicOfficeAddIn_TST_Value_3064886f70d01010d0500048201007f963582acb1b3401018cd4848fff29b649a046f29918de43371b3e6feecf9083852a7f6dcb53bc0f4453df5dcd5c1054fcebe61a116b410b7354038018c0099aebbad73650a191980e4bcd8e256c8edda949fd254cc7</vt:lpwstr>
  </property>
  <property fmtid="{D5CDD505-2E9C-101B-9397-08002B2CF9AE}" pid="33" name="Dream_Timestamp_31">
    <vt:lpwstr>Dreamsecurity_MagicOfficeAddIn_TST_Value_31cea02a809a9de95865de499101ce55a43464ee8f6caff618cf511c7cd3c3084cdcebf491424eaa031f14657ac8af33d7b4113bcc21a485629c3bad8ed1262271f2c8761e542cb7ae7a4d19cf4b6b991fab3d682e0342b1d261f9ca68c3abeb82e0c707f9</vt:lpwstr>
  </property>
  <property fmtid="{D5CDD505-2E9C-101B-9397-08002B2CF9AE}" pid="34" name="Dream_Timestamp_32">
    <vt:lpwstr>Dreamsecurity_MagicOfficeAddIn_TST_Value_3246a2d66fae3bac40df5e3d1c582d1a5e1ff2abf1f1e2c1277a8a22608e2821115e8a1146f48336813f19d710f1b606e6b2e0d8857acf2964661dc780b2885c84623379f86250000000000000000000000000000000000000000000000000000000000000</vt:lpwstr>
  </property>
  <property fmtid="{D5CDD505-2E9C-101B-9397-08002B2CF9AE}" pid="35" name="Dream_Timestamp_33">
    <vt:lpwstr>Dreamsecurity_MagicOfficeAddIn_TST_Value_3300000000000000000000000000000000000000000000000000000000000000000000000000000000000000000000000000000000000000000000000000000000000000000000000000000000000000000000000000000000000000000000000000000000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36" name="Dream_Timestamp_34">
    <vt:lpwstr>Dreamsecurity_MagicOfficeAddIn_TST_Value_3400000000000000000000000000000000000000000000000000000000000000000000000000000000000000000000000000000000000000000000000000000000000000000000000000000000000000000000000000000000000000000000000000000000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37" name="Dream_Timestamp_35">
    <vt:lpwstr>Dreamsecurity_MagicOfficeAddIn_TST_Value_3500000000000000000000000000000000000000000000000000000000000000000000000000000000000000000000000000000000000000000000000000000000000000000000000000000000000000000000000000000000000000000000000000000000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38" name="Dream_Timestamp_36">
    <vt:lpwstr>Dreamsecurity_MagicOfficeAddIn_TST_Value_3600000000000000000000000000000000000000000000000000000000000000000000000000000000000000000000000000000000000000000000000000000000000000000000000000000000000000000000000000000000000000000000000000000000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39" name="Dream_Timestamp_37">
    <vt:lpwstr>Dreamsecurity_MagicOfficeAddIn_TST_Value_3700000000000000000000000000000000000000000000000000000000000000000000000000000000000000000000000000000000000000000000000000000000000000000000000000000000000000000000000000000000000000000000000000000000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0" name="Dream_Timestamp_38">
    <vt:lpwstr>Dreamsecurity_MagicOfficeAddIn_TST_Value_3800000000000000000000000000000000000000000000000000000000000000000000000000000000000000000000000000000000000000000000000000000000000000000000000000000000000000000000000000000000000000000000000000000000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1" name="Dream_Timestamp_39">
    <vt:lpwstr>Dreamsecurity_MagicOfficeAddIn_TST_Value_3900000000000000000000000000000000000000000000000000000000000000000000000000000000000000000000000000000000000000000000000000000000000000000000000000000000000000000000000000000000000000000000000000000000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2" name="Dream_Timestamp_40">
    <vt:lpwstr>Dreamsecurity_MagicOfficeAddIn_TST_Value_4000000000000000000000000000000000000000000000000000000000000000000000000000000000000000000000000000000000000000000000000000000000000000000000000000000000000000000000000000000000000000000000000000000000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3" name="Dream_Timestamp_41">
    <vt:lpwstr>Dreamsecurity_MagicOfficeAddIn_TST_Value_4100000000000000000000000000000000000000000000000000000000000000000000000000000000000000000000000000000000000000000000000000000000000000000000000000000000000000000000000000000000000000000000000000000000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4" name="Dream_Timestamp_42">
    <vt:lpwstr>Dreamsecurity_MagicOfficeAddIn_TST_Value_4200000000000000000000000000000000000000000000000000000000000000000000000000000000000000000000000000000000000000000000000000000000000000000000000000000000000000000000000000000000000000000000000000000000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5" name="Dream_Timestamp_43">
    <vt:lpwstr>Dreamsecurity_MagicOfficeAddIn_TST_Value_4300000000000000000000000000000000000000000000000000000000000000000000000000000000000000000000000000000000000000000000000000000000000000000000000000000000000000000000000000000000000000000000000000000000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6" name="Dream_Timestamp_44">
    <vt:lpwstr>Dreamsecurity_MagicOfficeAddIn_TST_Value_4400000000000000000000000000000000000000000000000000000000000000000000000000000000000000000000000000000000000000000000000000000000000000000000000000000000000000000000000000000000000000000000000000000000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7" name="Dream_Timestamp_45">
    <vt:lpwstr>Dreamsecurity_MagicOfficeAddIn_TST_Value_4500000000000000000000000000000000000000000000000000000000000000000000000000000000000000000000000000000000000000000000000000000000000000000000000000000000000000000000000000000000000000000000000000000000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8" name="Dream_Timestamp_46">
    <vt:lpwstr>Dreamsecurity_MagicOfficeAddIn_TST_Value_4600000000000000000000000000000000000000000000000000000000000000000000000000000000000000000000000000000000000000000000000000000000000000000000000000000000000000000000000000000000000000000000000000000000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9" name="Dream_Timestamp_47">
    <vt:lpwstr>Dreamsecurity_MagicOfficeAddIn_TST_Value_4700000000000000000000000000000000000000000000000000000000000000000000000000000000000000000000000000000000000000000000000000000000000000000000000000000000000000000000000000000000000000000000000000000000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50" name="Dream_Timestamp_48">
    <vt:lpwstr>Dreamsecurity_MagicOfficeAddIn_TST_Value_4800000000000000000000000000000000000000000000000000000000000000000000000000000000000000000000000000000000000000000000000000000000000000000000000000000000000000000000000000000000000000000000000000000000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51" name="Dream_Timestamp_49">
    <vt:lpwstr>Dreamsecurity_MagicOfficeAddIn_TST_Value_4900000000000000000000000000000000000000000000000000000000000000000000000000000000000000000000000000000000000000000000000000000000000000000000000000000000000000000000000000000000000000000000000000000000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52" name="Dream_Timestamp_50">
    <vt:lpwstr>Dreamsecurity_MagicOfficeAddIn_TST_Value_5000000000000000000000000000000000000000000000000000000000000000000000000000000000000000000000000000000000000000000000000000000000000000000000000000000000000000000000000000000000000000000000000000000000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53" name="DreamSecurity_MagicOfficeAddIn_Original_Type">
    <vt:i4>1</vt:i4>
  </property>
  <property fmtid="{D5CDD505-2E9C-101B-9397-08002B2CF9AE}" pid="54" name="DreamSecurity_MagicOfficeAddIn_Stamp_State">
    <vt:i4>1</vt:i4>
  </property>
</Properties>
</file>